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drawings/drawing15.xml" ContentType="application/vnd.openxmlformats-officedocument.drawingml.chartshapes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ml.chartshapes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xl/drawings/drawing16.xml" ContentType="application/vnd.openxmlformats-officedocument.drawing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ml.chartshapes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ml.chartshapes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0" yWindow="855" windowWidth="10380" windowHeight="3675" tabRatio="846"/>
  </bookViews>
  <sheets>
    <sheet name="KLSEdiary(R) (2)" sheetId="1" r:id="rId1"/>
    <sheet name="General(R)" sheetId="2" r:id="rId2"/>
    <sheet name="KLSEdiary(R)" sheetId="3" r:id="rId3"/>
    <sheet name="MDEX Report" sheetId="4" r:id="rId4"/>
    <sheet name="Monthly_vol_op" sheetId="5" r:id="rId5"/>
    <sheet name="notional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'General(R)'!$A$1:$J$1535</definedName>
    <definedName name="_xlnm.Print_Area" localSheetId="2">'KLSEdiary(R)'!$A$1:$H$440</definedName>
    <definedName name="_xlnm.Print_Area" localSheetId="0">'KLSEdiary(R) (2)'!$A$1:$H$440</definedName>
    <definedName name="_xlnm.Print_Area" localSheetId="3">'MDEX Report'!$A$1:$M$117</definedName>
    <definedName name="_xlnm.Print_Titles" localSheetId="2">'KLSEdiary(R)'!$2:$4</definedName>
    <definedName name="_xlnm.Print_Titles" localSheetId="0">'KLSEdiary(R) (2)'!$2:$4</definedName>
  </definedNames>
  <calcPr calcId="125725"/>
</workbook>
</file>

<file path=xl/calcChain.xml><?xml version="1.0" encoding="utf-8"?>
<calcChain xmlns="http://schemas.openxmlformats.org/spreadsheetml/2006/main">
  <c r="D215" i="2"/>
  <c r="F47"/>
  <c r="H47"/>
  <c r="F48"/>
  <c r="H48"/>
  <c r="F49"/>
  <c r="F50"/>
  <c r="H50" s="1"/>
  <c r="F51"/>
  <c r="H51" s="1"/>
  <c r="D78"/>
  <c r="G74"/>
  <c r="G75"/>
  <c r="G76"/>
  <c r="G77"/>
  <c r="C78"/>
  <c r="F18" s="1"/>
  <c r="E78"/>
  <c r="F78"/>
  <c r="F28" s="1"/>
  <c r="G78"/>
  <c r="I78"/>
  <c r="F46" s="1"/>
  <c r="H46" s="1"/>
  <c r="B83"/>
  <c r="I83"/>
  <c r="B84"/>
  <c r="I84"/>
  <c r="B85"/>
  <c r="I85"/>
  <c r="B86"/>
  <c r="I86"/>
  <c r="I87"/>
  <c r="H88"/>
  <c r="G94"/>
  <c r="C96"/>
  <c r="D96"/>
  <c r="D100" s="1"/>
  <c r="F96"/>
  <c r="G96"/>
  <c r="I96"/>
  <c r="G98"/>
  <c r="C99"/>
  <c r="E99"/>
  <c r="F99"/>
  <c r="G99"/>
  <c r="I99"/>
  <c r="C100"/>
  <c r="F19" s="1"/>
  <c r="E100"/>
  <c r="F100"/>
  <c r="F29" s="1"/>
  <c r="G100"/>
  <c r="I100"/>
  <c r="I105"/>
  <c r="I106"/>
  <c r="I108"/>
  <c r="G114"/>
  <c r="I114"/>
  <c r="D123"/>
  <c r="G115"/>
  <c r="I115"/>
  <c r="I123" s="1"/>
  <c r="G116"/>
  <c r="I116"/>
  <c r="G117"/>
  <c r="I117"/>
  <c r="G118"/>
  <c r="I118"/>
  <c r="G119"/>
  <c r="I119"/>
  <c r="G120"/>
  <c r="I120"/>
  <c r="D121"/>
  <c r="G121"/>
  <c r="I121"/>
  <c r="D122"/>
  <c r="G122"/>
  <c r="I122"/>
  <c r="C123"/>
  <c r="F20" s="1"/>
  <c r="H20" s="1"/>
  <c r="E123"/>
  <c r="F123"/>
  <c r="F30" s="1"/>
  <c r="H30" s="1"/>
  <c r="G123"/>
  <c r="I128"/>
  <c r="I129"/>
  <c r="I130"/>
  <c r="I131"/>
  <c r="I132"/>
  <c r="I133"/>
  <c r="I134"/>
  <c r="I135"/>
  <c r="I136"/>
  <c r="D142"/>
  <c r="D143"/>
  <c r="G144"/>
  <c r="I144"/>
  <c r="G145"/>
  <c r="I145"/>
  <c r="G146"/>
  <c r="I146"/>
  <c r="G147"/>
  <c r="I147"/>
  <c r="G148"/>
  <c r="I148"/>
  <c r="G149"/>
  <c r="I149"/>
  <c r="G150"/>
  <c r="I150"/>
  <c r="G151"/>
  <c r="I151"/>
  <c r="G152"/>
  <c r="I152"/>
  <c r="G153"/>
  <c r="I153"/>
  <c r="G154"/>
  <c r="I154"/>
  <c r="G155"/>
  <c r="I155"/>
  <c r="G156"/>
  <c r="I156"/>
  <c r="G157"/>
  <c r="I157"/>
  <c r="G158"/>
  <c r="I158"/>
  <c r="G159"/>
  <c r="I159"/>
  <c r="G160"/>
  <c r="I160"/>
  <c r="G161"/>
  <c r="I161"/>
  <c r="G162"/>
  <c r="I162"/>
  <c r="G163"/>
  <c r="I163"/>
  <c r="C164"/>
  <c r="F21" s="1"/>
  <c r="H21" s="1"/>
  <c r="D164"/>
  <c r="C120" i="3" s="1"/>
  <c r="E164" i="2"/>
  <c r="F164"/>
  <c r="G164" s="1"/>
  <c r="I164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G196"/>
  <c r="G200" s="1"/>
  <c r="I196"/>
  <c r="D197"/>
  <c r="G197"/>
  <c r="I197"/>
  <c r="D198"/>
  <c r="I198"/>
  <c r="D199"/>
  <c r="I199"/>
  <c r="C200"/>
  <c r="F22" s="1"/>
  <c r="D200"/>
  <c r="E200"/>
  <c r="F200"/>
  <c r="F32" s="1"/>
  <c r="H32" s="1"/>
  <c r="I200"/>
  <c r="B205"/>
  <c r="H205"/>
  <c r="B206"/>
  <c r="H206"/>
  <c r="B207"/>
  <c r="H207"/>
  <c r="B208"/>
  <c r="H208"/>
  <c r="G214"/>
  <c r="G218" s="1"/>
  <c r="I214"/>
  <c r="G215"/>
  <c r="I215"/>
  <c r="D216"/>
  <c r="I216"/>
  <c r="D217"/>
  <c r="I217"/>
  <c r="C218"/>
  <c r="F23" s="1"/>
  <c r="H23" s="1"/>
  <c r="D218"/>
  <c r="E218"/>
  <c r="F218"/>
  <c r="F33" s="1"/>
  <c r="H33" s="1"/>
  <c r="I218"/>
  <c r="B223"/>
  <c r="H223"/>
  <c r="B224"/>
  <c r="H224"/>
  <c r="B225"/>
  <c r="H225"/>
  <c r="B226"/>
  <c r="H226"/>
  <c r="D232"/>
  <c r="G232"/>
  <c r="G236" s="1"/>
  <c r="I232"/>
  <c r="D233"/>
  <c r="G233"/>
  <c r="I233"/>
  <c r="D234"/>
  <c r="I234"/>
  <c r="D235"/>
  <c r="I235"/>
  <c r="C236"/>
  <c r="F24" s="1"/>
  <c r="D236"/>
  <c r="E236"/>
  <c r="F236"/>
  <c r="F34" s="1"/>
  <c r="I236"/>
  <c r="B241"/>
  <c r="H241"/>
  <c r="B242"/>
  <c r="H242"/>
  <c r="B243"/>
  <c r="H243"/>
  <c r="B244"/>
  <c r="H244"/>
  <c r="C254"/>
  <c r="D254"/>
  <c r="E254"/>
  <c r="F254"/>
  <c r="G254"/>
  <c r="I254"/>
  <c r="C255"/>
  <c r="D255"/>
  <c r="E255"/>
  <c r="F255"/>
  <c r="G255"/>
  <c r="H255"/>
  <c r="I255"/>
  <c r="J255"/>
  <c r="C256"/>
  <c r="D256"/>
  <c r="E256"/>
  <c r="F256"/>
  <c r="G256"/>
  <c r="H256"/>
  <c r="I256"/>
  <c r="J256"/>
  <c r="C257"/>
  <c r="D257"/>
  <c r="E257"/>
  <c r="F257"/>
  <c r="G257"/>
  <c r="H257"/>
  <c r="I257"/>
  <c r="J257"/>
  <c r="C258"/>
  <c r="D258"/>
  <c r="E258"/>
  <c r="F258"/>
  <c r="G258"/>
  <c r="H258"/>
  <c r="I258"/>
  <c r="J258"/>
  <c r="C259"/>
  <c r="D259"/>
  <c r="E259"/>
  <c r="F259"/>
  <c r="G259"/>
  <c r="H259"/>
  <c r="I259"/>
  <c r="J259"/>
  <c r="C260"/>
  <c r="D260"/>
  <c r="E260"/>
  <c r="F260"/>
  <c r="G260"/>
  <c r="H260"/>
  <c r="I260"/>
  <c r="J260"/>
  <c r="C261"/>
  <c r="D261"/>
  <c r="E261"/>
  <c r="F261"/>
  <c r="G261"/>
  <c r="H261"/>
  <c r="I261"/>
  <c r="J261"/>
  <c r="C262"/>
  <c r="D262"/>
  <c r="E262"/>
  <c r="F262"/>
  <c r="G262"/>
  <c r="H262"/>
  <c r="I262"/>
  <c r="J262"/>
  <c r="C263"/>
  <c r="D263"/>
  <c r="E263"/>
  <c r="F263"/>
  <c r="G263"/>
  <c r="H263"/>
  <c r="I263"/>
  <c r="J263"/>
  <c r="C264"/>
  <c r="D264"/>
  <c r="E264"/>
  <c r="F264"/>
  <c r="G264"/>
  <c r="H264"/>
  <c r="I264"/>
  <c r="J264"/>
  <c r="C265"/>
  <c r="D265"/>
  <c r="E265"/>
  <c r="F265"/>
  <c r="G265"/>
  <c r="H265"/>
  <c r="I265"/>
  <c r="J265"/>
  <c r="C266"/>
  <c r="D266"/>
  <c r="E266"/>
  <c r="F266"/>
  <c r="G266"/>
  <c r="I266"/>
  <c r="C267"/>
  <c r="D267"/>
  <c r="E267"/>
  <c r="F267"/>
  <c r="G267"/>
  <c r="H267"/>
  <c r="I267"/>
  <c r="J267"/>
  <c r="C268"/>
  <c r="D268"/>
  <c r="E268"/>
  <c r="F268"/>
  <c r="G268"/>
  <c r="H268"/>
  <c r="I268"/>
  <c r="J268"/>
  <c r="C269"/>
  <c r="D269"/>
  <c r="E269"/>
  <c r="F269"/>
  <c r="G269"/>
  <c r="H269"/>
  <c r="I269"/>
  <c r="J269"/>
  <c r="C270"/>
  <c r="D270"/>
  <c r="E270"/>
  <c r="F270"/>
  <c r="G270"/>
  <c r="H270"/>
  <c r="I270"/>
  <c r="J270"/>
  <c r="C271"/>
  <c r="D271"/>
  <c r="E271"/>
  <c r="F271"/>
  <c r="G271"/>
  <c r="H271"/>
  <c r="I271"/>
  <c r="J271"/>
  <c r="C272"/>
  <c r="D272"/>
  <c r="E272"/>
  <c r="F272"/>
  <c r="G272"/>
  <c r="H272"/>
  <c r="I272"/>
  <c r="J272"/>
  <c r="C273"/>
  <c r="D273"/>
  <c r="E273"/>
  <c r="F273"/>
  <c r="G273"/>
  <c r="H273"/>
  <c r="I273"/>
  <c r="J273"/>
  <c r="C274"/>
  <c r="D274"/>
  <c r="E274"/>
  <c r="F274"/>
  <c r="G274"/>
  <c r="H274"/>
  <c r="I274"/>
  <c r="J274"/>
  <c r="C275"/>
  <c r="D275"/>
  <c r="E275"/>
  <c r="G275"/>
  <c r="H275" s="1"/>
  <c r="I275"/>
  <c r="J275" s="1"/>
  <c r="C276"/>
  <c r="D276" s="1"/>
  <c r="E276"/>
  <c r="F276" s="1"/>
  <c r="G276"/>
  <c r="H276" s="1"/>
  <c r="I276"/>
  <c r="J276" s="1"/>
  <c r="C277"/>
  <c r="D277" s="1"/>
  <c r="E277"/>
  <c r="F277" s="1"/>
  <c r="G277"/>
  <c r="H277" s="1"/>
  <c r="I277"/>
  <c r="J277" s="1"/>
  <c r="C278"/>
  <c r="D278" s="1"/>
  <c r="E278"/>
  <c r="C279"/>
  <c r="D279"/>
  <c r="E279"/>
  <c r="F279"/>
  <c r="C280"/>
  <c r="D280"/>
  <c r="E280"/>
  <c r="F280"/>
  <c r="C281"/>
  <c r="D281"/>
  <c r="E281"/>
  <c r="F281"/>
  <c r="C282"/>
  <c r="D282"/>
  <c r="E282"/>
  <c r="F282"/>
  <c r="C283"/>
  <c r="D283"/>
  <c r="E283"/>
  <c r="F283"/>
  <c r="C284"/>
  <c r="D284"/>
  <c r="E284"/>
  <c r="F284"/>
  <c r="C285"/>
  <c r="D285"/>
  <c r="E285"/>
  <c r="F285"/>
  <c r="C286"/>
  <c r="D286"/>
  <c r="E286"/>
  <c r="F286"/>
  <c r="C287"/>
  <c r="D287"/>
  <c r="E287"/>
  <c r="F287"/>
  <c r="C288"/>
  <c r="D288"/>
  <c r="E288"/>
  <c r="F288"/>
  <c r="C289"/>
  <c r="D289"/>
  <c r="E289"/>
  <c r="F289"/>
  <c r="C290"/>
  <c r="E290"/>
  <c r="G290"/>
  <c r="I290"/>
  <c r="C291"/>
  <c r="D291"/>
  <c r="E291"/>
  <c r="F291"/>
  <c r="G291"/>
  <c r="H291"/>
  <c r="I291"/>
  <c r="J291"/>
  <c r="C292"/>
  <c r="D292"/>
  <c r="E292"/>
  <c r="F292"/>
  <c r="G292"/>
  <c r="H292"/>
  <c r="I292"/>
  <c r="J292"/>
  <c r="C293"/>
  <c r="D293"/>
  <c r="E293"/>
  <c r="F293"/>
  <c r="G293"/>
  <c r="H293"/>
  <c r="I293"/>
  <c r="J293"/>
  <c r="C294"/>
  <c r="D294"/>
  <c r="E294"/>
  <c r="F294"/>
  <c r="G294"/>
  <c r="H294"/>
  <c r="I294"/>
  <c r="J294"/>
  <c r="C295"/>
  <c r="E295"/>
  <c r="G295"/>
  <c r="I295"/>
  <c r="J295" s="1"/>
  <c r="C296"/>
  <c r="D296" s="1"/>
  <c r="E296"/>
  <c r="F296" s="1"/>
  <c r="G296"/>
  <c r="H296" s="1"/>
  <c r="I296"/>
  <c r="J296" s="1"/>
  <c r="C297"/>
  <c r="D297" s="1"/>
  <c r="E297"/>
  <c r="F297" s="1"/>
  <c r="G297"/>
  <c r="H297" s="1"/>
  <c r="I297"/>
  <c r="J297" s="1"/>
  <c r="C298"/>
  <c r="D298" s="1"/>
  <c r="E298"/>
  <c r="F298" s="1"/>
  <c r="G298"/>
  <c r="H298" s="1"/>
  <c r="I298"/>
  <c r="J298" s="1"/>
  <c r="C299"/>
  <c r="D299" s="1"/>
  <c r="E299"/>
  <c r="F299" s="1"/>
  <c r="G299"/>
  <c r="H299" s="1"/>
  <c r="I299"/>
  <c r="J299" s="1"/>
  <c r="C300"/>
  <c r="D300" s="1"/>
  <c r="E300"/>
  <c r="F300" s="1"/>
  <c r="G300"/>
  <c r="H300" s="1"/>
  <c r="I300"/>
  <c r="J300" s="1"/>
  <c r="C301"/>
  <c r="D301" s="1"/>
  <c r="E301"/>
  <c r="F301" s="1"/>
  <c r="G301"/>
  <c r="H301" s="1"/>
  <c r="I301"/>
  <c r="J301" s="1"/>
  <c r="C302"/>
  <c r="D302" s="1"/>
  <c r="E302"/>
  <c r="F302" s="1"/>
  <c r="G302"/>
  <c r="I302" s="1"/>
  <c r="C303"/>
  <c r="D303" s="1"/>
  <c r="E303"/>
  <c r="F303" s="1"/>
  <c r="G303"/>
  <c r="H303" s="1"/>
  <c r="I303"/>
  <c r="J303" s="1"/>
  <c r="C304"/>
  <c r="D304" s="1"/>
  <c r="E304"/>
  <c r="F304" s="1"/>
  <c r="G304"/>
  <c r="H304" s="1"/>
  <c r="I304"/>
  <c r="J304" s="1"/>
  <c r="C305"/>
  <c r="D305" s="1"/>
  <c r="E305"/>
  <c r="F305" s="1"/>
  <c r="G305"/>
  <c r="H305" s="1"/>
  <c r="I305"/>
  <c r="J305" s="1"/>
  <c r="C306"/>
  <c r="D306" s="1"/>
  <c r="E306"/>
  <c r="F306" s="1"/>
  <c r="G306"/>
  <c r="H306" s="1"/>
  <c r="I306"/>
  <c r="J306" s="1"/>
  <c r="C307"/>
  <c r="D307" s="1"/>
  <c r="E307"/>
  <c r="F307" s="1"/>
  <c r="G307"/>
  <c r="H307" s="1"/>
  <c r="I307"/>
  <c r="J307" s="1"/>
  <c r="C308"/>
  <c r="D308" s="1"/>
  <c r="E308"/>
  <c r="F308" s="1"/>
  <c r="G308"/>
  <c r="H308" s="1"/>
  <c r="I308"/>
  <c r="J308" s="1"/>
  <c r="C309"/>
  <c r="D309" s="1"/>
  <c r="E309"/>
  <c r="F309" s="1"/>
  <c r="G309"/>
  <c r="H309" s="1"/>
  <c r="I309"/>
  <c r="J309" s="1"/>
  <c r="C310"/>
  <c r="D310" s="1"/>
  <c r="E310"/>
  <c r="F310" s="1"/>
  <c r="G310"/>
  <c r="H310" s="1"/>
  <c r="I310"/>
  <c r="J310" s="1"/>
  <c r="C311"/>
  <c r="D311" s="1"/>
  <c r="E311"/>
  <c r="F311" s="1"/>
  <c r="G311"/>
  <c r="H311" s="1"/>
  <c r="I311"/>
  <c r="J311" s="1"/>
  <c r="C312"/>
  <c r="D312" s="1"/>
  <c r="E312"/>
  <c r="F312" s="1"/>
  <c r="G312"/>
  <c r="H312" s="1"/>
  <c r="I312"/>
  <c r="J312" s="1"/>
  <c r="C313"/>
  <c r="D313" s="1"/>
  <c r="E313"/>
  <c r="F313" s="1"/>
  <c r="G313"/>
  <c r="H313" s="1"/>
  <c r="I313"/>
  <c r="J313" s="1"/>
  <c r="C314"/>
  <c r="D314" s="1"/>
  <c r="E314"/>
  <c r="F314" s="1"/>
  <c r="G314"/>
  <c r="I314" s="1"/>
  <c r="C315"/>
  <c r="D315" s="1"/>
  <c r="E315"/>
  <c r="F315" s="1"/>
  <c r="G315"/>
  <c r="H315" s="1"/>
  <c r="I315"/>
  <c r="J315" s="1"/>
  <c r="C316"/>
  <c r="D316" s="1"/>
  <c r="E316"/>
  <c r="F316" s="1"/>
  <c r="G316"/>
  <c r="H316" s="1"/>
  <c r="I316"/>
  <c r="J316" s="1"/>
  <c r="C317"/>
  <c r="D317" s="1"/>
  <c r="E317"/>
  <c r="F317" s="1"/>
  <c r="G317"/>
  <c r="H317" s="1"/>
  <c r="I317"/>
  <c r="J317" s="1"/>
  <c r="C318"/>
  <c r="D318" s="1"/>
  <c r="E318"/>
  <c r="F318" s="1"/>
  <c r="G318"/>
  <c r="H318" s="1"/>
  <c r="I318"/>
  <c r="J318" s="1"/>
  <c r="C319"/>
  <c r="D319" s="1"/>
  <c r="E319"/>
  <c r="F319" s="1"/>
  <c r="G319"/>
  <c r="H319" s="1"/>
  <c r="I319"/>
  <c r="J319" s="1"/>
  <c r="C320"/>
  <c r="D320" s="1"/>
  <c r="E320"/>
  <c r="F320" s="1"/>
  <c r="G320"/>
  <c r="H320" s="1"/>
  <c r="I320"/>
  <c r="J320" s="1"/>
  <c r="C321"/>
  <c r="D321" s="1"/>
  <c r="E321"/>
  <c r="F321" s="1"/>
  <c r="G321"/>
  <c r="H321" s="1"/>
  <c r="I321"/>
  <c r="J321" s="1"/>
  <c r="C322"/>
  <c r="D322" s="1"/>
  <c r="E322"/>
  <c r="F322" s="1"/>
  <c r="G322"/>
  <c r="H322" s="1"/>
  <c r="I322"/>
  <c r="J322" s="1"/>
  <c r="C323"/>
  <c r="D323" s="1"/>
  <c r="E323"/>
  <c r="F323" s="1"/>
  <c r="G323"/>
  <c r="H323" s="1"/>
  <c r="I323"/>
  <c r="J323" s="1"/>
  <c r="C324"/>
  <c r="D324" s="1"/>
  <c r="E324"/>
  <c r="F324" s="1"/>
  <c r="G324"/>
  <c r="H324" s="1"/>
  <c r="I324"/>
  <c r="J324" s="1"/>
  <c r="C325"/>
  <c r="D325" s="1"/>
  <c r="E325"/>
  <c r="F325" s="1"/>
  <c r="G325"/>
  <c r="C326"/>
  <c r="C327"/>
  <c r="E327"/>
  <c r="C328"/>
  <c r="D328" s="1"/>
  <c r="E328"/>
  <c r="F328" s="1"/>
  <c r="C329"/>
  <c r="D329" s="1"/>
  <c r="E329"/>
  <c r="C330"/>
  <c r="D330" s="1"/>
  <c r="E330"/>
  <c r="F330" s="1"/>
  <c r="C331"/>
  <c r="D331" s="1"/>
  <c r="E331"/>
  <c r="C332"/>
  <c r="D332" s="1"/>
  <c r="E332"/>
  <c r="F332" s="1"/>
  <c r="C333"/>
  <c r="D333" s="1"/>
  <c r="E333"/>
  <c r="C334"/>
  <c r="D334" s="1"/>
  <c r="E334"/>
  <c r="F334" s="1"/>
  <c r="C335"/>
  <c r="D335" s="1"/>
  <c r="E335"/>
  <c r="C336"/>
  <c r="D336" s="1"/>
  <c r="E336"/>
  <c r="F336" s="1"/>
  <c r="C337"/>
  <c r="D337" s="1"/>
  <c r="E337"/>
  <c r="C338"/>
  <c r="D338" s="1"/>
  <c r="E338"/>
  <c r="F338" s="1"/>
  <c r="G338"/>
  <c r="C339"/>
  <c r="D339"/>
  <c r="E339"/>
  <c r="F339"/>
  <c r="C340"/>
  <c r="D340"/>
  <c r="E340"/>
  <c r="F340"/>
  <c r="C341"/>
  <c r="D341"/>
  <c r="E341"/>
  <c r="F341"/>
  <c r="C342"/>
  <c r="D342"/>
  <c r="E342"/>
  <c r="F342"/>
  <c r="C343"/>
  <c r="D343"/>
  <c r="E343"/>
  <c r="F343"/>
  <c r="C344"/>
  <c r="D344"/>
  <c r="E344"/>
  <c r="F344"/>
  <c r="C345"/>
  <c r="D345"/>
  <c r="E345"/>
  <c r="F345"/>
  <c r="C346"/>
  <c r="D346"/>
  <c r="E346"/>
  <c r="F346"/>
  <c r="C347"/>
  <c r="D347"/>
  <c r="E347"/>
  <c r="F347"/>
  <c r="C348"/>
  <c r="D348"/>
  <c r="E348"/>
  <c r="F348"/>
  <c r="C353"/>
  <c r="C354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D456"/>
  <c r="E456"/>
  <c r="F456" s="1"/>
  <c r="G456"/>
  <c r="I456" s="1"/>
  <c r="J457" s="1"/>
  <c r="D457"/>
  <c r="E457"/>
  <c r="F457"/>
  <c r="G457"/>
  <c r="I457"/>
  <c r="D458"/>
  <c r="E458"/>
  <c r="F458" s="1"/>
  <c r="G458"/>
  <c r="H458" s="1"/>
  <c r="D459"/>
  <c r="E459"/>
  <c r="F459"/>
  <c r="G459"/>
  <c r="H459"/>
  <c r="I459"/>
  <c r="D460"/>
  <c r="E460"/>
  <c r="F460" s="1"/>
  <c r="G460"/>
  <c r="H460" s="1"/>
  <c r="I460"/>
  <c r="J460" s="1"/>
  <c r="D461"/>
  <c r="E461"/>
  <c r="G461"/>
  <c r="H461"/>
  <c r="I461"/>
  <c r="D462"/>
  <c r="E462"/>
  <c r="F462" s="1"/>
  <c r="G462"/>
  <c r="H462" s="1"/>
  <c r="D463"/>
  <c r="E463"/>
  <c r="F463"/>
  <c r="G463"/>
  <c r="H463"/>
  <c r="I463"/>
  <c r="D464"/>
  <c r="E464"/>
  <c r="F464" s="1"/>
  <c r="G464"/>
  <c r="H464" s="1"/>
  <c r="I464"/>
  <c r="J464" s="1"/>
  <c r="D465"/>
  <c r="E465"/>
  <c r="G465"/>
  <c r="H465"/>
  <c r="I465"/>
  <c r="D466"/>
  <c r="E466"/>
  <c r="F466" s="1"/>
  <c r="G466"/>
  <c r="H466" s="1"/>
  <c r="D467"/>
  <c r="E467"/>
  <c r="F467"/>
  <c r="G467"/>
  <c r="H467"/>
  <c r="I467"/>
  <c r="D468"/>
  <c r="E468"/>
  <c r="F468" s="1"/>
  <c r="G468"/>
  <c r="I468" s="1"/>
  <c r="D469"/>
  <c r="E469"/>
  <c r="F469"/>
  <c r="G469"/>
  <c r="H469"/>
  <c r="I469"/>
  <c r="J469"/>
  <c r="D470"/>
  <c r="E470"/>
  <c r="F470" s="1"/>
  <c r="G470"/>
  <c r="H470" s="1"/>
  <c r="I470"/>
  <c r="J470" s="1"/>
  <c r="D471"/>
  <c r="E471"/>
  <c r="G471"/>
  <c r="H471"/>
  <c r="I471"/>
  <c r="D472"/>
  <c r="E472"/>
  <c r="F472" s="1"/>
  <c r="G472"/>
  <c r="H472" s="1"/>
  <c r="D473"/>
  <c r="E473"/>
  <c r="F473"/>
  <c r="G473"/>
  <c r="H473"/>
  <c r="I473"/>
  <c r="D474"/>
  <c r="E474"/>
  <c r="F474" s="1"/>
  <c r="G474"/>
  <c r="H474" s="1"/>
  <c r="I474"/>
  <c r="J474" s="1"/>
  <c r="D475"/>
  <c r="E475"/>
  <c r="G475"/>
  <c r="H475"/>
  <c r="I475"/>
  <c r="D476"/>
  <c r="E476"/>
  <c r="F476" s="1"/>
  <c r="G476"/>
  <c r="H476" s="1"/>
  <c r="D477"/>
  <c r="E477"/>
  <c r="G477"/>
  <c r="H477" s="1"/>
  <c r="D478"/>
  <c r="E478"/>
  <c r="F478"/>
  <c r="G478"/>
  <c r="H478"/>
  <c r="I478"/>
  <c r="D479"/>
  <c r="E479"/>
  <c r="F479" s="1"/>
  <c r="G479"/>
  <c r="H479" s="1"/>
  <c r="I479"/>
  <c r="J479" s="1"/>
  <c r="D480"/>
  <c r="E480"/>
  <c r="G480"/>
  <c r="I480" s="1"/>
  <c r="D481"/>
  <c r="E481"/>
  <c r="F481"/>
  <c r="G481"/>
  <c r="H481"/>
  <c r="I481"/>
  <c r="J481"/>
  <c r="D482"/>
  <c r="E482"/>
  <c r="F482" s="1"/>
  <c r="G482"/>
  <c r="H482" s="1"/>
  <c r="I482"/>
  <c r="J482" s="1"/>
  <c r="D483"/>
  <c r="E483"/>
  <c r="G483"/>
  <c r="H483"/>
  <c r="I483"/>
  <c r="D484"/>
  <c r="E484"/>
  <c r="F484" s="1"/>
  <c r="G484"/>
  <c r="H484" s="1"/>
  <c r="D485"/>
  <c r="E485"/>
  <c r="F485"/>
  <c r="G485"/>
  <c r="H485"/>
  <c r="I485"/>
  <c r="D486"/>
  <c r="E486"/>
  <c r="F486" s="1"/>
  <c r="G486"/>
  <c r="H486" s="1"/>
  <c r="I486"/>
  <c r="J486" s="1"/>
  <c r="D487"/>
  <c r="E487"/>
  <c r="G487"/>
  <c r="H487"/>
  <c r="I487"/>
  <c r="D488"/>
  <c r="E488"/>
  <c r="F488" s="1"/>
  <c r="G488"/>
  <c r="H488" s="1"/>
  <c r="D489"/>
  <c r="E489"/>
  <c r="F489"/>
  <c r="G489"/>
  <c r="H489"/>
  <c r="I489"/>
  <c r="D490"/>
  <c r="E490"/>
  <c r="F490" s="1"/>
  <c r="G490"/>
  <c r="H490" s="1"/>
  <c r="I490"/>
  <c r="J490" s="1"/>
  <c r="D491"/>
  <c r="E491"/>
  <c r="G491"/>
  <c r="H491"/>
  <c r="I491"/>
  <c r="C496"/>
  <c r="C497"/>
  <c r="E497"/>
  <c r="F497" s="1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G516"/>
  <c r="J516"/>
  <c r="G517"/>
  <c r="J517"/>
  <c r="J518"/>
  <c r="J519"/>
  <c r="J520"/>
  <c r="J521"/>
  <c r="G522"/>
  <c r="J522"/>
  <c r="G523"/>
  <c r="J523"/>
  <c r="J524"/>
  <c r="J525"/>
  <c r="J526"/>
  <c r="J527"/>
  <c r="J528"/>
  <c r="J529"/>
  <c r="J530"/>
  <c r="J531"/>
  <c r="J532"/>
  <c r="E539"/>
  <c r="G539"/>
  <c r="I539"/>
  <c r="D540"/>
  <c r="E540"/>
  <c r="F540" s="1"/>
  <c r="G540"/>
  <c r="I540" s="1"/>
  <c r="D541"/>
  <c r="E541"/>
  <c r="F541"/>
  <c r="G541"/>
  <c r="H541"/>
  <c r="I541"/>
  <c r="D542"/>
  <c r="E542"/>
  <c r="F542" s="1"/>
  <c r="G542"/>
  <c r="I542"/>
  <c r="J542" s="1"/>
  <c r="D543"/>
  <c r="E543"/>
  <c r="G543"/>
  <c r="H543"/>
  <c r="I543"/>
  <c r="E544"/>
  <c r="G544"/>
  <c r="I544" s="1"/>
  <c r="J544"/>
  <c r="D545"/>
  <c r="E545"/>
  <c r="F545" s="1"/>
  <c r="G545"/>
  <c r="I545"/>
  <c r="J545" s="1"/>
  <c r="D546"/>
  <c r="E546"/>
  <c r="G546"/>
  <c r="H546"/>
  <c r="I546"/>
  <c r="D547"/>
  <c r="E547"/>
  <c r="F547" s="1"/>
  <c r="G547"/>
  <c r="I547" s="1"/>
  <c r="D548"/>
  <c r="E548"/>
  <c r="F548"/>
  <c r="G548"/>
  <c r="H548"/>
  <c r="I548"/>
  <c r="D549"/>
  <c r="E549"/>
  <c r="F549" s="1"/>
  <c r="G549"/>
  <c r="I549"/>
  <c r="J549" s="1"/>
  <c r="D550"/>
  <c r="E550"/>
  <c r="G550"/>
  <c r="H550"/>
  <c r="I550"/>
  <c r="D551"/>
  <c r="E551"/>
  <c r="F551" s="1"/>
  <c r="G551"/>
  <c r="I551" s="1"/>
  <c r="J552" s="1"/>
  <c r="D552"/>
  <c r="E552"/>
  <c r="F552"/>
  <c r="G552"/>
  <c r="I552"/>
  <c r="D553"/>
  <c r="E553"/>
  <c r="F553" s="1"/>
  <c r="G553"/>
  <c r="H553" s="1"/>
  <c r="D554"/>
  <c r="E554"/>
  <c r="F554"/>
  <c r="G554"/>
  <c r="H554"/>
  <c r="I554"/>
  <c r="D555"/>
  <c r="E555"/>
  <c r="F555" s="1"/>
  <c r="G555"/>
  <c r="H555" s="1"/>
  <c r="I555"/>
  <c r="J555" s="1"/>
  <c r="D556"/>
  <c r="E556"/>
  <c r="G556"/>
  <c r="H556"/>
  <c r="I556"/>
  <c r="D557"/>
  <c r="E557"/>
  <c r="F557" s="1"/>
  <c r="G557"/>
  <c r="H557" s="1"/>
  <c r="D558"/>
  <c r="E558"/>
  <c r="F558"/>
  <c r="G558"/>
  <c r="H558"/>
  <c r="I558"/>
  <c r="D559"/>
  <c r="E559"/>
  <c r="F559" s="1"/>
  <c r="G559"/>
  <c r="H559" s="1"/>
  <c r="I559"/>
  <c r="J559" s="1"/>
  <c r="D560"/>
  <c r="E560"/>
  <c r="G560"/>
  <c r="H560"/>
  <c r="I560"/>
  <c r="D561"/>
  <c r="E561"/>
  <c r="F561" s="1"/>
  <c r="G561"/>
  <c r="H561" s="1"/>
  <c r="D562"/>
  <c r="E562"/>
  <c r="F562"/>
  <c r="G562"/>
  <c r="H562"/>
  <c r="I562"/>
  <c r="D563"/>
  <c r="E563"/>
  <c r="F563" s="1"/>
  <c r="G563"/>
  <c r="I563" s="1"/>
  <c r="D564"/>
  <c r="E564"/>
  <c r="F564"/>
  <c r="G564"/>
  <c r="H564"/>
  <c r="I564"/>
  <c r="J564"/>
  <c r="D565"/>
  <c r="E565"/>
  <c r="F565" s="1"/>
  <c r="G565"/>
  <c r="H565" s="1"/>
  <c r="I565"/>
  <c r="J565" s="1"/>
  <c r="D566"/>
  <c r="E566"/>
  <c r="G566"/>
  <c r="H566"/>
  <c r="I566"/>
  <c r="D567"/>
  <c r="E567"/>
  <c r="F567" s="1"/>
  <c r="G567"/>
  <c r="H567" s="1"/>
  <c r="D568"/>
  <c r="E568"/>
  <c r="F568"/>
  <c r="G568"/>
  <c r="H568"/>
  <c r="I568"/>
  <c r="D569"/>
  <c r="E569"/>
  <c r="F569" s="1"/>
  <c r="G569"/>
  <c r="H569" s="1"/>
  <c r="I569"/>
  <c r="J569" s="1"/>
  <c r="D570"/>
  <c r="E570"/>
  <c r="G570"/>
  <c r="H570"/>
  <c r="I570"/>
  <c r="D571"/>
  <c r="E571"/>
  <c r="F571" s="1"/>
  <c r="G571"/>
  <c r="H571" s="1"/>
  <c r="D572"/>
  <c r="E572"/>
  <c r="F572"/>
  <c r="G572"/>
  <c r="H572"/>
  <c r="I572"/>
  <c r="D573"/>
  <c r="E573"/>
  <c r="F573" s="1"/>
  <c r="G573"/>
  <c r="H573" s="1"/>
  <c r="I573"/>
  <c r="J573" s="1"/>
  <c r="D574"/>
  <c r="E574"/>
  <c r="G574"/>
  <c r="H574"/>
  <c r="I574"/>
  <c r="D575"/>
  <c r="E575"/>
  <c r="F575" s="1"/>
  <c r="G575"/>
  <c r="I575" s="1"/>
  <c r="J576" s="1"/>
  <c r="D576"/>
  <c r="E576"/>
  <c r="F576"/>
  <c r="G576"/>
  <c r="I576"/>
  <c r="D577"/>
  <c r="E577"/>
  <c r="F577" s="1"/>
  <c r="G577"/>
  <c r="H577" s="1"/>
  <c r="D578"/>
  <c r="E578"/>
  <c r="F578"/>
  <c r="G578"/>
  <c r="H578"/>
  <c r="I578"/>
  <c r="D579"/>
  <c r="E579"/>
  <c r="F579" s="1"/>
  <c r="G579"/>
  <c r="H579" s="1"/>
  <c r="I579"/>
  <c r="J579" s="1"/>
  <c r="D580"/>
  <c r="E580"/>
  <c r="G580"/>
  <c r="H580"/>
  <c r="I580"/>
  <c r="D581"/>
  <c r="E581"/>
  <c r="F581" s="1"/>
  <c r="G581"/>
  <c r="H581" s="1"/>
  <c r="D582"/>
  <c r="E582"/>
  <c r="F582"/>
  <c r="G582"/>
  <c r="H582"/>
  <c r="I582"/>
  <c r="D583"/>
  <c r="E583"/>
  <c r="F583" s="1"/>
  <c r="G583"/>
  <c r="H583" s="1"/>
  <c r="I583"/>
  <c r="J583" s="1"/>
  <c r="D584"/>
  <c r="E584"/>
  <c r="G584"/>
  <c r="H584"/>
  <c r="I584"/>
  <c r="D585"/>
  <c r="E585"/>
  <c r="F585" s="1"/>
  <c r="G585"/>
  <c r="H585" s="1"/>
  <c r="D586"/>
  <c r="E586"/>
  <c r="F586"/>
  <c r="G586"/>
  <c r="H586"/>
  <c r="I586"/>
  <c r="D587"/>
  <c r="E587"/>
  <c r="F587" s="1"/>
  <c r="G587"/>
  <c r="I587" s="1"/>
  <c r="D588"/>
  <c r="E588"/>
  <c r="F588"/>
  <c r="G588"/>
  <c r="H588"/>
  <c r="I588"/>
  <c r="J588"/>
  <c r="D589"/>
  <c r="E589"/>
  <c r="F589" s="1"/>
  <c r="G589"/>
  <c r="H589" s="1"/>
  <c r="I589"/>
  <c r="J589" s="1"/>
  <c r="D590"/>
  <c r="E590"/>
  <c r="G590"/>
  <c r="H590"/>
  <c r="I590"/>
  <c r="D591"/>
  <c r="E591"/>
  <c r="F591" s="1"/>
  <c r="G591"/>
  <c r="H591" s="1"/>
  <c r="D592"/>
  <c r="E592"/>
  <c r="F592"/>
  <c r="G592"/>
  <c r="H592"/>
  <c r="I592"/>
  <c r="D593"/>
  <c r="E593"/>
  <c r="F593" s="1"/>
  <c r="G593"/>
  <c r="H593" s="1"/>
  <c r="I593"/>
  <c r="J593" s="1"/>
  <c r="D594"/>
  <c r="E594"/>
  <c r="G594"/>
  <c r="H594"/>
  <c r="I594"/>
  <c r="D595"/>
  <c r="E595"/>
  <c r="F595" s="1"/>
  <c r="G595"/>
  <c r="H595" s="1"/>
  <c r="D596"/>
  <c r="E596"/>
  <c r="F596"/>
  <c r="G596"/>
  <c r="H596"/>
  <c r="I596"/>
  <c r="D597"/>
  <c r="E597"/>
  <c r="F597" s="1"/>
  <c r="G597"/>
  <c r="H597" s="1"/>
  <c r="I597"/>
  <c r="J597" s="1"/>
  <c r="D598"/>
  <c r="E598"/>
  <c r="G598"/>
  <c r="H598"/>
  <c r="I598"/>
  <c r="J604"/>
  <c r="J605"/>
  <c r="J606"/>
  <c r="G607"/>
  <c r="J607"/>
  <c r="J608"/>
  <c r="J609"/>
  <c r="J610"/>
  <c r="J611"/>
  <c r="J612"/>
  <c r="J613"/>
  <c r="J614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E669"/>
  <c r="G669"/>
  <c r="I669"/>
  <c r="D670"/>
  <c r="E670"/>
  <c r="F670"/>
  <c r="G670"/>
  <c r="I670"/>
  <c r="J670" s="1"/>
  <c r="D671"/>
  <c r="E671"/>
  <c r="F671"/>
  <c r="G671"/>
  <c r="H671"/>
  <c r="I671"/>
  <c r="J671"/>
  <c r="D672"/>
  <c r="E672"/>
  <c r="F672" s="1"/>
  <c r="G672"/>
  <c r="H672" s="1"/>
  <c r="I672"/>
  <c r="J672" s="1"/>
  <c r="D673"/>
  <c r="E673"/>
  <c r="G673"/>
  <c r="H673"/>
  <c r="I673"/>
  <c r="D674"/>
  <c r="E674"/>
  <c r="F674" s="1"/>
  <c r="G674"/>
  <c r="H674" s="1"/>
  <c r="I674"/>
  <c r="J674" s="1"/>
  <c r="D675"/>
  <c r="E675"/>
  <c r="F675"/>
  <c r="G675"/>
  <c r="H675"/>
  <c r="I675"/>
  <c r="J675"/>
  <c r="D676"/>
  <c r="E676"/>
  <c r="F676" s="1"/>
  <c r="G676"/>
  <c r="H676" s="1"/>
  <c r="I676"/>
  <c r="J676" s="1"/>
  <c r="D677"/>
  <c r="E677"/>
  <c r="G677"/>
  <c r="H677"/>
  <c r="I677"/>
  <c r="D678"/>
  <c r="E678"/>
  <c r="F678" s="1"/>
  <c r="G678"/>
  <c r="H678" s="1"/>
  <c r="I678"/>
  <c r="J678" s="1"/>
  <c r="D679"/>
  <c r="E679"/>
  <c r="F679"/>
  <c r="G679"/>
  <c r="H679"/>
  <c r="I679"/>
  <c r="J679"/>
  <c r="D680"/>
  <c r="E680"/>
  <c r="F680" s="1"/>
  <c r="G680"/>
  <c r="H680" s="1"/>
  <c r="I680"/>
  <c r="J680" s="1"/>
  <c r="E681"/>
  <c r="G681"/>
  <c r="H681"/>
  <c r="I681"/>
  <c r="E682"/>
  <c r="G682"/>
  <c r="I682"/>
  <c r="E683"/>
  <c r="G683"/>
  <c r="I683"/>
  <c r="E684"/>
  <c r="G684"/>
  <c r="I684"/>
  <c r="E685"/>
  <c r="G685"/>
  <c r="I685"/>
  <c r="E686"/>
  <c r="G686"/>
  <c r="I686"/>
  <c r="E687"/>
  <c r="G687"/>
  <c r="I687"/>
  <c r="E688"/>
  <c r="G688"/>
  <c r="I688"/>
  <c r="E689"/>
  <c r="G689"/>
  <c r="I689"/>
  <c r="E690"/>
  <c r="G690"/>
  <c r="I690"/>
  <c r="E691"/>
  <c r="G691"/>
  <c r="I691"/>
  <c r="E692"/>
  <c r="G692"/>
  <c r="I692"/>
  <c r="E693"/>
  <c r="G693"/>
  <c r="I693"/>
  <c r="E694"/>
  <c r="G694"/>
  <c r="I694"/>
  <c r="E695"/>
  <c r="G695"/>
  <c r="I695"/>
  <c r="E696"/>
  <c r="G696"/>
  <c r="I696"/>
  <c r="E697"/>
  <c r="G697"/>
  <c r="I697"/>
  <c r="E698"/>
  <c r="G698"/>
  <c r="I698"/>
  <c r="E699"/>
  <c r="G699"/>
  <c r="I699"/>
  <c r="E700"/>
  <c r="G700"/>
  <c r="I700"/>
  <c r="E701"/>
  <c r="G701"/>
  <c r="I701"/>
  <c r="E702"/>
  <c r="G702"/>
  <c r="I702"/>
  <c r="E703"/>
  <c r="G703"/>
  <c r="I703"/>
  <c r="E704"/>
  <c r="G704"/>
  <c r="I704"/>
  <c r="E705"/>
  <c r="G705"/>
  <c r="I705"/>
  <c r="C710"/>
  <c r="E710" s="1"/>
  <c r="C711"/>
  <c r="E711" s="1"/>
  <c r="F711" s="1"/>
  <c r="J711"/>
  <c r="J712"/>
  <c r="J713"/>
  <c r="J714"/>
  <c r="J715"/>
  <c r="J716"/>
  <c r="E754"/>
  <c r="G754"/>
  <c r="I754"/>
  <c r="D755"/>
  <c r="E755"/>
  <c r="F755" s="1"/>
  <c r="G755"/>
  <c r="H755" s="1"/>
  <c r="I755"/>
  <c r="J755" s="1"/>
  <c r="D756"/>
  <c r="E756"/>
  <c r="F756"/>
  <c r="G756"/>
  <c r="H756"/>
  <c r="I756"/>
  <c r="J756"/>
  <c r="D757"/>
  <c r="E757"/>
  <c r="F757" s="1"/>
  <c r="G757"/>
  <c r="H757" s="1"/>
  <c r="I757"/>
  <c r="J757" s="1"/>
  <c r="D758"/>
  <c r="E758"/>
  <c r="F758"/>
  <c r="G758"/>
  <c r="H758"/>
  <c r="I758"/>
  <c r="J758"/>
  <c r="D759"/>
  <c r="E759"/>
  <c r="F759" s="1"/>
  <c r="G759"/>
  <c r="H759" s="1"/>
  <c r="I759"/>
  <c r="J759" s="1"/>
  <c r="D760"/>
  <c r="E760"/>
  <c r="F760"/>
  <c r="G760"/>
  <c r="H760"/>
  <c r="I760"/>
  <c r="J760"/>
  <c r="D761"/>
  <c r="E761"/>
  <c r="F761" s="1"/>
  <c r="G761"/>
  <c r="H761" s="1"/>
  <c r="I761"/>
  <c r="J761" s="1"/>
  <c r="D762"/>
  <c r="E762"/>
  <c r="F762"/>
  <c r="G762"/>
  <c r="H762"/>
  <c r="I762"/>
  <c r="J762"/>
  <c r="D763"/>
  <c r="E763"/>
  <c r="F763" s="1"/>
  <c r="G763"/>
  <c r="H763" s="1"/>
  <c r="I763"/>
  <c r="J763" s="1"/>
  <c r="D764"/>
  <c r="E764"/>
  <c r="F764"/>
  <c r="G764"/>
  <c r="H764"/>
  <c r="I764"/>
  <c r="J764"/>
  <c r="D765"/>
  <c r="E765"/>
  <c r="F765" s="1"/>
  <c r="G765"/>
  <c r="H765" s="1"/>
  <c r="I765"/>
  <c r="J765" s="1"/>
  <c r="D766"/>
  <c r="E766"/>
  <c r="F766"/>
  <c r="G766"/>
  <c r="I766"/>
  <c r="D767"/>
  <c r="E767"/>
  <c r="F767" s="1"/>
  <c r="G767"/>
  <c r="H767" s="1"/>
  <c r="I767"/>
  <c r="J767" s="1"/>
  <c r="D768"/>
  <c r="E768"/>
  <c r="F768"/>
  <c r="G768"/>
  <c r="H768"/>
  <c r="I768"/>
  <c r="J768"/>
  <c r="D769"/>
  <c r="E769"/>
  <c r="F769" s="1"/>
  <c r="G769"/>
  <c r="H769" s="1"/>
  <c r="I769"/>
  <c r="J769" s="1"/>
  <c r="D770"/>
  <c r="E770"/>
  <c r="F770"/>
  <c r="G770"/>
  <c r="H770"/>
  <c r="I770"/>
  <c r="J770"/>
  <c r="D771"/>
  <c r="E771"/>
  <c r="F771" s="1"/>
  <c r="G771"/>
  <c r="H771" s="1"/>
  <c r="I771"/>
  <c r="J771" s="1"/>
  <c r="D772"/>
  <c r="E772"/>
  <c r="F772"/>
  <c r="G772"/>
  <c r="H772"/>
  <c r="I772"/>
  <c r="J772"/>
  <c r="D773"/>
  <c r="E773"/>
  <c r="F773" s="1"/>
  <c r="G773"/>
  <c r="H773" s="1"/>
  <c r="I773"/>
  <c r="J773" s="1"/>
  <c r="D774"/>
  <c r="E774"/>
  <c r="F774"/>
  <c r="G774"/>
  <c r="H774"/>
  <c r="I774"/>
  <c r="J774"/>
  <c r="D775"/>
  <c r="E775"/>
  <c r="G775"/>
  <c r="H775"/>
  <c r="I775"/>
  <c r="J775"/>
  <c r="D776"/>
  <c r="E776"/>
  <c r="F776" s="1"/>
  <c r="G776"/>
  <c r="H776" s="1"/>
  <c r="I776"/>
  <c r="J776" s="1"/>
  <c r="D777"/>
  <c r="E777"/>
  <c r="F777"/>
  <c r="G777"/>
  <c r="H777"/>
  <c r="I777"/>
  <c r="J777"/>
  <c r="D778"/>
  <c r="E778"/>
  <c r="G778"/>
  <c r="I778"/>
  <c r="D779"/>
  <c r="E779"/>
  <c r="F779" s="1"/>
  <c r="G779"/>
  <c r="H779" s="1"/>
  <c r="I779"/>
  <c r="J779" s="1"/>
  <c r="D780"/>
  <c r="E780"/>
  <c r="F780"/>
  <c r="G780"/>
  <c r="H780"/>
  <c r="I780"/>
  <c r="J780"/>
  <c r="D781"/>
  <c r="E781"/>
  <c r="F781" s="1"/>
  <c r="G781"/>
  <c r="H781" s="1"/>
  <c r="I781"/>
  <c r="J781" s="1"/>
  <c r="D782"/>
  <c r="E782"/>
  <c r="F782"/>
  <c r="G782"/>
  <c r="H782"/>
  <c r="I782"/>
  <c r="J782"/>
  <c r="D783"/>
  <c r="E783"/>
  <c r="F783" s="1"/>
  <c r="G783"/>
  <c r="H783" s="1"/>
  <c r="I783"/>
  <c r="J783" s="1"/>
  <c r="D784"/>
  <c r="E784"/>
  <c r="F784"/>
  <c r="G784"/>
  <c r="H784"/>
  <c r="I784"/>
  <c r="J784"/>
  <c r="D785"/>
  <c r="E785"/>
  <c r="F785" s="1"/>
  <c r="G785"/>
  <c r="H785" s="1"/>
  <c r="I785"/>
  <c r="J785" s="1"/>
  <c r="D786"/>
  <c r="E786"/>
  <c r="F786"/>
  <c r="G786"/>
  <c r="H786"/>
  <c r="I786"/>
  <c r="J786"/>
  <c r="D787"/>
  <c r="E787"/>
  <c r="F787" s="1"/>
  <c r="G787"/>
  <c r="H787" s="1"/>
  <c r="I787"/>
  <c r="J787" s="1"/>
  <c r="D788"/>
  <c r="E788"/>
  <c r="F788"/>
  <c r="G788"/>
  <c r="H788"/>
  <c r="I788"/>
  <c r="J788"/>
  <c r="D789"/>
  <c r="E789"/>
  <c r="F789" s="1"/>
  <c r="G789"/>
  <c r="H789" s="1"/>
  <c r="I789"/>
  <c r="J789" s="1"/>
  <c r="E790"/>
  <c r="G790"/>
  <c r="I790"/>
  <c r="D791"/>
  <c r="E791"/>
  <c r="F791" s="1"/>
  <c r="G791"/>
  <c r="H791" s="1"/>
  <c r="I791"/>
  <c r="J791" s="1"/>
  <c r="D792"/>
  <c r="E792"/>
  <c r="F792"/>
  <c r="G792"/>
  <c r="H792"/>
  <c r="I792"/>
  <c r="J792"/>
  <c r="D793"/>
  <c r="E793"/>
  <c r="F793" s="1"/>
  <c r="G793"/>
  <c r="H793" s="1"/>
  <c r="I793"/>
  <c r="J793" s="1"/>
  <c r="D794"/>
  <c r="E794"/>
  <c r="F794"/>
  <c r="G794"/>
  <c r="H794"/>
  <c r="I794"/>
  <c r="J794"/>
  <c r="E795"/>
  <c r="G795"/>
  <c r="I795" s="1"/>
  <c r="J795" s="1"/>
  <c r="D796"/>
  <c r="E796"/>
  <c r="F796" s="1"/>
  <c r="G796"/>
  <c r="H796" s="1"/>
  <c r="I796"/>
  <c r="J796" s="1"/>
  <c r="D797"/>
  <c r="E797"/>
  <c r="F797"/>
  <c r="G797"/>
  <c r="H797"/>
  <c r="I797"/>
  <c r="J797"/>
  <c r="D798"/>
  <c r="E798"/>
  <c r="F798" s="1"/>
  <c r="G798"/>
  <c r="H798" s="1"/>
  <c r="I798"/>
  <c r="J798" s="1"/>
  <c r="D799"/>
  <c r="E799"/>
  <c r="F799"/>
  <c r="G799"/>
  <c r="H799"/>
  <c r="I799"/>
  <c r="J799"/>
  <c r="D800"/>
  <c r="E800"/>
  <c r="F800" s="1"/>
  <c r="G800"/>
  <c r="H800" s="1"/>
  <c r="I800"/>
  <c r="J800" s="1"/>
  <c r="D801"/>
  <c r="E801"/>
  <c r="F801"/>
  <c r="G801"/>
  <c r="H801"/>
  <c r="I801"/>
  <c r="J801"/>
  <c r="D802"/>
  <c r="E802"/>
  <c r="F802" s="1"/>
  <c r="G802"/>
  <c r="I802" s="1"/>
  <c r="J803" s="1"/>
  <c r="D803"/>
  <c r="E803"/>
  <c r="F803"/>
  <c r="G803"/>
  <c r="H803"/>
  <c r="I803"/>
  <c r="D804"/>
  <c r="E804"/>
  <c r="F804" s="1"/>
  <c r="G804"/>
  <c r="H804" s="1"/>
  <c r="I804"/>
  <c r="J804" s="1"/>
  <c r="D805"/>
  <c r="E805"/>
  <c r="F805"/>
  <c r="G805"/>
  <c r="H805"/>
  <c r="I805"/>
  <c r="J805"/>
  <c r="D806"/>
  <c r="E806"/>
  <c r="F806" s="1"/>
  <c r="G806"/>
  <c r="H806" s="1"/>
  <c r="I806"/>
  <c r="J806" s="1"/>
  <c r="D807"/>
  <c r="E807"/>
  <c r="F807"/>
  <c r="G807"/>
  <c r="H807"/>
  <c r="I807"/>
  <c r="J807"/>
  <c r="D808"/>
  <c r="E808"/>
  <c r="F808" s="1"/>
  <c r="G808"/>
  <c r="H808" s="1"/>
  <c r="I808"/>
  <c r="J808" s="1"/>
  <c r="D809"/>
  <c r="E809"/>
  <c r="F809"/>
  <c r="G809"/>
  <c r="H809"/>
  <c r="I809"/>
  <c r="J809"/>
  <c r="D810"/>
  <c r="E810"/>
  <c r="F810" s="1"/>
  <c r="G810"/>
  <c r="H810" s="1"/>
  <c r="I810"/>
  <c r="J810" s="1"/>
  <c r="D811"/>
  <c r="E811"/>
  <c r="F811"/>
  <c r="G811"/>
  <c r="H811"/>
  <c r="I811"/>
  <c r="J811"/>
  <c r="D812"/>
  <c r="E812"/>
  <c r="F812" s="1"/>
  <c r="G812"/>
  <c r="H812" s="1"/>
  <c r="I812"/>
  <c r="J812" s="1"/>
  <c r="D813"/>
  <c r="E813"/>
  <c r="F813"/>
  <c r="G813"/>
  <c r="H813"/>
  <c r="I813"/>
  <c r="J813"/>
  <c r="D814"/>
  <c r="E814"/>
  <c r="F814" s="1"/>
  <c r="G814"/>
  <c r="I814" s="1"/>
  <c r="J815" s="1"/>
  <c r="D815"/>
  <c r="E815"/>
  <c r="F815"/>
  <c r="G815"/>
  <c r="H815"/>
  <c r="I815"/>
  <c r="D816"/>
  <c r="E816"/>
  <c r="F816" s="1"/>
  <c r="G816"/>
  <c r="H816" s="1"/>
  <c r="I816"/>
  <c r="J816" s="1"/>
  <c r="D817"/>
  <c r="E817"/>
  <c r="F817"/>
  <c r="G817"/>
  <c r="H817"/>
  <c r="I817"/>
  <c r="J817"/>
  <c r="D818"/>
  <c r="E818"/>
  <c r="F818" s="1"/>
  <c r="G818"/>
  <c r="H818" s="1"/>
  <c r="I818"/>
  <c r="J818" s="1"/>
  <c r="D819"/>
  <c r="E819"/>
  <c r="F819"/>
  <c r="G819"/>
  <c r="H819"/>
  <c r="I819"/>
  <c r="J819"/>
  <c r="D820"/>
  <c r="E820"/>
  <c r="F820" s="1"/>
  <c r="G820"/>
  <c r="H820" s="1"/>
  <c r="I820"/>
  <c r="J820" s="1"/>
  <c r="D821"/>
  <c r="E821"/>
  <c r="F821"/>
  <c r="G821"/>
  <c r="H821"/>
  <c r="I821"/>
  <c r="J821"/>
  <c r="D822"/>
  <c r="E822"/>
  <c r="F822" s="1"/>
  <c r="G822"/>
  <c r="H822" s="1"/>
  <c r="I822"/>
  <c r="J822" s="1"/>
  <c r="D823"/>
  <c r="E823"/>
  <c r="F823"/>
  <c r="G823"/>
  <c r="H823"/>
  <c r="I823"/>
  <c r="J823"/>
  <c r="D824"/>
  <c r="E824"/>
  <c r="F824" s="1"/>
  <c r="G824"/>
  <c r="H824" s="1"/>
  <c r="I824"/>
  <c r="J824" s="1"/>
  <c r="D825"/>
  <c r="E825"/>
  <c r="F825"/>
  <c r="G825"/>
  <c r="H825"/>
  <c r="I825"/>
  <c r="J825"/>
  <c r="D826"/>
  <c r="E826"/>
  <c r="F826" s="1"/>
  <c r="G826"/>
  <c r="I826" s="1"/>
  <c r="J827" s="1"/>
  <c r="D827"/>
  <c r="E827"/>
  <c r="F827"/>
  <c r="G827"/>
  <c r="H827"/>
  <c r="I827"/>
  <c r="D828"/>
  <c r="E828"/>
  <c r="F828" s="1"/>
  <c r="G828"/>
  <c r="H828" s="1"/>
  <c r="I828"/>
  <c r="J828" s="1"/>
  <c r="D829"/>
  <c r="E829"/>
  <c r="F829"/>
  <c r="G829"/>
  <c r="H829"/>
  <c r="I829"/>
  <c r="J829"/>
  <c r="D830"/>
  <c r="E830"/>
  <c r="F830" s="1"/>
  <c r="G830"/>
  <c r="H830" s="1"/>
  <c r="I830"/>
  <c r="J830" s="1"/>
  <c r="D831"/>
  <c r="E831"/>
  <c r="F831"/>
  <c r="G831"/>
  <c r="H831"/>
  <c r="I831"/>
  <c r="J831"/>
  <c r="D832"/>
  <c r="E832"/>
  <c r="F832" s="1"/>
  <c r="G832"/>
  <c r="H832" s="1"/>
  <c r="I832"/>
  <c r="J832" s="1"/>
  <c r="D833"/>
  <c r="E833"/>
  <c r="F833"/>
  <c r="G833"/>
  <c r="H833"/>
  <c r="I833"/>
  <c r="J833"/>
  <c r="D834"/>
  <c r="E834"/>
  <c r="F834" s="1"/>
  <c r="G834"/>
  <c r="H834" s="1"/>
  <c r="I834"/>
  <c r="J834" s="1"/>
  <c r="D835"/>
  <c r="E835"/>
  <c r="F835"/>
  <c r="G835"/>
  <c r="H835"/>
  <c r="I835"/>
  <c r="J835"/>
  <c r="D836"/>
  <c r="E836"/>
  <c r="F836" s="1"/>
  <c r="G836"/>
  <c r="H836" s="1"/>
  <c r="I836"/>
  <c r="J836" s="1"/>
  <c r="D837"/>
  <c r="E837"/>
  <c r="F837"/>
  <c r="G837"/>
  <c r="H837"/>
  <c r="I837"/>
  <c r="J837"/>
  <c r="D838"/>
  <c r="E838"/>
  <c r="F838" s="1"/>
  <c r="G838"/>
  <c r="I838" s="1"/>
  <c r="J839" s="1"/>
  <c r="D839"/>
  <c r="E839"/>
  <c r="F839"/>
  <c r="G839"/>
  <c r="H839"/>
  <c r="I839"/>
  <c r="D840"/>
  <c r="E840"/>
  <c r="F840" s="1"/>
  <c r="G840"/>
  <c r="H840" s="1"/>
  <c r="I840"/>
  <c r="J840" s="1"/>
  <c r="D841"/>
  <c r="E841"/>
  <c r="F841"/>
  <c r="G841"/>
  <c r="H841"/>
  <c r="I841"/>
  <c r="J841"/>
  <c r="D842"/>
  <c r="E842"/>
  <c r="F842" s="1"/>
  <c r="G842"/>
  <c r="H842" s="1"/>
  <c r="I842"/>
  <c r="J842" s="1"/>
  <c r="D843"/>
  <c r="E843"/>
  <c r="F843"/>
  <c r="G843"/>
  <c r="H843"/>
  <c r="I843"/>
  <c r="J843"/>
  <c r="D844"/>
  <c r="E844"/>
  <c r="F844" s="1"/>
  <c r="G844"/>
  <c r="H844" s="1"/>
  <c r="I844"/>
  <c r="J844" s="1"/>
  <c r="D845"/>
  <c r="E845"/>
  <c r="F845"/>
  <c r="G845"/>
  <c r="H845"/>
  <c r="I845"/>
  <c r="J845"/>
  <c r="D846"/>
  <c r="E846"/>
  <c r="F846" s="1"/>
  <c r="G846"/>
  <c r="H846" s="1"/>
  <c r="I846"/>
  <c r="J846" s="1"/>
  <c r="D847"/>
  <c r="E847"/>
  <c r="F847"/>
  <c r="G847"/>
  <c r="H847"/>
  <c r="I847"/>
  <c r="J847"/>
  <c r="D848"/>
  <c r="E848"/>
  <c r="F848" s="1"/>
  <c r="G848"/>
  <c r="H848" s="1"/>
  <c r="I848"/>
  <c r="J848" s="1"/>
  <c r="D849"/>
  <c r="E849"/>
  <c r="F849"/>
  <c r="G849"/>
  <c r="H849"/>
  <c r="I849"/>
  <c r="J849"/>
  <c r="D854"/>
  <c r="E854"/>
  <c r="F854"/>
  <c r="G854"/>
  <c r="J854"/>
  <c r="C855"/>
  <c r="D855" s="1"/>
  <c r="E855"/>
  <c r="F855" s="1"/>
  <c r="G855"/>
  <c r="J855"/>
  <c r="C856"/>
  <c r="D856" s="1"/>
  <c r="E856"/>
  <c r="F856" s="1"/>
  <c r="G856"/>
  <c r="J856"/>
  <c r="C857"/>
  <c r="D857" s="1"/>
  <c r="E857"/>
  <c r="F857" s="1"/>
  <c r="G857"/>
  <c r="J857"/>
  <c r="C858"/>
  <c r="D858" s="1"/>
  <c r="E858"/>
  <c r="F858" s="1"/>
  <c r="G858"/>
  <c r="J858"/>
  <c r="C859"/>
  <c r="D859" s="1"/>
  <c r="E859"/>
  <c r="F859" s="1"/>
  <c r="G859"/>
  <c r="J859"/>
  <c r="C860"/>
  <c r="D860" s="1"/>
  <c r="E860"/>
  <c r="F860" s="1"/>
  <c r="G860"/>
  <c r="J860"/>
  <c r="C861"/>
  <c r="D861" s="1"/>
  <c r="E861"/>
  <c r="F861" s="1"/>
  <c r="G861"/>
  <c r="J861"/>
  <c r="C862"/>
  <c r="D862" s="1"/>
  <c r="E862"/>
  <c r="F862" s="1"/>
  <c r="G862"/>
  <c r="J862"/>
  <c r="C863"/>
  <c r="D863" s="1"/>
  <c r="E863"/>
  <c r="F863" s="1"/>
  <c r="G863"/>
  <c r="J863"/>
  <c r="C864"/>
  <c r="D864" s="1"/>
  <c r="E864"/>
  <c r="F864" s="1"/>
  <c r="G864"/>
  <c r="J864"/>
  <c r="C865"/>
  <c r="D865" s="1"/>
  <c r="E865"/>
  <c r="F865" s="1"/>
  <c r="G865"/>
  <c r="J865"/>
  <c r="C866"/>
  <c r="D866" s="1"/>
  <c r="E866"/>
  <c r="F866" s="1"/>
  <c r="G866"/>
  <c r="J866"/>
  <c r="C867"/>
  <c r="D867" s="1"/>
  <c r="E867"/>
  <c r="F867" s="1"/>
  <c r="G867"/>
  <c r="J867"/>
  <c r="C868"/>
  <c r="D868" s="1"/>
  <c r="E868"/>
  <c r="F868" s="1"/>
  <c r="G868"/>
  <c r="J868"/>
  <c r="C869"/>
  <c r="D869" s="1"/>
  <c r="E869"/>
  <c r="F869" s="1"/>
  <c r="G869"/>
  <c r="J869"/>
  <c r="C870"/>
  <c r="D870" s="1"/>
  <c r="E870"/>
  <c r="F870" s="1"/>
  <c r="G870"/>
  <c r="J870"/>
  <c r="C871"/>
  <c r="D871" s="1"/>
  <c r="E871"/>
  <c r="F871" s="1"/>
  <c r="G871"/>
  <c r="J871"/>
  <c r="C872"/>
  <c r="D872" s="1"/>
  <c r="E872"/>
  <c r="F872" s="1"/>
  <c r="G872"/>
  <c r="J872"/>
  <c r="C873"/>
  <c r="D873" s="1"/>
  <c r="E873"/>
  <c r="F873" s="1"/>
  <c r="G873"/>
  <c r="J873"/>
  <c r="C874"/>
  <c r="D874" s="1"/>
  <c r="E874"/>
  <c r="F874" s="1"/>
  <c r="G874"/>
  <c r="J874"/>
  <c r="C875"/>
  <c r="D875" s="1"/>
  <c r="E875"/>
  <c r="F875" s="1"/>
  <c r="G875"/>
  <c r="J875"/>
  <c r="C876"/>
  <c r="D876" s="1"/>
  <c r="E876"/>
  <c r="F876" s="1"/>
  <c r="G876"/>
  <c r="J876"/>
  <c r="C877"/>
  <c r="D877" s="1"/>
  <c r="E877"/>
  <c r="F877" s="1"/>
  <c r="G877"/>
  <c r="J877"/>
  <c r="C878"/>
  <c r="D878" s="1"/>
  <c r="E878"/>
  <c r="F878" s="1"/>
  <c r="G878"/>
  <c r="J878"/>
  <c r="C879"/>
  <c r="D879" s="1"/>
  <c r="E879"/>
  <c r="F879" s="1"/>
  <c r="G879"/>
  <c r="J879"/>
  <c r="C880"/>
  <c r="D880" s="1"/>
  <c r="E880"/>
  <c r="F880" s="1"/>
  <c r="G880"/>
  <c r="J880"/>
  <c r="C881"/>
  <c r="D881" s="1"/>
  <c r="E881"/>
  <c r="F881" s="1"/>
  <c r="G881"/>
  <c r="J881"/>
  <c r="C882"/>
  <c r="D882" s="1"/>
  <c r="E882"/>
  <c r="F882" s="1"/>
  <c r="G882"/>
  <c r="J882"/>
  <c r="C883"/>
  <c r="D883" s="1"/>
  <c r="E883"/>
  <c r="F883" s="1"/>
  <c r="G883"/>
  <c r="J883"/>
  <c r="C884"/>
  <c r="D884" s="1"/>
  <c r="E884"/>
  <c r="F884" s="1"/>
  <c r="G884"/>
  <c r="J884"/>
  <c r="C885"/>
  <c r="D885" s="1"/>
  <c r="E885"/>
  <c r="F885" s="1"/>
  <c r="G885"/>
  <c r="J885"/>
  <c r="C886"/>
  <c r="D886" s="1"/>
  <c r="E886"/>
  <c r="F886" s="1"/>
  <c r="G886"/>
  <c r="J886"/>
  <c r="C887"/>
  <c r="D887" s="1"/>
  <c r="E887"/>
  <c r="F887" s="1"/>
  <c r="G887"/>
  <c r="J887"/>
  <c r="C888"/>
  <c r="D888" s="1"/>
  <c r="E888"/>
  <c r="F888" s="1"/>
  <c r="G888"/>
  <c r="J888"/>
  <c r="C889"/>
  <c r="D889" s="1"/>
  <c r="E889"/>
  <c r="F889" s="1"/>
  <c r="G889"/>
  <c r="J889"/>
  <c r="C890"/>
  <c r="D890" s="1"/>
  <c r="E890"/>
  <c r="F890" s="1"/>
  <c r="G890"/>
  <c r="J890"/>
  <c r="C891"/>
  <c r="D891" s="1"/>
  <c r="E891"/>
  <c r="F891" s="1"/>
  <c r="G891"/>
  <c r="J891"/>
  <c r="C892"/>
  <c r="D892" s="1"/>
  <c r="E892"/>
  <c r="F892" s="1"/>
  <c r="G892"/>
  <c r="J892"/>
  <c r="C893"/>
  <c r="D893" s="1"/>
  <c r="E893"/>
  <c r="F893" s="1"/>
  <c r="G893"/>
  <c r="J893"/>
  <c r="C894"/>
  <c r="D894" s="1"/>
  <c r="E894"/>
  <c r="F894" s="1"/>
  <c r="G894"/>
  <c r="J894"/>
  <c r="C895"/>
  <c r="D895" s="1"/>
  <c r="E895"/>
  <c r="F895" s="1"/>
  <c r="G895"/>
  <c r="J895"/>
  <c r="C896"/>
  <c r="D896" s="1"/>
  <c r="E896"/>
  <c r="F896" s="1"/>
  <c r="G896"/>
  <c r="J896"/>
  <c r="C897"/>
  <c r="D897" s="1"/>
  <c r="E897"/>
  <c r="F897" s="1"/>
  <c r="G897"/>
  <c r="J897"/>
  <c r="C898"/>
  <c r="D898" s="1"/>
  <c r="E898"/>
  <c r="F898" s="1"/>
  <c r="G898"/>
  <c r="J898"/>
  <c r="C899"/>
  <c r="D899" s="1"/>
  <c r="E899"/>
  <c r="F899" s="1"/>
  <c r="G899"/>
  <c r="J899"/>
  <c r="C900"/>
  <c r="D900" s="1"/>
  <c r="E900"/>
  <c r="F900" s="1"/>
  <c r="G900"/>
  <c r="J900"/>
  <c r="C901"/>
  <c r="D901" s="1"/>
  <c r="E901"/>
  <c r="F901" s="1"/>
  <c r="G901"/>
  <c r="J901"/>
  <c r="C902"/>
  <c r="D902" s="1"/>
  <c r="E902"/>
  <c r="F902" s="1"/>
  <c r="G902"/>
  <c r="J902"/>
  <c r="C903"/>
  <c r="D903" s="1"/>
  <c r="E903"/>
  <c r="F903" s="1"/>
  <c r="G903"/>
  <c r="J903"/>
  <c r="C904"/>
  <c r="D904" s="1"/>
  <c r="E904"/>
  <c r="F904" s="1"/>
  <c r="G904"/>
  <c r="J904"/>
  <c r="C905"/>
  <c r="D905" s="1"/>
  <c r="E905"/>
  <c r="F905" s="1"/>
  <c r="G905"/>
  <c r="J905"/>
  <c r="C906"/>
  <c r="D906" s="1"/>
  <c r="E906"/>
  <c r="F906" s="1"/>
  <c r="G906"/>
  <c r="J906"/>
  <c r="C907"/>
  <c r="D907" s="1"/>
  <c r="E907"/>
  <c r="F907" s="1"/>
  <c r="G907"/>
  <c r="J907"/>
  <c r="C908"/>
  <c r="D908" s="1"/>
  <c r="E908"/>
  <c r="F908" s="1"/>
  <c r="G908"/>
  <c r="J908"/>
  <c r="C909"/>
  <c r="D909" s="1"/>
  <c r="E909"/>
  <c r="F909" s="1"/>
  <c r="G909"/>
  <c r="J909"/>
  <c r="C910"/>
  <c r="D910" s="1"/>
  <c r="E910"/>
  <c r="F910" s="1"/>
  <c r="G910"/>
  <c r="J910"/>
  <c r="C911"/>
  <c r="D911" s="1"/>
  <c r="E911"/>
  <c r="F911" s="1"/>
  <c r="G911"/>
  <c r="J911"/>
  <c r="C912"/>
  <c r="D912" s="1"/>
  <c r="E912"/>
  <c r="F912" s="1"/>
  <c r="G912"/>
  <c r="J912"/>
  <c r="C913"/>
  <c r="D913" s="1"/>
  <c r="E913"/>
  <c r="F913" s="1"/>
  <c r="G913"/>
  <c r="J913"/>
  <c r="C914"/>
  <c r="D914" s="1"/>
  <c r="E914"/>
  <c r="F914" s="1"/>
  <c r="G914"/>
  <c r="J914"/>
  <c r="C915"/>
  <c r="D915" s="1"/>
  <c r="E915"/>
  <c r="F915" s="1"/>
  <c r="G915"/>
  <c r="G414" s="1"/>
  <c r="J915"/>
  <c r="C916"/>
  <c r="D916" s="1"/>
  <c r="E916"/>
  <c r="F916" s="1"/>
  <c r="G916"/>
  <c r="G415" s="1"/>
  <c r="J916"/>
  <c r="C917"/>
  <c r="D917" s="1"/>
  <c r="E917"/>
  <c r="F917" s="1"/>
  <c r="G917"/>
  <c r="G416" s="1"/>
  <c r="J917"/>
  <c r="C918"/>
  <c r="D918" s="1"/>
  <c r="E918"/>
  <c r="F918" s="1"/>
  <c r="G918"/>
  <c r="G417" s="1"/>
  <c r="J918"/>
  <c r="C919"/>
  <c r="D919" s="1"/>
  <c r="E919"/>
  <c r="F919" s="1"/>
  <c r="G919"/>
  <c r="G418" s="1"/>
  <c r="J919"/>
  <c r="C920"/>
  <c r="D920" s="1"/>
  <c r="E920"/>
  <c r="F920" s="1"/>
  <c r="G920"/>
  <c r="G419" s="1"/>
  <c r="J920"/>
  <c r="C921"/>
  <c r="D921" s="1"/>
  <c r="E921"/>
  <c r="F921" s="1"/>
  <c r="G921"/>
  <c r="G420" s="1"/>
  <c r="J921"/>
  <c r="C922"/>
  <c r="D922" s="1"/>
  <c r="E922"/>
  <c r="F922" s="1"/>
  <c r="G922"/>
  <c r="G421" s="1"/>
  <c r="J922"/>
  <c r="C923"/>
  <c r="D923" s="1"/>
  <c r="E923"/>
  <c r="F923" s="1"/>
  <c r="G923"/>
  <c r="G422" s="1"/>
  <c r="J923"/>
  <c r="C924"/>
  <c r="D924" s="1"/>
  <c r="E924"/>
  <c r="F924" s="1"/>
  <c r="G924"/>
  <c r="G423" s="1"/>
  <c r="J924"/>
  <c r="C925"/>
  <c r="D925" s="1"/>
  <c r="E925"/>
  <c r="F925" s="1"/>
  <c r="G925"/>
  <c r="G424" s="1"/>
  <c r="J925"/>
  <c r="C926"/>
  <c r="D926" s="1"/>
  <c r="E926"/>
  <c r="F926" s="1"/>
  <c r="G926"/>
  <c r="G425" s="1"/>
  <c r="J926"/>
  <c r="C927"/>
  <c r="D927" s="1"/>
  <c r="E927"/>
  <c r="F927" s="1"/>
  <c r="G927"/>
  <c r="G426" s="1"/>
  <c r="J927"/>
  <c r="C928"/>
  <c r="D928" s="1"/>
  <c r="E928"/>
  <c r="F928" s="1"/>
  <c r="G928"/>
  <c r="G427" s="1"/>
  <c r="J928"/>
  <c r="C929"/>
  <c r="D929" s="1"/>
  <c r="E929"/>
  <c r="F929" s="1"/>
  <c r="G929"/>
  <c r="G428" s="1"/>
  <c r="J929"/>
  <c r="C930"/>
  <c r="D930" s="1"/>
  <c r="E930"/>
  <c r="F930" s="1"/>
  <c r="G930"/>
  <c r="J930"/>
  <c r="C931"/>
  <c r="D931" s="1"/>
  <c r="E931"/>
  <c r="F931" s="1"/>
  <c r="G931"/>
  <c r="G430" s="1"/>
  <c r="J931"/>
  <c r="C932"/>
  <c r="D932" s="1"/>
  <c r="E932"/>
  <c r="F932" s="1"/>
  <c r="G932"/>
  <c r="J932"/>
  <c r="C933"/>
  <c r="D933" s="1"/>
  <c r="E933"/>
  <c r="F933" s="1"/>
  <c r="G933"/>
  <c r="G432" s="1"/>
  <c r="J933"/>
  <c r="C934"/>
  <c r="D934" s="1"/>
  <c r="E934"/>
  <c r="F934" s="1"/>
  <c r="G934"/>
  <c r="J934"/>
  <c r="C935"/>
  <c r="D935" s="1"/>
  <c r="E935"/>
  <c r="F935" s="1"/>
  <c r="G935"/>
  <c r="G434" s="1"/>
  <c r="J935"/>
  <c r="C936"/>
  <c r="D936" s="1"/>
  <c r="E936"/>
  <c r="F936" s="1"/>
  <c r="G936"/>
  <c r="J936"/>
  <c r="C937"/>
  <c r="D937" s="1"/>
  <c r="E937"/>
  <c r="F937" s="1"/>
  <c r="G937"/>
  <c r="G436" s="1"/>
  <c r="J937"/>
  <c r="C938"/>
  <c r="D938" s="1"/>
  <c r="E938"/>
  <c r="F938" s="1"/>
  <c r="G938"/>
  <c r="J938"/>
  <c r="C939"/>
  <c r="D939" s="1"/>
  <c r="E939"/>
  <c r="F939" s="1"/>
  <c r="G939"/>
  <c r="G438" s="1"/>
  <c r="J939"/>
  <c r="C940"/>
  <c r="D940" s="1"/>
  <c r="E940"/>
  <c r="F940" s="1"/>
  <c r="G940"/>
  <c r="J940"/>
  <c r="C941"/>
  <c r="D941" s="1"/>
  <c r="E941"/>
  <c r="F941" s="1"/>
  <c r="G941"/>
  <c r="G440" s="1"/>
  <c r="J941"/>
  <c r="C942"/>
  <c r="D942" s="1"/>
  <c r="E942"/>
  <c r="F942" s="1"/>
  <c r="G942"/>
  <c r="J942"/>
  <c r="C943"/>
  <c r="D943" s="1"/>
  <c r="E943"/>
  <c r="F943" s="1"/>
  <c r="G943"/>
  <c r="G442" s="1"/>
  <c r="J943"/>
  <c r="C944"/>
  <c r="D944" s="1"/>
  <c r="E944"/>
  <c r="F944" s="1"/>
  <c r="G944"/>
  <c r="J944"/>
  <c r="C945"/>
  <c r="D945" s="1"/>
  <c r="E945"/>
  <c r="F945" s="1"/>
  <c r="G945"/>
  <c r="G444" s="1"/>
  <c r="J945"/>
  <c r="C946"/>
  <c r="D946" s="1"/>
  <c r="E946"/>
  <c r="F946" s="1"/>
  <c r="G946"/>
  <c r="J946"/>
  <c r="C947"/>
  <c r="D947" s="1"/>
  <c r="E947"/>
  <c r="F947" s="1"/>
  <c r="G947"/>
  <c r="G446" s="1"/>
  <c r="J947"/>
  <c r="C948"/>
  <c r="D948" s="1"/>
  <c r="E948"/>
  <c r="F948" s="1"/>
  <c r="G948"/>
  <c r="G447" s="1"/>
  <c r="J948"/>
  <c r="C949"/>
  <c r="D949" s="1"/>
  <c r="E949"/>
  <c r="F949" s="1"/>
  <c r="G949"/>
  <c r="G448" s="1"/>
  <c r="J949"/>
  <c r="C950"/>
  <c r="D950" s="1"/>
  <c r="E950"/>
  <c r="F950" s="1"/>
  <c r="G950"/>
  <c r="J950"/>
  <c r="E957"/>
  <c r="G957"/>
  <c r="I957"/>
  <c r="D958"/>
  <c r="E958"/>
  <c r="F958" s="1"/>
  <c r="G958"/>
  <c r="H958" s="1"/>
  <c r="I958"/>
  <c r="J958" s="1"/>
  <c r="D959"/>
  <c r="E959"/>
  <c r="F959"/>
  <c r="G959"/>
  <c r="H959"/>
  <c r="I959"/>
  <c r="J959"/>
  <c r="D960"/>
  <c r="E960"/>
  <c r="F960" s="1"/>
  <c r="G960"/>
  <c r="H960" s="1"/>
  <c r="I960"/>
  <c r="J960" s="1"/>
  <c r="D961"/>
  <c r="E961"/>
  <c r="F961"/>
  <c r="G961"/>
  <c r="H961"/>
  <c r="I961"/>
  <c r="J961"/>
  <c r="D962"/>
  <c r="E962"/>
  <c r="F962" s="1"/>
  <c r="G962"/>
  <c r="H962" s="1"/>
  <c r="I962"/>
  <c r="J962" s="1"/>
  <c r="D963"/>
  <c r="E963"/>
  <c r="F963"/>
  <c r="G963"/>
  <c r="H963"/>
  <c r="I963"/>
  <c r="J963"/>
  <c r="D964"/>
  <c r="E964"/>
  <c r="F964" s="1"/>
  <c r="G964"/>
  <c r="H964" s="1"/>
  <c r="I964"/>
  <c r="J964" s="1"/>
  <c r="D965"/>
  <c r="E965"/>
  <c r="F965"/>
  <c r="G965"/>
  <c r="I965"/>
  <c r="D966"/>
  <c r="E966"/>
  <c r="F966" s="1"/>
  <c r="G966"/>
  <c r="H966" s="1"/>
  <c r="I966"/>
  <c r="J966" s="1"/>
  <c r="D967"/>
  <c r="E967"/>
  <c r="F967"/>
  <c r="G967"/>
  <c r="H967"/>
  <c r="I967"/>
  <c r="J967"/>
  <c r="D968"/>
  <c r="E968"/>
  <c r="F968" s="1"/>
  <c r="G968"/>
  <c r="H968" s="1"/>
  <c r="I968"/>
  <c r="J968" s="1"/>
  <c r="D969"/>
  <c r="E969"/>
  <c r="F969"/>
  <c r="G969"/>
  <c r="H969"/>
  <c r="I969"/>
  <c r="J969"/>
  <c r="D970"/>
  <c r="E970"/>
  <c r="F970" s="1"/>
  <c r="G970"/>
  <c r="H970" s="1"/>
  <c r="I970"/>
  <c r="J970" s="1"/>
  <c r="D971"/>
  <c r="E971"/>
  <c r="F971"/>
  <c r="G971"/>
  <c r="H971"/>
  <c r="I971"/>
  <c r="J971"/>
  <c r="D972"/>
  <c r="E972"/>
  <c r="F972" s="1"/>
  <c r="G972"/>
  <c r="H972" s="1"/>
  <c r="I972"/>
  <c r="J972" s="1"/>
  <c r="D973"/>
  <c r="E973"/>
  <c r="F973"/>
  <c r="G973"/>
  <c r="H973"/>
  <c r="I973"/>
  <c r="J973"/>
  <c r="D974"/>
  <c r="E974"/>
  <c r="G974"/>
  <c r="H974"/>
  <c r="I974"/>
  <c r="J974"/>
  <c r="D975"/>
  <c r="E975"/>
  <c r="F975" s="1"/>
  <c r="G975"/>
  <c r="H975" s="1"/>
  <c r="I975"/>
  <c r="J975" s="1"/>
  <c r="D976"/>
  <c r="E976"/>
  <c r="F976"/>
  <c r="G976"/>
  <c r="H976"/>
  <c r="I976"/>
  <c r="J976"/>
  <c r="D977"/>
  <c r="E977"/>
  <c r="G977"/>
  <c r="I977"/>
  <c r="D978"/>
  <c r="E978"/>
  <c r="F978" s="1"/>
  <c r="G978"/>
  <c r="H978" s="1"/>
  <c r="I978"/>
  <c r="J978" s="1"/>
  <c r="D979"/>
  <c r="E979"/>
  <c r="F979"/>
  <c r="G979"/>
  <c r="H979"/>
  <c r="I979"/>
  <c r="J979"/>
  <c r="D980"/>
  <c r="E980"/>
  <c r="F980" s="1"/>
  <c r="G980"/>
  <c r="H980" s="1"/>
  <c r="I980"/>
  <c r="J980" s="1"/>
  <c r="D981"/>
  <c r="E981"/>
  <c r="F981"/>
  <c r="G981"/>
  <c r="H981"/>
  <c r="I981"/>
  <c r="J981"/>
  <c r="D982"/>
  <c r="E982"/>
  <c r="F982" s="1"/>
  <c r="G982"/>
  <c r="H982" s="1"/>
  <c r="I982"/>
  <c r="J982" s="1"/>
  <c r="D983"/>
  <c r="E983"/>
  <c r="F983"/>
  <c r="G983"/>
  <c r="H983"/>
  <c r="I983"/>
  <c r="J983"/>
  <c r="D984"/>
  <c r="E984"/>
  <c r="F984" s="1"/>
  <c r="G984"/>
  <c r="H984" s="1"/>
  <c r="I984"/>
  <c r="J984" s="1"/>
  <c r="D985"/>
  <c r="E985"/>
  <c r="F985"/>
  <c r="G985"/>
  <c r="H985"/>
  <c r="I985"/>
  <c r="J985"/>
  <c r="D986"/>
  <c r="E986"/>
  <c r="F986" s="1"/>
  <c r="G986"/>
  <c r="H986" s="1"/>
  <c r="I986"/>
  <c r="J986" s="1"/>
  <c r="D987"/>
  <c r="E987"/>
  <c r="F987"/>
  <c r="G987"/>
  <c r="H987"/>
  <c r="I987"/>
  <c r="J987"/>
  <c r="D988"/>
  <c r="E988"/>
  <c r="F988" s="1"/>
  <c r="G988"/>
  <c r="H988" s="1"/>
  <c r="I988"/>
  <c r="J988" s="1"/>
  <c r="E989"/>
  <c r="G989"/>
  <c r="I989"/>
  <c r="D990"/>
  <c r="E990"/>
  <c r="F990" s="1"/>
  <c r="G990"/>
  <c r="H990" s="1"/>
  <c r="I990"/>
  <c r="J990" s="1"/>
  <c r="D991"/>
  <c r="E991"/>
  <c r="F991"/>
  <c r="G991"/>
  <c r="H991"/>
  <c r="I991"/>
  <c r="J991"/>
  <c r="D992"/>
  <c r="E992"/>
  <c r="F992" s="1"/>
  <c r="G992"/>
  <c r="H992" s="1"/>
  <c r="I992"/>
  <c r="J992" s="1"/>
  <c r="D993"/>
  <c r="E993"/>
  <c r="F993"/>
  <c r="G993"/>
  <c r="H993"/>
  <c r="I993"/>
  <c r="J993"/>
  <c r="E994"/>
  <c r="G994"/>
  <c r="I994" s="1"/>
  <c r="J994" s="1"/>
  <c r="D995"/>
  <c r="E995"/>
  <c r="F995" s="1"/>
  <c r="G995"/>
  <c r="H995" s="1"/>
  <c r="I995"/>
  <c r="J995" s="1"/>
  <c r="D996"/>
  <c r="E996"/>
  <c r="F996"/>
  <c r="G996"/>
  <c r="H996"/>
  <c r="I996"/>
  <c r="J996"/>
  <c r="D997"/>
  <c r="E997"/>
  <c r="F997" s="1"/>
  <c r="G997"/>
  <c r="H997" s="1"/>
  <c r="I997"/>
  <c r="J997" s="1"/>
  <c r="D998"/>
  <c r="E998"/>
  <c r="F998"/>
  <c r="G998"/>
  <c r="H998"/>
  <c r="I998"/>
  <c r="J998"/>
  <c r="D999"/>
  <c r="E999"/>
  <c r="F999" s="1"/>
  <c r="G999"/>
  <c r="H999" s="1"/>
  <c r="I999"/>
  <c r="J999" s="1"/>
  <c r="D1000"/>
  <c r="E1000"/>
  <c r="F1000"/>
  <c r="G1000"/>
  <c r="H1000"/>
  <c r="I1000"/>
  <c r="J1000"/>
  <c r="D1001"/>
  <c r="E1001"/>
  <c r="F1001" s="1"/>
  <c r="G1001"/>
  <c r="I1001" s="1"/>
  <c r="J1002" s="1"/>
  <c r="D1002"/>
  <c r="E1002"/>
  <c r="F1002"/>
  <c r="G1002"/>
  <c r="H1002"/>
  <c r="I1002"/>
  <c r="D1003"/>
  <c r="E1003"/>
  <c r="F1003" s="1"/>
  <c r="G1003"/>
  <c r="H1003" s="1"/>
  <c r="I1003"/>
  <c r="J1003" s="1"/>
  <c r="D1004"/>
  <c r="E1004"/>
  <c r="F1004"/>
  <c r="G1004"/>
  <c r="H1004"/>
  <c r="I1004"/>
  <c r="J1004"/>
  <c r="D1005"/>
  <c r="E1005"/>
  <c r="F1005" s="1"/>
  <c r="G1005"/>
  <c r="H1005" s="1"/>
  <c r="I1005"/>
  <c r="J1005" s="1"/>
  <c r="D1006"/>
  <c r="E1006"/>
  <c r="F1006"/>
  <c r="G1006"/>
  <c r="H1006"/>
  <c r="I1006"/>
  <c r="J1006"/>
  <c r="D1007"/>
  <c r="E1007"/>
  <c r="F1007" s="1"/>
  <c r="G1007"/>
  <c r="H1007" s="1"/>
  <c r="I1007"/>
  <c r="J1007" s="1"/>
  <c r="D1008"/>
  <c r="E1008"/>
  <c r="F1008"/>
  <c r="G1008"/>
  <c r="H1008"/>
  <c r="I1008"/>
  <c r="J1008"/>
  <c r="D1009"/>
  <c r="E1009"/>
  <c r="F1009" s="1"/>
  <c r="G1009"/>
  <c r="H1009" s="1"/>
  <c r="I1009"/>
  <c r="J1009" s="1"/>
  <c r="D1010"/>
  <c r="E1010"/>
  <c r="F1010"/>
  <c r="G1010"/>
  <c r="H1010"/>
  <c r="I1010"/>
  <c r="J1010"/>
  <c r="D1011"/>
  <c r="E1011"/>
  <c r="F1011" s="1"/>
  <c r="G1011"/>
  <c r="H1011" s="1"/>
  <c r="I1011"/>
  <c r="J1011" s="1"/>
  <c r="D1012"/>
  <c r="E1012"/>
  <c r="F1012"/>
  <c r="G1012"/>
  <c r="H1012"/>
  <c r="I1012"/>
  <c r="J1012"/>
  <c r="D1013"/>
  <c r="E1013"/>
  <c r="F1013" s="1"/>
  <c r="G1013"/>
  <c r="I1013" s="1"/>
  <c r="J1014" s="1"/>
  <c r="D1014"/>
  <c r="E1014"/>
  <c r="F1014"/>
  <c r="G1014"/>
  <c r="H1014"/>
  <c r="I1014"/>
  <c r="D1015"/>
  <c r="E1015"/>
  <c r="F1015" s="1"/>
  <c r="G1015"/>
  <c r="H1015" s="1"/>
  <c r="I1015"/>
  <c r="J1015" s="1"/>
  <c r="D1016"/>
  <c r="E1016"/>
  <c r="F1016"/>
  <c r="G1016"/>
  <c r="H1016"/>
  <c r="I1016"/>
  <c r="J1016"/>
  <c r="D1017"/>
  <c r="E1017"/>
  <c r="F1017" s="1"/>
  <c r="G1017"/>
  <c r="H1017" s="1"/>
  <c r="I1017"/>
  <c r="J1017" s="1"/>
  <c r="D1018"/>
  <c r="E1018"/>
  <c r="F1018"/>
  <c r="G1018"/>
  <c r="H1018"/>
  <c r="I1018"/>
  <c r="J1018"/>
  <c r="D1019"/>
  <c r="E1019"/>
  <c r="F1019" s="1"/>
  <c r="G1019"/>
  <c r="H1019" s="1"/>
  <c r="I1019"/>
  <c r="J1019" s="1"/>
  <c r="D1020"/>
  <c r="E1020"/>
  <c r="F1020"/>
  <c r="G1020"/>
  <c r="H1020"/>
  <c r="I1020"/>
  <c r="J1020"/>
  <c r="D1021"/>
  <c r="E1021"/>
  <c r="F1021" s="1"/>
  <c r="G1021"/>
  <c r="H1021" s="1"/>
  <c r="I1021"/>
  <c r="J1021" s="1"/>
  <c r="D1022"/>
  <c r="E1022"/>
  <c r="F1022"/>
  <c r="G1022"/>
  <c r="H1022"/>
  <c r="I1022"/>
  <c r="J1022"/>
  <c r="D1023"/>
  <c r="E1023"/>
  <c r="F1023" s="1"/>
  <c r="G1023"/>
  <c r="H1023" s="1"/>
  <c r="I1023"/>
  <c r="J1023" s="1"/>
  <c r="D1024"/>
  <c r="E1024"/>
  <c r="F1024"/>
  <c r="G1024"/>
  <c r="H1024"/>
  <c r="I1024"/>
  <c r="J1024"/>
  <c r="D1025"/>
  <c r="E1025"/>
  <c r="F1025" s="1"/>
  <c r="G1025"/>
  <c r="I1025" s="1"/>
  <c r="J1026" s="1"/>
  <c r="D1026"/>
  <c r="E1026"/>
  <c r="F1026"/>
  <c r="G1026"/>
  <c r="H1026"/>
  <c r="I1026"/>
  <c r="D1027"/>
  <c r="E1027"/>
  <c r="F1027" s="1"/>
  <c r="G1027"/>
  <c r="H1027" s="1"/>
  <c r="I1027"/>
  <c r="J1027" s="1"/>
  <c r="D1028"/>
  <c r="E1028"/>
  <c r="F1028"/>
  <c r="G1028"/>
  <c r="H1028"/>
  <c r="I1028"/>
  <c r="J1028"/>
  <c r="D1029"/>
  <c r="E1029"/>
  <c r="F1029" s="1"/>
  <c r="G1029"/>
  <c r="H1029" s="1"/>
  <c r="I1029"/>
  <c r="J1029" s="1"/>
  <c r="D1030"/>
  <c r="E1030"/>
  <c r="F1030"/>
  <c r="G1030"/>
  <c r="H1030"/>
  <c r="I1030"/>
  <c r="J1030"/>
  <c r="D1031"/>
  <c r="E1031"/>
  <c r="F1031" s="1"/>
  <c r="G1031"/>
  <c r="H1031" s="1"/>
  <c r="I1031"/>
  <c r="J1031" s="1"/>
  <c r="D1032"/>
  <c r="E1032"/>
  <c r="F1032"/>
  <c r="G1032"/>
  <c r="H1032"/>
  <c r="I1032"/>
  <c r="J1032"/>
  <c r="D1033"/>
  <c r="E1033"/>
  <c r="F1033" s="1"/>
  <c r="G1033"/>
  <c r="H1033" s="1"/>
  <c r="I1033"/>
  <c r="J1033" s="1"/>
  <c r="D1034"/>
  <c r="E1034"/>
  <c r="F1034"/>
  <c r="G1034"/>
  <c r="H1034"/>
  <c r="I1034"/>
  <c r="J1034"/>
  <c r="D1035"/>
  <c r="E1035"/>
  <c r="F1035" s="1"/>
  <c r="G1035"/>
  <c r="H1035" s="1"/>
  <c r="I1035"/>
  <c r="J1035" s="1"/>
  <c r="D1036"/>
  <c r="E1036"/>
  <c r="F1036"/>
  <c r="G1036"/>
  <c r="H1036"/>
  <c r="I1036"/>
  <c r="J1036"/>
  <c r="D1037"/>
  <c r="E1037"/>
  <c r="F1037" s="1"/>
  <c r="G1037"/>
  <c r="I1037" s="1"/>
  <c r="J1038" s="1"/>
  <c r="D1038"/>
  <c r="E1038"/>
  <c r="F1038"/>
  <c r="G1038"/>
  <c r="H1038"/>
  <c r="I1038"/>
  <c r="D1039"/>
  <c r="E1039"/>
  <c r="F1039" s="1"/>
  <c r="G1039"/>
  <c r="H1039" s="1"/>
  <c r="I1039"/>
  <c r="J1039" s="1"/>
  <c r="D1040"/>
  <c r="E1040"/>
  <c r="F1040"/>
  <c r="G1040"/>
  <c r="H1040"/>
  <c r="I1040"/>
  <c r="J1040"/>
  <c r="D1041"/>
  <c r="E1041"/>
  <c r="F1041" s="1"/>
  <c r="G1041"/>
  <c r="H1041" s="1"/>
  <c r="I1041"/>
  <c r="J1041" s="1"/>
  <c r="D1042"/>
  <c r="E1042"/>
  <c r="F1042"/>
  <c r="G1042"/>
  <c r="H1042"/>
  <c r="I1042"/>
  <c r="J1042"/>
  <c r="D1043"/>
  <c r="E1043"/>
  <c r="F1043" s="1"/>
  <c r="G1043"/>
  <c r="H1043" s="1"/>
  <c r="I1043"/>
  <c r="J1043" s="1"/>
  <c r="D1044"/>
  <c r="E1044"/>
  <c r="F1044"/>
  <c r="G1044"/>
  <c r="H1044"/>
  <c r="I1044"/>
  <c r="J1044"/>
  <c r="D1045"/>
  <c r="E1045"/>
  <c r="F1045" s="1"/>
  <c r="G1045"/>
  <c r="H1045" s="1"/>
  <c r="I1045"/>
  <c r="J1045" s="1"/>
  <c r="D1046"/>
  <c r="E1046"/>
  <c r="F1046"/>
  <c r="G1046"/>
  <c r="H1046"/>
  <c r="I1046"/>
  <c r="J1046"/>
  <c r="D1047"/>
  <c r="E1047"/>
  <c r="F1047" s="1"/>
  <c r="G1047"/>
  <c r="H1047" s="1"/>
  <c r="I1047"/>
  <c r="J1047" s="1"/>
  <c r="D1048"/>
  <c r="E1048"/>
  <c r="F1048"/>
  <c r="G1048"/>
  <c r="H1048"/>
  <c r="I1048"/>
  <c r="J1048"/>
  <c r="E1053"/>
  <c r="G1053"/>
  <c r="G358" s="1"/>
  <c r="C1054"/>
  <c r="D1054"/>
  <c r="E1054"/>
  <c r="F1054"/>
  <c r="G1054"/>
  <c r="G359" s="1"/>
  <c r="J1054"/>
  <c r="C1055"/>
  <c r="D1055"/>
  <c r="E1055"/>
  <c r="F1055"/>
  <c r="G1055"/>
  <c r="G360" s="1"/>
  <c r="J1055"/>
  <c r="C1056"/>
  <c r="D1056"/>
  <c r="E1056"/>
  <c r="F1056"/>
  <c r="G1056"/>
  <c r="G361" s="1"/>
  <c r="J1056"/>
  <c r="C1057"/>
  <c r="D1057"/>
  <c r="E1057"/>
  <c r="F1057"/>
  <c r="G1057"/>
  <c r="G362" s="1"/>
  <c r="J1057"/>
  <c r="C1058"/>
  <c r="D1058"/>
  <c r="E1058"/>
  <c r="F1058"/>
  <c r="G1058"/>
  <c r="G363" s="1"/>
  <c r="J1058"/>
  <c r="C1059"/>
  <c r="D1059"/>
  <c r="E1059"/>
  <c r="F1059"/>
  <c r="G1059"/>
  <c r="G364" s="1"/>
  <c r="J1059"/>
  <c r="C1060"/>
  <c r="D1060"/>
  <c r="E1060"/>
  <c r="F1060"/>
  <c r="G1060"/>
  <c r="G365" s="1"/>
  <c r="J1060"/>
  <c r="C1061"/>
  <c r="D1061"/>
  <c r="E1061"/>
  <c r="F1061"/>
  <c r="G1061"/>
  <c r="G366" s="1"/>
  <c r="J1061"/>
  <c r="C1062"/>
  <c r="D1062"/>
  <c r="E1062"/>
  <c r="F1062"/>
  <c r="G1062"/>
  <c r="G367" s="1"/>
  <c r="J1062"/>
  <c r="C1063"/>
  <c r="D1063"/>
  <c r="E1063"/>
  <c r="F1063"/>
  <c r="G1063"/>
  <c r="G368" s="1"/>
  <c r="J1063"/>
  <c r="C1064"/>
  <c r="D1064"/>
  <c r="E1064"/>
  <c r="F1064"/>
  <c r="G1064"/>
  <c r="G369" s="1"/>
  <c r="J1064"/>
  <c r="C1065"/>
  <c r="D1065"/>
  <c r="E1065"/>
  <c r="F1065"/>
  <c r="G1065"/>
  <c r="G370" s="1"/>
  <c r="J1065"/>
  <c r="C1066"/>
  <c r="D1066"/>
  <c r="E1066"/>
  <c r="F1066"/>
  <c r="G1066"/>
  <c r="G371" s="1"/>
  <c r="J1066"/>
  <c r="C1067"/>
  <c r="D1067"/>
  <c r="E1067"/>
  <c r="F1067"/>
  <c r="G1067"/>
  <c r="G372" s="1"/>
  <c r="J1067"/>
  <c r="C1068"/>
  <c r="D1068"/>
  <c r="E1068"/>
  <c r="F1068"/>
  <c r="G1068"/>
  <c r="G373" s="1"/>
  <c r="J1068"/>
  <c r="C1069"/>
  <c r="D1069"/>
  <c r="E1069"/>
  <c r="F1069"/>
  <c r="G1069"/>
  <c r="G374" s="1"/>
  <c r="J1069"/>
  <c r="C1070"/>
  <c r="D1070"/>
  <c r="E1070"/>
  <c r="F1070"/>
  <c r="G1070"/>
  <c r="G375" s="1"/>
  <c r="J1070"/>
  <c r="C1071"/>
  <c r="D1071"/>
  <c r="E1071"/>
  <c r="F1071"/>
  <c r="G1071"/>
  <c r="G376" s="1"/>
  <c r="J1071"/>
  <c r="C1072"/>
  <c r="D1072"/>
  <c r="E1072"/>
  <c r="F1072"/>
  <c r="G1072"/>
  <c r="G377" s="1"/>
  <c r="J1072"/>
  <c r="C1073"/>
  <c r="D1073"/>
  <c r="E1073"/>
  <c r="F1073"/>
  <c r="G1073"/>
  <c r="G378" s="1"/>
  <c r="J1073"/>
  <c r="C1074"/>
  <c r="D1074"/>
  <c r="E1074"/>
  <c r="F1074"/>
  <c r="G1074"/>
  <c r="G379" s="1"/>
  <c r="J1074"/>
  <c r="C1075"/>
  <c r="D1075"/>
  <c r="E1075"/>
  <c r="F1075"/>
  <c r="G1075"/>
  <c r="G380" s="1"/>
  <c r="J1075"/>
  <c r="C1076"/>
  <c r="D1076"/>
  <c r="E1076"/>
  <c r="F1076"/>
  <c r="G1076"/>
  <c r="G381" s="1"/>
  <c r="J1076"/>
  <c r="C1077"/>
  <c r="D1077"/>
  <c r="E1077"/>
  <c r="F1077"/>
  <c r="G1077"/>
  <c r="G382" s="1"/>
  <c r="J1077"/>
  <c r="C1078"/>
  <c r="D1078"/>
  <c r="E1078"/>
  <c r="F1078"/>
  <c r="G1078"/>
  <c r="G383" s="1"/>
  <c r="J1078"/>
  <c r="C1079"/>
  <c r="D1079"/>
  <c r="E1079"/>
  <c r="F1079"/>
  <c r="G1079"/>
  <c r="G384" s="1"/>
  <c r="J1079"/>
  <c r="C1080"/>
  <c r="D1080"/>
  <c r="E1080"/>
  <c r="F1080"/>
  <c r="G1080"/>
  <c r="G385" s="1"/>
  <c r="J1080"/>
  <c r="C1081"/>
  <c r="D1081"/>
  <c r="E1081"/>
  <c r="F1081"/>
  <c r="G1081"/>
  <c r="G386" s="1"/>
  <c r="J1081"/>
  <c r="C1082"/>
  <c r="D1082"/>
  <c r="E1082"/>
  <c r="F1082"/>
  <c r="G1082"/>
  <c r="G387" s="1"/>
  <c r="J1082"/>
  <c r="C1083"/>
  <c r="D1083"/>
  <c r="E1083"/>
  <c r="F1083"/>
  <c r="G1083"/>
  <c r="G388" s="1"/>
  <c r="J1083"/>
  <c r="C1084"/>
  <c r="D1084"/>
  <c r="E1084"/>
  <c r="F1084"/>
  <c r="G1084"/>
  <c r="G389" s="1"/>
  <c r="J1084"/>
  <c r="C1085"/>
  <c r="D1085"/>
  <c r="E1085"/>
  <c r="F1085"/>
  <c r="G1085"/>
  <c r="G390" s="1"/>
  <c r="J1085"/>
  <c r="C1086"/>
  <c r="D1086"/>
  <c r="E1086"/>
  <c r="F1086"/>
  <c r="G1086"/>
  <c r="G391" s="1"/>
  <c r="J1086"/>
  <c r="C1087"/>
  <c r="D1087"/>
  <c r="E1087"/>
  <c r="F1087"/>
  <c r="G1087"/>
  <c r="G392" s="1"/>
  <c r="J1087"/>
  <c r="C1088"/>
  <c r="D1088"/>
  <c r="E1088"/>
  <c r="F1088"/>
  <c r="G1088"/>
  <c r="G393" s="1"/>
  <c r="J1088"/>
  <c r="C1089"/>
  <c r="D1089"/>
  <c r="E1089"/>
  <c r="F1089"/>
  <c r="G1089"/>
  <c r="G394" s="1"/>
  <c r="J1089"/>
  <c r="C1090"/>
  <c r="D1090"/>
  <c r="E1090"/>
  <c r="F1090"/>
  <c r="G1090"/>
  <c r="G395" s="1"/>
  <c r="J1090"/>
  <c r="C1091"/>
  <c r="D1091"/>
  <c r="E1091"/>
  <c r="F1091"/>
  <c r="G1091"/>
  <c r="G396" s="1"/>
  <c r="J1091"/>
  <c r="C1092"/>
  <c r="D1092"/>
  <c r="E1092"/>
  <c r="F1092"/>
  <c r="G1092"/>
  <c r="G397" s="1"/>
  <c r="J1092"/>
  <c r="C1093"/>
  <c r="D1093"/>
  <c r="E1093"/>
  <c r="F1093"/>
  <c r="G1093"/>
  <c r="G398" s="1"/>
  <c r="J1093"/>
  <c r="C1094"/>
  <c r="D1094"/>
  <c r="E1094"/>
  <c r="F1094"/>
  <c r="G1094"/>
  <c r="G399" s="1"/>
  <c r="J1094"/>
  <c r="C1095"/>
  <c r="D1095"/>
  <c r="E1095"/>
  <c r="F1095"/>
  <c r="G1095"/>
  <c r="G400" s="1"/>
  <c r="J1095"/>
  <c r="C1096"/>
  <c r="D1096"/>
  <c r="E1096"/>
  <c r="F1096"/>
  <c r="G1096"/>
  <c r="G401" s="1"/>
  <c r="J1096"/>
  <c r="C1097"/>
  <c r="D1097"/>
  <c r="E1097"/>
  <c r="F1097"/>
  <c r="G1097"/>
  <c r="G402" s="1"/>
  <c r="J1097"/>
  <c r="C1098"/>
  <c r="D1098"/>
  <c r="E1098"/>
  <c r="F1098"/>
  <c r="G1098"/>
  <c r="G403" s="1"/>
  <c r="J1098"/>
  <c r="C1099"/>
  <c r="D1099"/>
  <c r="E1099"/>
  <c r="F1099"/>
  <c r="G1099"/>
  <c r="G404" s="1"/>
  <c r="J1099"/>
  <c r="C1100"/>
  <c r="D1100"/>
  <c r="E1100"/>
  <c r="F1100"/>
  <c r="G1100"/>
  <c r="G405" s="1"/>
  <c r="J1100"/>
  <c r="C1101"/>
  <c r="D1101"/>
  <c r="E1101"/>
  <c r="F1101"/>
  <c r="G1101"/>
  <c r="G406" s="1"/>
  <c r="J1101"/>
  <c r="C1102"/>
  <c r="D1102"/>
  <c r="E1102"/>
  <c r="F1102"/>
  <c r="G1102"/>
  <c r="G407" s="1"/>
  <c r="J1102"/>
  <c r="C1103"/>
  <c r="D1103"/>
  <c r="E1103"/>
  <c r="F1103"/>
  <c r="G1103"/>
  <c r="G408" s="1"/>
  <c r="J1103"/>
  <c r="C1104"/>
  <c r="D1104"/>
  <c r="E1104"/>
  <c r="F1104"/>
  <c r="G1104"/>
  <c r="G409" s="1"/>
  <c r="J1104"/>
  <c r="C1105"/>
  <c r="D1105"/>
  <c r="E1105"/>
  <c r="F1105"/>
  <c r="G1105"/>
  <c r="G410" s="1"/>
  <c r="J1105"/>
  <c r="C1106"/>
  <c r="D1106"/>
  <c r="E1106"/>
  <c r="F1106"/>
  <c r="G1106"/>
  <c r="G411" s="1"/>
  <c r="J1106"/>
  <c r="C1107"/>
  <c r="D1107"/>
  <c r="E1107"/>
  <c r="F1107"/>
  <c r="G1107"/>
  <c r="G412" s="1"/>
  <c r="J1107"/>
  <c r="C1108"/>
  <c r="D1108"/>
  <c r="E1108"/>
  <c r="F1108"/>
  <c r="G1108"/>
  <c r="G413" s="1"/>
  <c r="J1108"/>
  <c r="C1109"/>
  <c r="D1109"/>
  <c r="E1109"/>
  <c r="F1109"/>
  <c r="G1109"/>
  <c r="J1109"/>
  <c r="C1110"/>
  <c r="D1110"/>
  <c r="E1110"/>
  <c r="F1110"/>
  <c r="G1110"/>
  <c r="J1110"/>
  <c r="C1111"/>
  <c r="D1111"/>
  <c r="E1111"/>
  <c r="F1111"/>
  <c r="G1111"/>
  <c r="J1111"/>
  <c r="C1112"/>
  <c r="D1112"/>
  <c r="E1112"/>
  <c r="F1112"/>
  <c r="G1112"/>
  <c r="J1112"/>
  <c r="C1113"/>
  <c r="D1113"/>
  <c r="E1113"/>
  <c r="F1113"/>
  <c r="G1113"/>
  <c r="J1113"/>
  <c r="C1114"/>
  <c r="D1114"/>
  <c r="E1114"/>
  <c r="F1114"/>
  <c r="G1114"/>
  <c r="J1114"/>
  <c r="C1115"/>
  <c r="D1115"/>
  <c r="E1115"/>
  <c r="F1115"/>
  <c r="G1115"/>
  <c r="J1115"/>
  <c r="C1116"/>
  <c r="D1116"/>
  <c r="E1116"/>
  <c r="F1116"/>
  <c r="G1116"/>
  <c r="J1116"/>
  <c r="C1117"/>
  <c r="D1117"/>
  <c r="E1117"/>
  <c r="F1117"/>
  <c r="G1117"/>
  <c r="J1117"/>
  <c r="C1118"/>
  <c r="D1118"/>
  <c r="E1118"/>
  <c r="F1118"/>
  <c r="G1118"/>
  <c r="J1118"/>
  <c r="C1119"/>
  <c r="D1119"/>
  <c r="E1119"/>
  <c r="F1119"/>
  <c r="G1119"/>
  <c r="J1119"/>
  <c r="C1120"/>
  <c r="D1120"/>
  <c r="E1120"/>
  <c r="F1120"/>
  <c r="G1120"/>
  <c r="J1120"/>
  <c r="C1121"/>
  <c r="D1121"/>
  <c r="E1121"/>
  <c r="F1121"/>
  <c r="G1121"/>
  <c r="J1121"/>
  <c r="C1122"/>
  <c r="D1122"/>
  <c r="E1122"/>
  <c r="F1122"/>
  <c r="G1122"/>
  <c r="J1122"/>
  <c r="C1123"/>
  <c r="D1123"/>
  <c r="E1123"/>
  <c r="F1123"/>
  <c r="G1123"/>
  <c r="J1123"/>
  <c r="C1124"/>
  <c r="D1124"/>
  <c r="E1124"/>
  <c r="F1124"/>
  <c r="G1124"/>
  <c r="J1124"/>
  <c r="C1125"/>
  <c r="D1125"/>
  <c r="E1125"/>
  <c r="F1125"/>
  <c r="G1125"/>
  <c r="J1125"/>
  <c r="C1126"/>
  <c r="D1126"/>
  <c r="E1126"/>
  <c r="F1126"/>
  <c r="G1126"/>
  <c r="J1126"/>
  <c r="C1127"/>
  <c r="D1127"/>
  <c r="E1127"/>
  <c r="F1127"/>
  <c r="G1127"/>
  <c r="J1127"/>
  <c r="C1128"/>
  <c r="D1128"/>
  <c r="E1128"/>
  <c r="F1128"/>
  <c r="G1128"/>
  <c r="J1128"/>
  <c r="C1129"/>
  <c r="D1129"/>
  <c r="E1129"/>
  <c r="F1129"/>
  <c r="G1129"/>
  <c r="J1129"/>
  <c r="C1130"/>
  <c r="D1130"/>
  <c r="E1130"/>
  <c r="F1130"/>
  <c r="G1130"/>
  <c r="J1130"/>
  <c r="C1131"/>
  <c r="D1131"/>
  <c r="E1131"/>
  <c r="F1131"/>
  <c r="G1131"/>
  <c r="J1131"/>
  <c r="C1132"/>
  <c r="D1132"/>
  <c r="E1132"/>
  <c r="F1132"/>
  <c r="G1132"/>
  <c r="J1132"/>
  <c r="C1133"/>
  <c r="D1133"/>
  <c r="E1133"/>
  <c r="F1133"/>
  <c r="G1133"/>
  <c r="J1133"/>
  <c r="C1134"/>
  <c r="D1134"/>
  <c r="E1134"/>
  <c r="F1134"/>
  <c r="G1134"/>
  <c r="J1134"/>
  <c r="C1135"/>
  <c r="D1135"/>
  <c r="E1135"/>
  <c r="F1135"/>
  <c r="G1135"/>
  <c r="J1135"/>
  <c r="C1136"/>
  <c r="D1136"/>
  <c r="E1136"/>
  <c r="F1136"/>
  <c r="G1136"/>
  <c r="J1136"/>
  <c r="C1137"/>
  <c r="D1137"/>
  <c r="E1137"/>
  <c r="F1137"/>
  <c r="G1137"/>
  <c r="J1137"/>
  <c r="C1138"/>
  <c r="D1138"/>
  <c r="E1138"/>
  <c r="F1138"/>
  <c r="G1138"/>
  <c r="J1138"/>
  <c r="C1139"/>
  <c r="D1139"/>
  <c r="E1139"/>
  <c r="F1139"/>
  <c r="G1139"/>
  <c r="J1139"/>
  <c r="C1140"/>
  <c r="D1140"/>
  <c r="E1140"/>
  <c r="F1140"/>
  <c r="G1140"/>
  <c r="J1140"/>
  <c r="C1141"/>
  <c r="D1141"/>
  <c r="E1141"/>
  <c r="F1141"/>
  <c r="G1141"/>
  <c r="J1141"/>
  <c r="C1142"/>
  <c r="D1142"/>
  <c r="E1142"/>
  <c r="F1142"/>
  <c r="G1142"/>
  <c r="J1142"/>
  <c r="C1143"/>
  <c r="D1143"/>
  <c r="E1143"/>
  <c r="F1143"/>
  <c r="G1143"/>
  <c r="J1143"/>
  <c r="C1144"/>
  <c r="D1144"/>
  <c r="E1144"/>
  <c r="F1144"/>
  <c r="G1144"/>
  <c r="J1144"/>
  <c r="E1151"/>
  <c r="G1151"/>
  <c r="I1151" s="1"/>
  <c r="J1152" s="1"/>
  <c r="D1152"/>
  <c r="E1152"/>
  <c r="F1152"/>
  <c r="G1152"/>
  <c r="H1152"/>
  <c r="I1152"/>
  <c r="D1153"/>
  <c r="E1153"/>
  <c r="F1153" s="1"/>
  <c r="G1153"/>
  <c r="H1153" s="1"/>
  <c r="I1153"/>
  <c r="J1153" s="1"/>
  <c r="D1154"/>
  <c r="E1154"/>
  <c r="F1154"/>
  <c r="G1154"/>
  <c r="H1154"/>
  <c r="I1154"/>
  <c r="J1154"/>
  <c r="D1155"/>
  <c r="E1155"/>
  <c r="F1155" s="1"/>
  <c r="G1155"/>
  <c r="H1155" s="1"/>
  <c r="I1155"/>
  <c r="J1155" s="1"/>
  <c r="D1156"/>
  <c r="E1156"/>
  <c r="F1156"/>
  <c r="G1156"/>
  <c r="H1156"/>
  <c r="I1156"/>
  <c r="J1156"/>
  <c r="D1157"/>
  <c r="E1157"/>
  <c r="F1157" s="1"/>
  <c r="G1157"/>
  <c r="H1157" s="1"/>
  <c r="I1157"/>
  <c r="J1157" s="1"/>
  <c r="D1158"/>
  <c r="E1158"/>
  <c r="F1158"/>
  <c r="G1158"/>
  <c r="H1158"/>
  <c r="I1158"/>
  <c r="J1158"/>
  <c r="D1159"/>
  <c r="E1159"/>
  <c r="F1159" s="1"/>
  <c r="G1159"/>
  <c r="H1159" s="1"/>
  <c r="I1159"/>
  <c r="J1159" s="1"/>
  <c r="D1160"/>
  <c r="E1160"/>
  <c r="F1160"/>
  <c r="G1160"/>
  <c r="H1160"/>
  <c r="I1160"/>
  <c r="J1160"/>
  <c r="D1161"/>
  <c r="E1161"/>
  <c r="F1161" s="1"/>
  <c r="G1161"/>
  <c r="I1161" s="1"/>
  <c r="J1162" s="1"/>
  <c r="D1162"/>
  <c r="E1162"/>
  <c r="F1162"/>
  <c r="G1162"/>
  <c r="H1162"/>
  <c r="I1162"/>
  <c r="D1163"/>
  <c r="E1163"/>
  <c r="F1163" s="1"/>
  <c r="G1163"/>
  <c r="H1163" s="1"/>
  <c r="I1163"/>
  <c r="J1163" s="1"/>
  <c r="D1164"/>
  <c r="E1164"/>
  <c r="F1164"/>
  <c r="G1164"/>
  <c r="H1164"/>
  <c r="I1164"/>
  <c r="J1164"/>
  <c r="D1165"/>
  <c r="E1165"/>
  <c r="F1165" s="1"/>
  <c r="G1165"/>
  <c r="H1165" s="1"/>
  <c r="I1165"/>
  <c r="J1165" s="1"/>
  <c r="D1166"/>
  <c r="E1166"/>
  <c r="F1166"/>
  <c r="G1166"/>
  <c r="H1166"/>
  <c r="I1166"/>
  <c r="J1166"/>
  <c r="D1167"/>
  <c r="E1167"/>
  <c r="F1167" s="1"/>
  <c r="G1167"/>
  <c r="H1167" s="1"/>
  <c r="I1167"/>
  <c r="J1167" s="1"/>
  <c r="D1168"/>
  <c r="E1168"/>
  <c r="F1168"/>
  <c r="G1168"/>
  <c r="H1168"/>
  <c r="I1168"/>
  <c r="J1168"/>
  <c r="D1169"/>
  <c r="E1169"/>
  <c r="F1169" s="1"/>
  <c r="G1169"/>
  <c r="H1169" s="1"/>
  <c r="I1169"/>
  <c r="J1169" s="1"/>
  <c r="D1170"/>
  <c r="E1170"/>
  <c r="F1170"/>
  <c r="G1170"/>
  <c r="H1170"/>
  <c r="I1170"/>
  <c r="J1170"/>
  <c r="D1171"/>
  <c r="E1171"/>
  <c r="F1171" s="1"/>
  <c r="G1171"/>
  <c r="H1171" s="1"/>
  <c r="I1171"/>
  <c r="J1171" s="1"/>
  <c r="D1172"/>
  <c r="E1172"/>
  <c r="F1172"/>
  <c r="G1172"/>
  <c r="H1172"/>
  <c r="I1172"/>
  <c r="J1172"/>
  <c r="B1177"/>
  <c r="E1177"/>
  <c r="B1178"/>
  <c r="C1178"/>
  <c r="D1178" s="1"/>
  <c r="E1178"/>
  <c r="F1178" s="1"/>
  <c r="G1178"/>
  <c r="J1178"/>
  <c r="B1179"/>
  <c r="C1179"/>
  <c r="D1179"/>
  <c r="E1179"/>
  <c r="F1179"/>
  <c r="G1179"/>
  <c r="J1179"/>
  <c r="B1180"/>
  <c r="C1180"/>
  <c r="D1180" s="1"/>
  <c r="E1180"/>
  <c r="F1180" s="1"/>
  <c r="G1180"/>
  <c r="J1180"/>
  <c r="B1181"/>
  <c r="C1181"/>
  <c r="D1181"/>
  <c r="E1181"/>
  <c r="F1181"/>
  <c r="G1181"/>
  <c r="J1181"/>
  <c r="B1182"/>
  <c r="C1182"/>
  <c r="D1182" s="1"/>
  <c r="E1182"/>
  <c r="F1182" s="1"/>
  <c r="G1182"/>
  <c r="J1182"/>
  <c r="B1183"/>
  <c r="C1183"/>
  <c r="D1183"/>
  <c r="E1183"/>
  <c r="F1183"/>
  <c r="G1183"/>
  <c r="J1183"/>
  <c r="B1184"/>
  <c r="C1184"/>
  <c r="D1184" s="1"/>
  <c r="E1184"/>
  <c r="F1184" s="1"/>
  <c r="G1184"/>
  <c r="J1184"/>
  <c r="B1185"/>
  <c r="C1185"/>
  <c r="D1185"/>
  <c r="E1185"/>
  <c r="F1185"/>
  <c r="G1185"/>
  <c r="J1185"/>
  <c r="B1186"/>
  <c r="C1186"/>
  <c r="D1186" s="1"/>
  <c r="E1186"/>
  <c r="F1186" s="1"/>
  <c r="G1186"/>
  <c r="J1186"/>
  <c r="B1187"/>
  <c r="C1187"/>
  <c r="D1187"/>
  <c r="E1187"/>
  <c r="F1187"/>
  <c r="G1187"/>
  <c r="J1187"/>
  <c r="B1188"/>
  <c r="C1188"/>
  <c r="D1188" s="1"/>
  <c r="E1188"/>
  <c r="F1188" s="1"/>
  <c r="G1188"/>
  <c r="J1188"/>
  <c r="B1189"/>
  <c r="C1189"/>
  <c r="D1189"/>
  <c r="E1189"/>
  <c r="F1189"/>
  <c r="G1189"/>
  <c r="J1189"/>
  <c r="B1190"/>
  <c r="C1190"/>
  <c r="D1190" s="1"/>
  <c r="E1190"/>
  <c r="F1190" s="1"/>
  <c r="G1190"/>
  <c r="J1190"/>
  <c r="B1191"/>
  <c r="C1191"/>
  <c r="D1191"/>
  <c r="E1191"/>
  <c r="F1191"/>
  <c r="G1191"/>
  <c r="J1191"/>
  <c r="B1192"/>
  <c r="C1192"/>
  <c r="D1192" s="1"/>
  <c r="E1192"/>
  <c r="F1192" s="1"/>
  <c r="G1192"/>
  <c r="J1192"/>
  <c r="B1193"/>
  <c r="C1193"/>
  <c r="D1193"/>
  <c r="E1193"/>
  <c r="F1193"/>
  <c r="G1193"/>
  <c r="J1193"/>
  <c r="B1194"/>
  <c r="C1194"/>
  <c r="D1194" s="1"/>
  <c r="E1194"/>
  <c r="F1194" s="1"/>
  <c r="G1194"/>
  <c r="J1194"/>
  <c r="B1195"/>
  <c r="C1195"/>
  <c r="D1195"/>
  <c r="E1195"/>
  <c r="F1195"/>
  <c r="G1195"/>
  <c r="J1195"/>
  <c r="B1196"/>
  <c r="C1196"/>
  <c r="D1196" s="1"/>
  <c r="E1196"/>
  <c r="F1196" s="1"/>
  <c r="G1196"/>
  <c r="J1196"/>
  <c r="B1197"/>
  <c r="C1197"/>
  <c r="D1197"/>
  <c r="E1197"/>
  <c r="F1197"/>
  <c r="G1197"/>
  <c r="J1197"/>
  <c r="B1198"/>
  <c r="C1198"/>
  <c r="D1198" s="1"/>
  <c r="E1198"/>
  <c r="F1198" s="1"/>
  <c r="G1198"/>
  <c r="J1198"/>
  <c r="E1205"/>
  <c r="G1205"/>
  <c r="I1205"/>
  <c r="D1206"/>
  <c r="E1206"/>
  <c r="F1206" s="1"/>
  <c r="G1206"/>
  <c r="H1206" s="1"/>
  <c r="I1206"/>
  <c r="J1206" s="1"/>
  <c r="D1207"/>
  <c r="E1207"/>
  <c r="F1207"/>
  <c r="G1207"/>
  <c r="H1207"/>
  <c r="I1207"/>
  <c r="J1207"/>
  <c r="D1208"/>
  <c r="E1208"/>
  <c r="F1208" s="1"/>
  <c r="G1208"/>
  <c r="H1208" s="1"/>
  <c r="I1208"/>
  <c r="J1208" s="1"/>
  <c r="B1213"/>
  <c r="E1213"/>
  <c r="G1213"/>
  <c r="B1214"/>
  <c r="C1214"/>
  <c r="D1214" s="1"/>
  <c r="E1214"/>
  <c r="F1214" s="1"/>
  <c r="G1214"/>
  <c r="J1214"/>
  <c r="B1215"/>
  <c r="C1215"/>
  <c r="D1215"/>
  <c r="E1215"/>
  <c r="F1215"/>
  <c r="G1215"/>
  <c r="J1215"/>
  <c r="B1216"/>
  <c r="C1216"/>
  <c r="D1216" s="1"/>
  <c r="E1216"/>
  <c r="F1216" s="1"/>
  <c r="G1216"/>
  <c r="J1216"/>
  <c r="E1223"/>
  <c r="G1223"/>
  <c r="I1223"/>
  <c r="D1224"/>
  <c r="E1224"/>
  <c r="F1224" s="1"/>
  <c r="G1224"/>
  <c r="H1224" s="1"/>
  <c r="I1224"/>
  <c r="J1224" s="1"/>
  <c r="D1225"/>
  <c r="E1225"/>
  <c r="F1225"/>
  <c r="G1225"/>
  <c r="H1225"/>
  <c r="I1225"/>
  <c r="J1225"/>
  <c r="D1226"/>
  <c r="E1226"/>
  <c r="F1226" s="1"/>
  <c r="G1226"/>
  <c r="H1226" s="1"/>
  <c r="I1226"/>
  <c r="J1226" s="1"/>
  <c r="B1231"/>
  <c r="E1231"/>
  <c r="G1231"/>
  <c r="B1232"/>
  <c r="C1232"/>
  <c r="D1232" s="1"/>
  <c r="E1232"/>
  <c r="F1232" s="1"/>
  <c r="G1232"/>
  <c r="J1232"/>
  <c r="B1233"/>
  <c r="C1233"/>
  <c r="D1233"/>
  <c r="E1233"/>
  <c r="F1233"/>
  <c r="G1233"/>
  <c r="J1233"/>
  <c r="B1234"/>
  <c r="C1234"/>
  <c r="D1234" s="1"/>
  <c r="E1234"/>
  <c r="F1234" s="1"/>
  <c r="G1234"/>
  <c r="J1234"/>
  <c r="C3" i="3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B18"/>
  <c r="C18"/>
  <c r="D18"/>
  <c r="E18"/>
  <c r="F18"/>
  <c r="G18"/>
  <c r="H18"/>
  <c r="G19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B28"/>
  <c r="C28"/>
  <c r="D28"/>
  <c r="E28"/>
  <c r="F28"/>
  <c r="A39"/>
  <c r="B39"/>
  <c r="C39"/>
  <c r="D39"/>
  <c r="E39"/>
  <c r="F39"/>
  <c r="G39"/>
  <c r="H39" s="1"/>
  <c r="A40"/>
  <c r="B40"/>
  <c r="C40"/>
  <c r="D40"/>
  <c r="E40"/>
  <c r="F40"/>
  <c r="G40"/>
  <c r="H40" s="1"/>
  <c r="A41"/>
  <c r="B41"/>
  <c r="C41"/>
  <c r="D41"/>
  <c r="E41"/>
  <c r="F41"/>
  <c r="G41"/>
  <c r="H41" s="1"/>
  <c r="A42"/>
  <c r="B42"/>
  <c r="C42"/>
  <c r="D42"/>
  <c r="E42"/>
  <c r="F42"/>
  <c r="G42"/>
  <c r="H42" s="1"/>
  <c r="A43"/>
  <c r="B43"/>
  <c r="C43"/>
  <c r="D43"/>
  <c r="E43"/>
  <c r="F43"/>
  <c r="G43"/>
  <c r="H43" s="1"/>
  <c r="A44"/>
  <c r="B44"/>
  <c r="C44"/>
  <c r="D44"/>
  <c r="E44"/>
  <c r="F44"/>
  <c r="G44"/>
  <c r="H44" s="1"/>
  <c r="A45"/>
  <c r="B45"/>
  <c r="C45"/>
  <c r="D45"/>
  <c r="E45"/>
  <c r="F45"/>
  <c r="G45"/>
  <c r="H45" s="1"/>
  <c r="A46"/>
  <c r="B46"/>
  <c r="C46"/>
  <c r="D46"/>
  <c r="E46"/>
  <c r="F46"/>
  <c r="G46"/>
  <c r="H46" s="1"/>
  <c r="A47"/>
  <c r="B47"/>
  <c r="C47"/>
  <c r="D47"/>
  <c r="E47"/>
  <c r="F47"/>
  <c r="G47"/>
  <c r="H47" s="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B61"/>
  <c r="C61"/>
  <c r="D61"/>
  <c r="E61"/>
  <c r="F6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8"/>
  <c r="B98"/>
  <c r="C98"/>
  <c r="D98"/>
  <c r="E98"/>
  <c r="F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B115"/>
  <c r="C115"/>
  <c r="D115"/>
  <c r="E115"/>
  <c r="F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B120"/>
  <c r="D120"/>
  <c r="E120"/>
  <c r="F12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A134"/>
  <c r="B134"/>
  <c r="C134"/>
  <c r="D134"/>
  <c r="E134"/>
  <c r="F134"/>
  <c r="G134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B143"/>
  <c r="C143"/>
  <c r="D143"/>
  <c r="E143"/>
  <c r="F143"/>
  <c r="A154"/>
  <c r="B154"/>
  <c r="C154"/>
  <c r="D154"/>
  <c r="E154"/>
  <c r="F154"/>
  <c r="G154"/>
  <c r="A155"/>
  <c r="B155"/>
  <c r="C155"/>
  <c r="D155"/>
  <c r="E155"/>
  <c r="F155"/>
  <c r="G155"/>
  <c r="A156"/>
  <c r="B156"/>
  <c r="C156"/>
  <c r="D156"/>
  <c r="E156"/>
  <c r="F156"/>
  <c r="G156"/>
  <c r="A157"/>
  <c r="B157"/>
  <c r="C157"/>
  <c r="D157"/>
  <c r="E157"/>
  <c r="F157"/>
  <c r="G157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B166"/>
  <c r="C166"/>
  <c r="D166"/>
  <c r="E166"/>
  <c r="F166"/>
  <c r="A177"/>
  <c r="B177"/>
  <c r="C177"/>
  <c r="D177"/>
  <c r="E177"/>
  <c r="F177"/>
  <c r="G177"/>
  <c r="A178"/>
  <c r="B178"/>
  <c r="C178"/>
  <c r="D178"/>
  <c r="E178"/>
  <c r="F178"/>
  <c r="G178"/>
  <c r="A179"/>
  <c r="B179"/>
  <c r="C179"/>
  <c r="D179"/>
  <c r="E179"/>
  <c r="F179"/>
  <c r="G179"/>
  <c r="A180"/>
  <c r="B180"/>
  <c r="C180"/>
  <c r="D180"/>
  <c r="E180"/>
  <c r="F180"/>
  <c r="G180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7"/>
  <c r="B197"/>
  <c r="D197"/>
  <c r="A198"/>
  <c r="B198"/>
  <c r="C198"/>
  <c r="D198"/>
  <c r="E198"/>
  <c r="F198"/>
  <c r="A199"/>
  <c r="A200"/>
  <c r="B200"/>
  <c r="C200"/>
  <c r="D200"/>
  <c r="E200"/>
  <c r="F200"/>
  <c r="A201"/>
  <c r="B201"/>
  <c r="C201"/>
  <c r="D201"/>
  <c r="E201"/>
  <c r="F201"/>
  <c r="B202"/>
  <c r="C202"/>
  <c r="D202"/>
  <c r="E202"/>
  <c r="F202"/>
  <c r="A203"/>
  <c r="A204"/>
  <c r="B204"/>
  <c r="C204"/>
  <c r="D204"/>
  <c r="E204"/>
  <c r="F204"/>
  <c r="A205"/>
  <c r="B205"/>
  <c r="C205"/>
  <c r="D205"/>
  <c r="E205"/>
  <c r="F205"/>
  <c r="B206"/>
  <c r="C206"/>
  <c r="D206"/>
  <c r="E206"/>
  <c r="F206"/>
  <c r="A208"/>
  <c r="A209"/>
  <c r="A210"/>
  <c r="A211"/>
  <c r="B211"/>
  <c r="C211"/>
  <c r="D211"/>
  <c r="E211"/>
  <c r="F211"/>
  <c r="G211"/>
  <c r="H211"/>
  <c r="A212"/>
  <c r="B212"/>
  <c r="C212"/>
  <c r="D212"/>
  <c r="E212"/>
  <c r="F212"/>
  <c r="G212"/>
  <c r="H212"/>
  <c r="A213"/>
  <c r="A214"/>
  <c r="B214"/>
  <c r="C214"/>
  <c r="D214"/>
  <c r="E214"/>
  <c r="F214"/>
  <c r="G214"/>
  <c r="H214"/>
  <c r="C219"/>
  <c r="D219"/>
  <c r="C220"/>
  <c r="D220"/>
  <c r="C221"/>
  <c r="D221"/>
  <c r="C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5"/>
  <c r="C236"/>
  <c r="C237"/>
  <c r="C238"/>
  <c r="C239"/>
  <c r="C240"/>
  <c r="C241"/>
  <c r="C243"/>
  <c r="C244"/>
  <c r="C245"/>
  <c r="C246"/>
  <c r="C247"/>
  <c r="C248"/>
  <c r="C249"/>
  <c r="C250"/>
  <c r="C251"/>
  <c r="C252" s="1"/>
  <c r="C253"/>
  <c r="C3" i="1"/>
  <c r="A14"/>
  <c r="B14"/>
  <c r="C14"/>
  <c r="D14"/>
  <c r="E14"/>
  <c r="F14"/>
  <c r="G14"/>
  <c r="H14"/>
  <c r="A15"/>
  <c r="B15"/>
  <c r="C15"/>
  <c r="D15"/>
  <c r="E15"/>
  <c r="F15"/>
  <c r="G15"/>
  <c r="H15"/>
  <c r="A16"/>
  <c r="B16"/>
  <c r="C16"/>
  <c r="D16"/>
  <c r="E16"/>
  <c r="F16"/>
  <c r="G16"/>
  <c r="H16"/>
  <c r="A17"/>
  <c r="B17"/>
  <c r="C17"/>
  <c r="D17"/>
  <c r="E17"/>
  <c r="F17"/>
  <c r="G17"/>
  <c r="H17"/>
  <c r="B18"/>
  <c r="C18"/>
  <c r="D18"/>
  <c r="E18"/>
  <c r="F18"/>
  <c r="G18"/>
  <c r="H18"/>
  <c r="G19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B28"/>
  <c r="C28"/>
  <c r="D28"/>
  <c r="E28"/>
  <c r="F28"/>
  <c r="A39"/>
  <c r="B39"/>
  <c r="C39"/>
  <c r="D39"/>
  <c r="E39"/>
  <c r="F39"/>
  <c r="G39"/>
  <c r="H39"/>
  <c r="A40"/>
  <c r="B40"/>
  <c r="C40"/>
  <c r="D40"/>
  <c r="E40"/>
  <c r="F40"/>
  <c r="G40"/>
  <c r="H40"/>
  <c r="A41"/>
  <c r="B41"/>
  <c r="C41"/>
  <c r="D41"/>
  <c r="E41"/>
  <c r="F41"/>
  <c r="G41"/>
  <c r="H41"/>
  <c r="A42"/>
  <c r="B42"/>
  <c r="C42"/>
  <c r="D42"/>
  <c r="E42"/>
  <c r="F42"/>
  <c r="G42"/>
  <c r="H42"/>
  <c r="A43"/>
  <c r="B43"/>
  <c r="C43"/>
  <c r="D43"/>
  <c r="E43"/>
  <c r="F43"/>
  <c r="G43"/>
  <c r="H43"/>
  <c r="A44"/>
  <c r="B44"/>
  <c r="C44"/>
  <c r="D44"/>
  <c r="E44"/>
  <c r="F44"/>
  <c r="G44"/>
  <c r="H44"/>
  <c r="A45"/>
  <c r="B45"/>
  <c r="C45"/>
  <c r="D45"/>
  <c r="E45"/>
  <c r="F45"/>
  <c r="G45"/>
  <c r="H45"/>
  <c r="A46"/>
  <c r="B46"/>
  <c r="C46"/>
  <c r="D46"/>
  <c r="E46"/>
  <c r="F46"/>
  <c r="G46"/>
  <c r="H46"/>
  <c r="A47"/>
  <c r="B47"/>
  <c r="C47"/>
  <c r="D47"/>
  <c r="E47"/>
  <c r="F47"/>
  <c r="G47"/>
  <c r="H47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B61"/>
  <c r="C61"/>
  <c r="D61"/>
  <c r="E61"/>
  <c r="F61"/>
  <c r="A72"/>
  <c r="B72"/>
  <c r="C72"/>
  <c r="D72"/>
  <c r="E72"/>
  <c r="F72"/>
  <c r="G72"/>
  <c r="A73"/>
  <c r="A99" s="1"/>
  <c r="B73"/>
  <c r="C73"/>
  <c r="D73"/>
  <c r="E73"/>
  <c r="F73"/>
  <c r="G73"/>
  <c r="A74"/>
  <c r="B74"/>
  <c r="C74"/>
  <c r="D74"/>
  <c r="E74"/>
  <c r="F74"/>
  <c r="G74"/>
  <c r="A75"/>
  <c r="A101" s="1"/>
  <c r="B75"/>
  <c r="C75"/>
  <c r="D75"/>
  <c r="E75"/>
  <c r="F75"/>
  <c r="G75"/>
  <c r="A76"/>
  <c r="B76"/>
  <c r="C76"/>
  <c r="D76"/>
  <c r="E76"/>
  <c r="F76"/>
  <c r="G76"/>
  <c r="A77"/>
  <c r="A103" s="1"/>
  <c r="B77"/>
  <c r="C77"/>
  <c r="D77"/>
  <c r="E77"/>
  <c r="F77"/>
  <c r="G77"/>
  <c r="A78"/>
  <c r="B78"/>
  <c r="C78"/>
  <c r="D78"/>
  <c r="E78"/>
  <c r="F78"/>
  <c r="G78"/>
  <c r="A79"/>
  <c r="A105" s="1"/>
  <c r="B79"/>
  <c r="C79"/>
  <c r="D79"/>
  <c r="E79"/>
  <c r="F79"/>
  <c r="G79"/>
  <c r="A80"/>
  <c r="B80"/>
  <c r="C80"/>
  <c r="D80"/>
  <c r="E80"/>
  <c r="F80"/>
  <c r="G80"/>
  <c r="A81"/>
  <c r="A107" s="1"/>
  <c r="B81"/>
  <c r="C81"/>
  <c r="D81"/>
  <c r="E81"/>
  <c r="F81"/>
  <c r="G81"/>
  <c r="A82"/>
  <c r="B82"/>
  <c r="C82"/>
  <c r="D82"/>
  <c r="E82"/>
  <c r="F82"/>
  <c r="G82"/>
  <c r="A83"/>
  <c r="A109" s="1"/>
  <c r="B83"/>
  <c r="C83"/>
  <c r="D83"/>
  <c r="E83"/>
  <c r="F83"/>
  <c r="G83"/>
  <c r="A84"/>
  <c r="B84"/>
  <c r="C84"/>
  <c r="D84"/>
  <c r="E84"/>
  <c r="F84"/>
  <c r="G84"/>
  <c r="A85"/>
  <c r="A111" s="1"/>
  <c r="B85"/>
  <c r="C85"/>
  <c r="D85"/>
  <c r="E85"/>
  <c r="F85"/>
  <c r="G85"/>
  <c r="A86"/>
  <c r="B86"/>
  <c r="C86"/>
  <c r="D86"/>
  <c r="E86"/>
  <c r="F86"/>
  <c r="G86"/>
  <c r="A87"/>
  <c r="A113" s="1"/>
  <c r="B87"/>
  <c r="C87"/>
  <c r="D87"/>
  <c r="E87"/>
  <c r="F87"/>
  <c r="G87"/>
  <c r="A88"/>
  <c r="B88"/>
  <c r="C88"/>
  <c r="D88"/>
  <c r="E88"/>
  <c r="F88"/>
  <c r="G88"/>
  <c r="A89"/>
  <c r="A115" s="1"/>
  <c r="B89"/>
  <c r="C89"/>
  <c r="D89"/>
  <c r="E89"/>
  <c r="F89"/>
  <c r="G89"/>
  <c r="A90"/>
  <c r="B90"/>
  <c r="C90"/>
  <c r="D90"/>
  <c r="E90"/>
  <c r="F90"/>
  <c r="G90"/>
  <c r="A91"/>
  <c r="A117" s="1"/>
  <c r="B91"/>
  <c r="C91"/>
  <c r="D91"/>
  <c r="E91"/>
  <c r="F91"/>
  <c r="G91"/>
  <c r="A92"/>
  <c r="B92"/>
  <c r="C92"/>
  <c r="D92"/>
  <c r="E92"/>
  <c r="F92"/>
  <c r="G92"/>
  <c r="A93"/>
  <c r="A119" s="1"/>
  <c r="B93"/>
  <c r="C93"/>
  <c r="D93"/>
  <c r="E93"/>
  <c r="F93"/>
  <c r="G93"/>
  <c r="A98"/>
  <c r="B98"/>
  <c r="C98"/>
  <c r="D98"/>
  <c r="E98"/>
  <c r="F98"/>
  <c r="B99"/>
  <c r="C99"/>
  <c r="D99"/>
  <c r="E99"/>
  <c r="F99"/>
  <c r="A100"/>
  <c r="B100"/>
  <c r="C100"/>
  <c r="D100"/>
  <c r="E100"/>
  <c r="F100"/>
  <c r="B101"/>
  <c r="C101"/>
  <c r="D101"/>
  <c r="E101"/>
  <c r="F101"/>
  <c r="A102"/>
  <c r="B102"/>
  <c r="C102"/>
  <c r="D102"/>
  <c r="E102"/>
  <c r="F102"/>
  <c r="B103"/>
  <c r="C103"/>
  <c r="D103"/>
  <c r="E103"/>
  <c r="F103"/>
  <c r="A104"/>
  <c r="B104"/>
  <c r="C104"/>
  <c r="D104"/>
  <c r="E104"/>
  <c r="F104"/>
  <c r="B105"/>
  <c r="C105"/>
  <c r="D105"/>
  <c r="E105"/>
  <c r="F105"/>
  <c r="A106"/>
  <c r="B106"/>
  <c r="C106"/>
  <c r="D106"/>
  <c r="E106"/>
  <c r="F106"/>
  <c r="B107"/>
  <c r="C107"/>
  <c r="D107"/>
  <c r="E107"/>
  <c r="F107"/>
  <c r="A108"/>
  <c r="B108"/>
  <c r="C108"/>
  <c r="D108"/>
  <c r="E108"/>
  <c r="F108"/>
  <c r="B109"/>
  <c r="C109"/>
  <c r="D109"/>
  <c r="E109"/>
  <c r="F109"/>
  <c r="A110"/>
  <c r="B110"/>
  <c r="C110"/>
  <c r="D110"/>
  <c r="E110"/>
  <c r="F110"/>
  <c r="B111"/>
  <c r="C111"/>
  <c r="D111"/>
  <c r="E111"/>
  <c r="F111"/>
  <c r="A112"/>
  <c r="B112"/>
  <c r="C112"/>
  <c r="D112"/>
  <c r="E112"/>
  <c r="F112"/>
  <c r="B113"/>
  <c r="C113"/>
  <c r="D113"/>
  <c r="E113"/>
  <c r="F113"/>
  <c r="A114"/>
  <c r="B114"/>
  <c r="C114"/>
  <c r="D114"/>
  <c r="E114"/>
  <c r="F114"/>
  <c r="B115"/>
  <c r="C115"/>
  <c r="D115"/>
  <c r="E115"/>
  <c r="F115"/>
  <c r="A116"/>
  <c r="B116"/>
  <c r="C116"/>
  <c r="D116"/>
  <c r="E116"/>
  <c r="F116"/>
  <c r="B117"/>
  <c r="C117"/>
  <c r="D117"/>
  <c r="E117"/>
  <c r="F117"/>
  <c r="A118"/>
  <c r="B118"/>
  <c r="C118"/>
  <c r="D118"/>
  <c r="E118"/>
  <c r="F118"/>
  <c r="B119"/>
  <c r="C119"/>
  <c r="D119"/>
  <c r="E119"/>
  <c r="F119"/>
  <c r="B120"/>
  <c r="D120"/>
  <c r="E120"/>
  <c r="F12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A134"/>
  <c r="B134"/>
  <c r="C134"/>
  <c r="D134"/>
  <c r="E134"/>
  <c r="F134"/>
  <c r="G134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B143"/>
  <c r="C143"/>
  <c r="D143"/>
  <c r="E143"/>
  <c r="F143"/>
  <c r="A154"/>
  <c r="B154"/>
  <c r="C154"/>
  <c r="D154"/>
  <c r="E154"/>
  <c r="F154"/>
  <c r="G154"/>
  <c r="A155"/>
  <c r="B155"/>
  <c r="C155"/>
  <c r="D155"/>
  <c r="E155"/>
  <c r="F155"/>
  <c r="G155"/>
  <c r="A156"/>
  <c r="B156"/>
  <c r="C156"/>
  <c r="D156"/>
  <c r="E156"/>
  <c r="F156"/>
  <c r="G156"/>
  <c r="A157"/>
  <c r="B157"/>
  <c r="C157"/>
  <c r="D157"/>
  <c r="E157"/>
  <c r="F157"/>
  <c r="G157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B166"/>
  <c r="C166"/>
  <c r="D166"/>
  <c r="E166"/>
  <c r="F166"/>
  <c r="A177"/>
  <c r="B177"/>
  <c r="C177"/>
  <c r="D177"/>
  <c r="E177"/>
  <c r="F177"/>
  <c r="G177"/>
  <c r="A178"/>
  <c r="B178"/>
  <c r="C178"/>
  <c r="D178"/>
  <c r="E178"/>
  <c r="F178"/>
  <c r="G178"/>
  <c r="A179"/>
  <c r="B179"/>
  <c r="C179"/>
  <c r="D179"/>
  <c r="E179"/>
  <c r="F179"/>
  <c r="G179"/>
  <c r="A180"/>
  <c r="B180"/>
  <c r="C180"/>
  <c r="D180"/>
  <c r="E180"/>
  <c r="F180"/>
  <c r="G180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7"/>
  <c r="B197"/>
  <c r="D197"/>
  <c r="A198"/>
  <c r="B198"/>
  <c r="C198"/>
  <c r="D198"/>
  <c r="E198"/>
  <c r="F198"/>
  <c r="A199"/>
  <c r="A200"/>
  <c r="B200"/>
  <c r="C200"/>
  <c r="D200"/>
  <c r="E200"/>
  <c r="F200"/>
  <c r="A201"/>
  <c r="B201"/>
  <c r="C201"/>
  <c r="D201"/>
  <c r="E201"/>
  <c r="F201"/>
  <c r="B202"/>
  <c r="C202"/>
  <c r="D202"/>
  <c r="E202"/>
  <c r="F202"/>
  <c r="A203"/>
  <c r="A204"/>
  <c r="B204"/>
  <c r="C204"/>
  <c r="D204"/>
  <c r="E204"/>
  <c r="F204"/>
  <c r="A205"/>
  <c r="B205"/>
  <c r="C205"/>
  <c r="D205"/>
  <c r="E205"/>
  <c r="F205"/>
  <c r="B206"/>
  <c r="C206"/>
  <c r="D206"/>
  <c r="E206"/>
  <c r="F206"/>
  <c r="A208"/>
  <c r="A209"/>
  <c r="A210"/>
  <c r="A211"/>
  <c r="B211"/>
  <c r="C211"/>
  <c r="D211"/>
  <c r="E211"/>
  <c r="F211"/>
  <c r="G211"/>
  <c r="H211"/>
  <c r="A212"/>
  <c r="B212"/>
  <c r="C212"/>
  <c r="D212"/>
  <c r="E212"/>
  <c r="F212"/>
  <c r="G212"/>
  <c r="H212"/>
  <c r="A213"/>
  <c r="A214"/>
  <c r="B214"/>
  <c r="C214"/>
  <c r="D214"/>
  <c r="E214"/>
  <c r="F214"/>
  <c r="G214"/>
  <c r="H214"/>
  <c r="C219"/>
  <c r="D219"/>
  <c r="C220"/>
  <c r="D220"/>
  <c r="C221"/>
  <c r="D221"/>
  <c r="C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5"/>
  <c r="C234" s="1"/>
  <c r="C236"/>
  <c r="C237"/>
  <c r="C238"/>
  <c r="C239"/>
  <c r="C240"/>
  <c r="C241"/>
  <c r="C243"/>
  <c r="C244"/>
  <c r="C245"/>
  <c r="C246"/>
  <c r="C247"/>
  <c r="C248"/>
  <c r="C249"/>
  <c r="C250"/>
  <c r="C253" s="1"/>
  <c r="C251"/>
  <c r="G4" i="4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A22"/>
  <c r="B22"/>
  <c r="C22"/>
  <c r="D22"/>
  <c r="E22"/>
  <c r="F22"/>
  <c r="G22"/>
  <c r="H22"/>
  <c r="I22"/>
  <c r="J22"/>
  <c r="K22"/>
  <c r="L22"/>
  <c r="M22"/>
  <c r="A23"/>
  <c r="B23"/>
  <c r="C23"/>
  <c r="D23"/>
  <c r="E23"/>
  <c r="F23"/>
  <c r="G23"/>
  <c r="H23"/>
  <c r="I23"/>
  <c r="J23"/>
  <c r="K23"/>
  <c r="L23"/>
  <c r="M23"/>
  <c r="A24"/>
  <c r="B24"/>
  <c r="C24"/>
  <c r="D24"/>
  <c r="E24"/>
  <c r="F24"/>
  <c r="G24"/>
  <c r="H24"/>
  <c r="I24"/>
  <c r="J24"/>
  <c r="K24"/>
  <c r="L24"/>
  <c r="M24"/>
  <c r="A25"/>
  <c r="B25"/>
  <c r="C25"/>
  <c r="D25"/>
  <c r="E25"/>
  <c r="F25"/>
  <c r="G25"/>
  <c r="H25"/>
  <c r="I25"/>
  <c r="J25"/>
  <c r="K25"/>
  <c r="L25"/>
  <c r="M25"/>
  <c r="I26"/>
  <c r="J26"/>
  <c r="K26"/>
  <c r="L26"/>
  <c r="M26"/>
  <c r="B27"/>
  <c r="C27"/>
  <c r="D27"/>
  <c r="E27"/>
  <c r="F27"/>
  <c r="G27"/>
  <c r="H27"/>
  <c r="G28"/>
  <c r="A34"/>
  <c r="B34"/>
  <c r="C34"/>
  <c r="D34"/>
  <c r="E34"/>
  <c r="F34"/>
  <c r="G34"/>
  <c r="H34"/>
  <c r="I34"/>
  <c r="J34"/>
  <c r="K34"/>
  <c r="L34"/>
  <c r="M34"/>
  <c r="A35"/>
  <c r="B35"/>
  <c r="C35"/>
  <c r="D35"/>
  <c r="E35"/>
  <c r="F35"/>
  <c r="G35"/>
  <c r="H35" s="1"/>
  <c r="I35"/>
  <c r="J35"/>
  <c r="K35"/>
  <c r="L35"/>
  <c r="M35"/>
  <c r="A36"/>
  <c r="B36"/>
  <c r="C36"/>
  <c r="D36"/>
  <c r="E36"/>
  <c r="F36"/>
  <c r="G36"/>
  <c r="H36"/>
  <c r="I36"/>
  <c r="J36"/>
  <c r="K36"/>
  <c r="L36"/>
  <c r="M36"/>
  <c r="A37"/>
  <c r="B37"/>
  <c r="C37"/>
  <c r="D37"/>
  <c r="E37"/>
  <c r="F37"/>
  <c r="G37"/>
  <c r="H37" s="1"/>
  <c r="I37"/>
  <c r="J37"/>
  <c r="K37"/>
  <c r="L37"/>
  <c r="M37"/>
  <c r="A38"/>
  <c r="B38"/>
  <c r="C38"/>
  <c r="D38"/>
  <c r="E38"/>
  <c r="F38"/>
  <c r="G38"/>
  <c r="H38"/>
  <c r="I38"/>
  <c r="J38"/>
  <c r="K38"/>
  <c r="L38"/>
  <c r="M38"/>
  <c r="A39"/>
  <c r="B39"/>
  <c r="C39"/>
  <c r="D39"/>
  <c r="E39"/>
  <c r="F39"/>
  <c r="G39"/>
  <c r="H39" s="1"/>
  <c r="I39"/>
  <c r="J39"/>
  <c r="K39"/>
  <c r="L39"/>
  <c r="M39"/>
  <c r="A40"/>
  <c r="B40"/>
  <c r="C40"/>
  <c r="D40"/>
  <c r="E40"/>
  <c r="F40"/>
  <c r="G40"/>
  <c r="H40"/>
  <c r="I40"/>
  <c r="J40"/>
  <c r="K40"/>
  <c r="L40"/>
  <c r="M40"/>
  <c r="A41"/>
  <c r="B41"/>
  <c r="C41"/>
  <c r="D41"/>
  <c r="E41"/>
  <c r="F41"/>
  <c r="G41"/>
  <c r="H41" s="1"/>
  <c r="I41"/>
  <c r="J41"/>
  <c r="K41"/>
  <c r="L41"/>
  <c r="M41"/>
  <c r="I42"/>
  <c r="J42"/>
  <c r="K42"/>
  <c r="L42"/>
  <c r="M42"/>
  <c r="A48"/>
  <c r="B48"/>
  <c r="C48"/>
  <c r="D48"/>
  <c r="E48"/>
  <c r="F48"/>
  <c r="G48"/>
  <c r="H48"/>
  <c r="I48"/>
  <c r="J48"/>
  <c r="K48"/>
  <c r="L48"/>
  <c r="A49"/>
  <c r="B49"/>
  <c r="C49"/>
  <c r="D49"/>
  <c r="E49"/>
  <c r="F49"/>
  <c r="G49"/>
  <c r="H49"/>
  <c r="I49"/>
  <c r="J49"/>
  <c r="K49"/>
  <c r="L49"/>
  <c r="A50"/>
  <c r="B50"/>
  <c r="C50"/>
  <c r="D50"/>
  <c r="E50"/>
  <c r="F50"/>
  <c r="G50"/>
  <c r="H50"/>
  <c r="I50"/>
  <c r="J50"/>
  <c r="K50"/>
  <c r="L50"/>
  <c r="A51"/>
  <c r="B51"/>
  <c r="C51"/>
  <c r="D51"/>
  <c r="E51"/>
  <c r="F51"/>
  <c r="G51"/>
  <c r="H51"/>
  <c r="I51"/>
  <c r="J51"/>
  <c r="K51"/>
  <c r="L51"/>
  <c r="A52"/>
  <c r="B52"/>
  <c r="C52"/>
  <c r="D52"/>
  <c r="E52"/>
  <c r="F52"/>
  <c r="G52"/>
  <c r="H52"/>
  <c r="I52"/>
  <c r="J52"/>
  <c r="K52"/>
  <c r="L52"/>
  <c r="A53"/>
  <c r="B53"/>
  <c r="C53"/>
  <c r="D53"/>
  <c r="E53"/>
  <c r="F53"/>
  <c r="G53"/>
  <c r="H53"/>
  <c r="I53"/>
  <c r="J53"/>
  <c r="K53"/>
  <c r="L53"/>
  <c r="A54"/>
  <c r="B54"/>
  <c r="C54"/>
  <c r="D54"/>
  <c r="E54"/>
  <c r="F54"/>
  <c r="G54"/>
  <c r="H54"/>
  <c r="I54"/>
  <c r="J54"/>
  <c r="K54"/>
  <c r="L54"/>
  <c r="A55"/>
  <c r="B55"/>
  <c r="C55"/>
  <c r="D55"/>
  <c r="E55"/>
  <c r="F55"/>
  <c r="G55"/>
  <c r="H55"/>
  <c r="I55"/>
  <c r="J55"/>
  <c r="K55"/>
  <c r="L55"/>
  <c r="A56"/>
  <c r="B56"/>
  <c r="C56"/>
  <c r="D56"/>
  <c r="E56"/>
  <c r="F56"/>
  <c r="G56"/>
  <c r="H56"/>
  <c r="I56"/>
  <c r="J56"/>
  <c r="K56"/>
  <c r="L56"/>
  <c r="A57"/>
  <c r="B57"/>
  <c r="C57"/>
  <c r="D57"/>
  <c r="E57"/>
  <c r="F57"/>
  <c r="G57"/>
  <c r="H57"/>
  <c r="I57"/>
  <c r="J57"/>
  <c r="K57"/>
  <c r="L57"/>
  <c r="A58"/>
  <c r="B58"/>
  <c r="C58"/>
  <c r="D58"/>
  <c r="E58"/>
  <c r="F58"/>
  <c r="G58"/>
  <c r="H58"/>
  <c r="I58"/>
  <c r="J58"/>
  <c r="K58"/>
  <c r="L58"/>
  <c r="A59"/>
  <c r="B59"/>
  <c r="C59"/>
  <c r="D59"/>
  <c r="E59"/>
  <c r="F59"/>
  <c r="G59"/>
  <c r="H59"/>
  <c r="I59"/>
  <c r="J59"/>
  <c r="K59"/>
  <c r="L59"/>
  <c r="A60"/>
  <c r="B60"/>
  <c r="C60"/>
  <c r="D60"/>
  <c r="E60"/>
  <c r="F60"/>
  <c r="G60"/>
  <c r="H60"/>
  <c r="I60"/>
  <c r="J60"/>
  <c r="K60"/>
  <c r="L60"/>
  <c r="A61"/>
  <c r="B61"/>
  <c r="C61"/>
  <c r="D61"/>
  <c r="E61"/>
  <c r="F61"/>
  <c r="G61"/>
  <c r="H61"/>
  <c r="I61"/>
  <c r="J61"/>
  <c r="K61"/>
  <c r="L61"/>
  <c r="A62"/>
  <c r="B62"/>
  <c r="C62"/>
  <c r="D62"/>
  <c r="E62"/>
  <c r="F62"/>
  <c r="G62"/>
  <c r="H62"/>
  <c r="I62"/>
  <c r="J62"/>
  <c r="K62"/>
  <c r="L62"/>
  <c r="A63"/>
  <c r="B63"/>
  <c r="C63"/>
  <c r="D63"/>
  <c r="E63"/>
  <c r="F63"/>
  <c r="G63"/>
  <c r="H63"/>
  <c r="I63"/>
  <c r="J63"/>
  <c r="K63"/>
  <c r="L63"/>
  <c r="A64"/>
  <c r="B64"/>
  <c r="C64"/>
  <c r="D64"/>
  <c r="E64"/>
  <c r="F64"/>
  <c r="G64"/>
  <c r="H64"/>
  <c r="I64"/>
  <c r="J64"/>
  <c r="K64"/>
  <c r="L64"/>
  <c r="A65"/>
  <c r="B65"/>
  <c r="C65"/>
  <c r="D65"/>
  <c r="E65"/>
  <c r="F65"/>
  <c r="G65"/>
  <c r="H65"/>
  <c r="I65"/>
  <c r="J65"/>
  <c r="K65"/>
  <c r="L65"/>
  <c r="A66"/>
  <c r="B66"/>
  <c r="C66"/>
  <c r="D66"/>
  <c r="E66"/>
  <c r="F66"/>
  <c r="G66"/>
  <c r="H66"/>
  <c r="I66"/>
  <c r="J66"/>
  <c r="K66"/>
  <c r="L66"/>
  <c r="A67"/>
  <c r="B67"/>
  <c r="C67"/>
  <c r="D67"/>
  <c r="E67"/>
  <c r="F67"/>
  <c r="G67"/>
  <c r="H67"/>
  <c r="I67"/>
  <c r="J67"/>
  <c r="K67"/>
  <c r="L67"/>
  <c r="A68"/>
  <c r="B68"/>
  <c r="C68"/>
  <c r="D68"/>
  <c r="E68"/>
  <c r="F68"/>
  <c r="G68"/>
  <c r="H68"/>
  <c r="I68"/>
  <c r="J68"/>
  <c r="K68"/>
  <c r="L68"/>
  <c r="H69"/>
  <c r="I69"/>
  <c r="J69"/>
  <c r="K69"/>
  <c r="L69"/>
  <c r="A75"/>
  <c r="B75"/>
  <c r="C75"/>
  <c r="D75"/>
  <c r="E75"/>
  <c r="F75"/>
  <c r="G75"/>
  <c r="H75"/>
  <c r="I75"/>
  <c r="J75"/>
  <c r="K75"/>
  <c r="L75"/>
  <c r="A76"/>
  <c r="B76"/>
  <c r="C76"/>
  <c r="D76"/>
  <c r="E76"/>
  <c r="F76"/>
  <c r="G76"/>
  <c r="H76"/>
  <c r="I76"/>
  <c r="J76"/>
  <c r="K76"/>
  <c r="L76"/>
  <c r="A77"/>
  <c r="B77"/>
  <c r="C77"/>
  <c r="D77"/>
  <c r="E77"/>
  <c r="F77"/>
  <c r="G77"/>
  <c r="H77"/>
  <c r="I77"/>
  <c r="J77"/>
  <c r="K77"/>
  <c r="L77"/>
  <c r="A78"/>
  <c r="B78"/>
  <c r="C78"/>
  <c r="D78"/>
  <c r="E78"/>
  <c r="F78"/>
  <c r="G78"/>
  <c r="H78"/>
  <c r="I78"/>
  <c r="J78"/>
  <c r="K78"/>
  <c r="L78"/>
  <c r="H79"/>
  <c r="I79"/>
  <c r="J79"/>
  <c r="K79"/>
  <c r="L79"/>
  <c r="A85"/>
  <c r="B85"/>
  <c r="C85"/>
  <c r="D85"/>
  <c r="E85"/>
  <c r="F85"/>
  <c r="G85"/>
  <c r="H85"/>
  <c r="I85"/>
  <c r="J85"/>
  <c r="K85"/>
  <c r="L85"/>
  <c r="A86"/>
  <c r="B86"/>
  <c r="C86"/>
  <c r="D86"/>
  <c r="E86"/>
  <c r="F86"/>
  <c r="G86"/>
  <c r="H86"/>
  <c r="I86"/>
  <c r="J86"/>
  <c r="K86"/>
  <c r="L86"/>
  <c r="A87"/>
  <c r="B87"/>
  <c r="C87"/>
  <c r="D87"/>
  <c r="E87"/>
  <c r="F87"/>
  <c r="G87"/>
  <c r="H87"/>
  <c r="I87"/>
  <c r="J87"/>
  <c r="K87"/>
  <c r="L87"/>
  <c r="A88"/>
  <c r="B88"/>
  <c r="C88"/>
  <c r="D88"/>
  <c r="E88"/>
  <c r="F88"/>
  <c r="G88"/>
  <c r="H88"/>
  <c r="I88"/>
  <c r="J88"/>
  <c r="K88"/>
  <c r="L88"/>
  <c r="H89"/>
  <c r="I89"/>
  <c r="J89"/>
  <c r="K89"/>
  <c r="L89"/>
  <c r="A97"/>
  <c r="B97"/>
  <c r="C97"/>
  <c r="D97"/>
  <c r="E97"/>
  <c r="F97"/>
  <c r="G97"/>
  <c r="H97"/>
  <c r="I97"/>
  <c r="J97"/>
  <c r="K97"/>
  <c r="L97"/>
  <c r="A98"/>
  <c r="B98"/>
  <c r="C98"/>
  <c r="D98"/>
  <c r="E98"/>
  <c r="F98"/>
  <c r="G98"/>
  <c r="H98"/>
  <c r="I98"/>
  <c r="J98"/>
  <c r="K98"/>
  <c r="L98"/>
  <c r="A99"/>
  <c r="B99"/>
  <c r="C99"/>
  <c r="D99"/>
  <c r="E99"/>
  <c r="F99"/>
  <c r="G99"/>
  <c r="H99"/>
  <c r="I99"/>
  <c r="J99"/>
  <c r="K99"/>
  <c r="L99"/>
  <c r="A100"/>
  <c r="B100"/>
  <c r="C100"/>
  <c r="D100"/>
  <c r="E100"/>
  <c r="F100"/>
  <c r="G100"/>
  <c r="H100"/>
  <c r="I100"/>
  <c r="J100"/>
  <c r="K100"/>
  <c r="L100"/>
  <c r="H101"/>
  <c r="I101"/>
  <c r="J101"/>
  <c r="K101"/>
  <c r="L101"/>
  <c r="A104"/>
  <c r="A105"/>
  <c r="A106"/>
  <c r="A107"/>
  <c r="B107"/>
  <c r="C107"/>
  <c r="D107"/>
  <c r="E107"/>
  <c r="F107"/>
  <c r="G107"/>
  <c r="H107"/>
  <c r="I107"/>
  <c r="J107"/>
  <c r="K107"/>
  <c r="L107"/>
  <c r="M107"/>
  <c r="A108"/>
  <c r="B108"/>
  <c r="C108"/>
  <c r="D108"/>
  <c r="E108"/>
  <c r="F108"/>
  <c r="G108"/>
  <c r="H108"/>
  <c r="I108"/>
  <c r="J108"/>
  <c r="K108"/>
  <c r="L108"/>
  <c r="M108"/>
  <c r="I109"/>
  <c r="J109"/>
  <c r="K109"/>
  <c r="L109"/>
  <c r="M109"/>
  <c r="A110"/>
  <c r="I110"/>
  <c r="J110"/>
  <c r="K110"/>
  <c r="L110"/>
  <c r="M110"/>
  <c r="A111"/>
  <c r="B111"/>
  <c r="C111"/>
  <c r="D111"/>
  <c r="E111"/>
  <c r="F111"/>
  <c r="G111"/>
  <c r="H111"/>
  <c r="I111"/>
  <c r="J111"/>
  <c r="K111"/>
  <c r="L111"/>
  <c r="M111"/>
  <c r="I112"/>
  <c r="J112"/>
  <c r="K112"/>
  <c r="L112"/>
  <c r="M112"/>
  <c r="I113"/>
  <c r="J113"/>
  <c r="K113"/>
  <c r="L113"/>
  <c r="M113"/>
  <c r="N5" i="5"/>
  <c r="E6"/>
  <c r="G6"/>
  <c r="M6"/>
  <c r="N6"/>
  <c r="O6"/>
  <c r="C7"/>
  <c r="E7"/>
  <c r="G7"/>
  <c r="M7"/>
  <c r="N7"/>
  <c r="O7"/>
  <c r="C8"/>
  <c r="E8"/>
  <c r="G8"/>
  <c r="M8"/>
  <c r="N8"/>
  <c r="O8"/>
  <c r="C9"/>
  <c r="E9"/>
  <c r="G9"/>
  <c r="M9"/>
  <c r="N9"/>
  <c r="O9"/>
  <c r="C10"/>
  <c r="E10"/>
  <c r="G10"/>
  <c r="M10"/>
  <c r="N10"/>
  <c r="O10"/>
  <c r="C11"/>
  <c r="E11"/>
  <c r="G11"/>
  <c r="M11"/>
  <c r="N11"/>
  <c r="O11"/>
  <c r="C12"/>
  <c r="E12"/>
  <c r="G12"/>
  <c r="M12"/>
  <c r="N12"/>
  <c r="O12"/>
  <c r="C13"/>
  <c r="E13"/>
  <c r="G13"/>
  <c r="M13"/>
  <c r="N13"/>
  <c r="O13"/>
  <c r="C14"/>
  <c r="E14"/>
  <c r="G14"/>
  <c r="M14"/>
  <c r="N14"/>
  <c r="O14"/>
  <c r="C15"/>
  <c r="E15"/>
  <c r="G15"/>
  <c r="M15"/>
  <c r="N15"/>
  <c r="O15"/>
  <c r="C16"/>
  <c r="E16"/>
  <c r="G16"/>
  <c r="M16"/>
  <c r="N16"/>
  <c r="O16"/>
  <c r="C17"/>
  <c r="E17"/>
  <c r="G17"/>
  <c r="M17"/>
  <c r="N17"/>
  <c r="O17"/>
  <c r="C18"/>
  <c r="E18"/>
  <c r="G18"/>
  <c r="M18"/>
  <c r="N18"/>
  <c r="O18"/>
  <c r="C19"/>
  <c r="E19"/>
  <c r="G19"/>
  <c r="H19"/>
  <c r="M19"/>
  <c r="N19"/>
  <c r="O19" s="1"/>
  <c r="Q19"/>
  <c r="C20"/>
  <c r="E20"/>
  <c r="G20"/>
  <c r="H20"/>
  <c r="M20"/>
  <c r="N20"/>
  <c r="O20" s="1"/>
  <c r="C21"/>
  <c r="E21"/>
  <c r="G21"/>
  <c r="H21"/>
  <c r="M21"/>
  <c r="N21"/>
  <c r="O21"/>
  <c r="Q21"/>
  <c r="C22"/>
  <c r="E22"/>
  <c r="G22"/>
  <c r="H22"/>
  <c r="L22"/>
  <c r="M22" s="1"/>
  <c r="N22"/>
  <c r="O22" s="1"/>
  <c r="Q22"/>
  <c r="C23"/>
  <c r="E23"/>
  <c r="G23"/>
  <c r="H23"/>
  <c r="L23"/>
  <c r="M23"/>
  <c r="N23"/>
  <c r="O23"/>
  <c r="Q23"/>
  <c r="C24"/>
  <c r="E24"/>
  <c r="G24"/>
  <c r="H24"/>
  <c r="L24"/>
  <c r="M24" s="1"/>
  <c r="N24"/>
  <c r="O24" s="1"/>
  <c r="Q24"/>
  <c r="C25"/>
  <c r="E25"/>
  <c r="G25"/>
  <c r="H25"/>
  <c r="L25"/>
  <c r="M25"/>
  <c r="N25"/>
  <c r="O25"/>
  <c r="Q25"/>
  <c r="C26"/>
  <c r="E26"/>
  <c r="G26"/>
  <c r="H26"/>
  <c r="L26"/>
  <c r="M26" s="1"/>
  <c r="N26"/>
  <c r="O26" s="1"/>
  <c r="C27"/>
  <c r="G27"/>
  <c r="L27"/>
  <c r="M27" s="1"/>
  <c r="N27"/>
  <c r="O27" s="1"/>
  <c r="C28"/>
  <c r="E28"/>
  <c r="G28"/>
  <c r="L28"/>
  <c r="M28"/>
  <c r="N28"/>
  <c r="O28"/>
  <c r="C29"/>
  <c r="E29"/>
  <c r="G29"/>
  <c r="M29"/>
  <c r="N29"/>
  <c r="O29"/>
  <c r="C30"/>
  <c r="E30"/>
  <c r="G30"/>
  <c r="H30"/>
  <c r="M30"/>
  <c r="N30"/>
  <c r="O30" s="1"/>
  <c r="C31"/>
  <c r="E31"/>
  <c r="G31"/>
  <c r="H31"/>
  <c r="L31"/>
  <c r="M31" s="1"/>
  <c r="N31"/>
  <c r="O31" s="1"/>
  <c r="Q31"/>
  <c r="C32"/>
  <c r="E32"/>
  <c r="G32"/>
  <c r="L32"/>
  <c r="M32" s="1"/>
  <c r="N32"/>
  <c r="O32" s="1"/>
  <c r="Q32"/>
  <c r="C33"/>
  <c r="E33"/>
  <c r="G33"/>
  <c r="M33"/>
  <c r="N33"/>
  <c r="O33"/>
  <c r="Q33"/>
  <c r="C34"/>
  <c r="E34"/>
  <c r="G34"/>
  <c r="M34"/>
  <c r="N34"/>
  <c r="O34" s="1"/>
  <c r="C35"/>
  <c r="E35"/>
  <c r="G35"/>
  <c r="M35"/>
  <c r="N35"/>
  <c r="O35" s="1"/>
  <c r="C36"/>
  <c r="E36"/>
  <c r="G36"/>
  <c r="M36"/>
  <c r="N36"/>
  <c r="O36" s="1"/>
  <c r="C37"/>
  <c r="E37"/>
  <c r="G37"/>
  <c r="M37"/>
  <c r="N37"/>
  <c r="O37" s="1"/>
  <c r="C38"/>
  <c r="E38"/>
  <c r="G38"/>
  <c r="M38"/>
  <c r="N38"/>
  <c r="O38" s="1"/>
  <c r="C39"/>
  <c r="E39"/>
  <c r="G39"/>
  <c r="M39"/>
  <c r="N39"/>
  <c r="O39" s="1"/>
  <c r="C40"/>
  <c r="E40"/>
  <c r="G40"/>
  <c r="M40"/>
  <c r="N40"/>
  <c r="O40" s="1"/>
  <c r="C41"/>
  <c r="E41"/>
  <c r="G41"/>
  <c r="M41"/>
  <c r="N41"/>
  <c r="O41" s="1"/>
  <c r="C42"/>
  <c r="E42"/>
  <c r="G42"/>
  <c r="M42"/>
  <c r="N42"/>
  <c r="O42" s="1"/>
  <c r="C43"/>
  <c r="E43"/>
  <c r="G43"/>
  <c r="M43"/>
  <c r="N43"/>
  <c r="O43" s="1"/>
  <c r="C44"/>
  <c r="E44"/>
  <c r="G44"/>
  <c r="N44"/>
  <c r="O44"/>
  <c r="C45"/>
  <c r="E45"/>
  <c r="G45"/>
  <c r="M45"/>
  <c r="N45"/>
  <c r="O45"/>
  <c r="C46"/>
  <c r="E46"/>
  <c r="G46"/>
  <c r="N46"/>
  <c r="C47"/>
  <c r="E47"/>
  <c r="G47"/>
  <c r="M47"/>
  <c r="N47"/>
  <c r="O47"/>
  <c r="C48"/>
  <c r="E48"/>
  <c r="G48"/>
  <c r="M48"/>
  <c r="N48"/>
  <c r="O48"/>
  <c r="C49"/>
  <c r="E49"/>
  <c r="G49"/>
  <c r="M49"/>
  <c r="N49"/>
  <c r="O49"/>
  <c r="C50"/>
  <c r="E50"/>
  <c r="G50"/>
  <c r="M50"/>
  <c r="N50"/>
  <c r="O50"/>
  <c r="C51"/>
  <c r="E51"/>
  <c r="G51"/>
  <c r="M51"/>
  <c r="N51"/>
  <c r="O51"/>
  <c r="C52"/>
  <c r="E52"/>
  <c r="G52"/>
  <c r="M52"/>
  <c r="N52"/>
  <c r="O52"/>
  <c r="C53"/>
  <c r="E53"/>
  <c r="G53"/>
  <c r="M53"/>
  <c r="N53"/>
  <c r="O53"/>
  <c r="C54"/>
  <c r="E54"/>
  <c r="G54"/>
  <c r="M54"/>
  <c r="N54"/>
  <c r="O54"/>
  <c r="C55"/>
  <c r="E55"/>
  <c r="G55"/>
  <c r="M55"/>
  <c r="N55"/>
  <c r="O55"/>
  <c r="C56"/>
  <c r="E56"/>
  <c r="G56"/>
  <c r="M56"/>
  <c r="N56"/>
  <c r="O56"/>
  <c r="C57"/>
  <c r="E57"/>
  <c r="G57"/>
  <c r="M57"/>
  <c r="N57"/>
  <c r="O57"/>
  <c r="C58"/>
  <c r="E58"/>
  <c r="G58"/>
  <c r="M58"/>
  <c r="N58"/>
  <c r="O58"/>
  <c r="C59"/>
  <c r="E59"/>
  <c r="G59"/>
  <c r="M59"/>
  <c r="N59"/>
  <c r="O59"/>
  <c r="C60"/>
  <c r="E60"/>
  <c r="G60"/>
  <c r="M60"/>
  <c r="N60"/>
  <c r="O60"/>
  <c r="C61"/>
  <c r="E61"/>
  <c r="G61"/>
  <c r="M61"/>
  <c r="N61"/>
  <c r="O61"/>
  <c r="C62"/>
  <c r="E62"/>
  <c r="G62"/>
  <c r="M62"/>
  <c r="N62"/>
  <c r="O62"/>
  <c r="C63"/>
  <c r="E63"/>
  <c r="G63"/>
  <c r="M63"/>
  <c r="N63"/>
  <c r="O63"/>
  <c r="C64"/>
  <c r="E64"/>
  <c r="G64"/>
  <c r="M64"/>
  <c r="N64"/>
  <c r="O64"/>
  <c r="C65"/>
  <c r="E65"/>
  <c r="G65"/>
  <c r="M65"/>
  <c r="N65"/>
  <c r="O65"/>
  <c r="C66"/>
  <c r="E66"/>
  <c r="G66"/>
  <c r="M66"/>
  <c r="N66"/>
  <c r="O66"/>
  <c r="C67"/>
  <c r="E67"/>
  <c r="G67"/>
  <c r="M67"/>
  <c r="N67"/>
  <c r="O67"/>
  <c r="C68"/>
  <c r="E68"/>
  <c r="G68"/>
  <c r="M68"/>
  <c r="N68"/>
  <c r="O68"/>
  <c r="C69"/>
  <c r="E69"/>
  <c r="G69"/>
  <c r="M69"/>
  <c r="N69"/>
  <c r="O69"/>
  <c r="C70"/>
  <c r="E70"/>
  <c r="G70"/>
  <c r="M70"/>
  <c r="N70"/>
  <c r="O70"/>
  <c r="C71"/>
  <c r="E71"/>
  <c r="G71"/>
  <c r="M71"/>
  <c r="N71"/>
  <c r="O71"/>
  <c r="C72"/>
  <c r="E72"/>
  <c r="G72"/>
  <c r="M72"/>
  <c r="N72"/>
  <c r="O72"/>
  <c r="C73"/>
  <c r="E73"/>
  <c r="G73"/>
  <c r="M73"/>
  <c r="N73"/>
  <c r="O73"/>
  <c r="C74"/>
  <c r="E74"/>
  <c r="G74"/>
  <c r="M74"/>
  <c r="N74"/>
  <c r="O74"/>
  <c r="C75"/>
  <c r="E75"/>
  <c r="G75"/>
  <c r="M75"/>
  <c r="N75"/>
  <c r="O75"/>
  <c r="C76"/>
  <c r="E76"/>
  <c r="G76"/>
  <c r="M76"/>
  <c r="N76"/>
  <c r="O76"/>
  <c r="C77"/>
  <c r="E77"/>
  <c r="G77"/>
  <c r="M77"/>
  <c r="N77"/>
  <c r="O77"/>
  <c r="C78"/>
  <c r="E78"/>
  <c r="G78"/>
  <c r="M78"/>
  <c r="N78"/>
  <c r="O78"/>
  <c r="C79"/>
  <c r="E79"/>
  <c r="G79"/>
  <c r="M79"/>
  <c r="N79"/>
  <c r="O79"/>
  <c r="C80"/>
  <c r="E80"/>
  <c r="G80"/>
  <c r="M80"/>
  <c r="N80"/>
  <c r="O80"/>
  <c r="C81"/>
  <c r="E81"/>
  <c r="G81"/>
  <c r="M81"/>
  <c r="N81"/>
  <c r="O81"/>
  <c r="C82"/>
  <c r="E82"/>
  <c r="G82"/>
  <c r="M82"/>
  <c r="N82"/>
  <c r="O82"/>
  <c r="C83"/>
  <c r="E83"/>
  <c r="G83"/>
  <c r="M83"/>
  <c r="N83"/>
  <c r="O83"/>
  <c r="C84"/>
  <c r="E84"/>
  <c r="G84"/>
  <c r="M84"/>
  <c r="N84"/>
  <c r="O84"/>
  <c r="C85"/>
  <c r="E85"/>
  <c r="G85"/>
  <c r="M85"/>
  <c r="N85"/>
  <c r="O85"/>
  <c r="C86"/>
  <c r="E86"/>
  <c r="G86"/>
  <c r="M86"/>
  <c r="N86"/>
  <c r="O86"/>
  <c r="C87"/>
  <c r="E87"/>
  <c r="G87"/>
  <c r="M87"/>
  <c r="N87"/>
  <c r="O87"/>
  <c r="C88"/>
  <c r="E88"/>
  <c r="G88"/>
  <c r="M88"/>
  <c r="N88"/>
  <c r="O88"/>
  <c r="C89"/>
  <c r="E89"/>
  <c r="G89"/>
  <c r="M89"/>
  <c r="N89"/>
  <c r="O89"/>
  <c r="C90"/>
  <c r="E90"/>
  <c r="G90"/>
  <c r="M90"/>
  <c r="N90"/>
  <c r="O90"/>
  <c r="C91"/>
  <c r="E91"/>
  <c r="G91"/>
  <c r="M91"/>
  <c r="N91"/>
  <c r="O91"/>
  <c r="C92"/>
  <c r="E92"/>
  <c r="G92"/>
  <c r="M92"/>
  <c r="N92"/>
  <c r="O92"/>
  <c r="C93"/>
  <c r="E93"/>
  <c r="G93"/>
  <c r="M93"/>
  <c r="N93"/>
  <c r="O93"/>
  <c r="C94"/>
  <c r="E94"/>
  <c r="G94"/>
  <c r="M94"/>
  <c r="N94"/>
  <c r="O94"/>
  <c r="C95"/>
  <c r="E95"/>
  <c r="G95"/>
  <c r="M95"/>
  <c r="N95"/>
  <c r="O95"/>
  <c r="C96"/>
  <c r="E96"/>
  <c r="G96"/>
  <c r="M96"/>
  <c r="N96"/>
  <c r="O96"/>
  <c r="C97"/>
  <c r="E97"/>
  <c r="G97"/>
  <c r="M97"/>
  <c r="N97"/>
  <c r="O97"/>
  <c r="C98"/>
  <c r="E98"/>
  <c r="G98"/>
  <c r="M98"/>
  <c r="N98"/>
  <c r="O98"/>
  <c r="C99"/>
  <c r="E99"/>
  <c r="G99"/>
  <c r="M99"/>
  <c r="N99"/>
  <c r="O99"/>
  <c r="C100"/>
  <c r="E100"/>
  <c r="G100"/>
  <c r="M100"/>
  <c r="N100"/>
  <c r="O100"/>
  <c r="C101"/>
  <c r="E101"/>
  <c r="G101"/>
  <c r="M101"/>
  <c r="N101"/>
  <c r="O101"/>
  <c r="C4" i="6"/>
  <c r="E4"/>
  <c r="G4"/>
  <c r="C5"/>
  <c r="E5" s="1"/>
  <c r="G5"/>
  <c r="C6"/>
  <c r="E6"/>
  <c r="G6"/>
  <c r="C7"/>
  <c r="E7" s="1"/>
  <c r="G7"/>
  <c r="C8"/>
  <c r="E8"/>
  <c r="C9"/>
  <c r="E9"/>
  <c r="G9"/>
  <c r="C10"/>
  <c r="E10" s="1"/>
  <c r="G10"/>
  <c r="C11"/>
  <c r="E11"/>
  <c r="G11"/>
  <c r="C12"/>
  <c r="E12" s="1"/>
  <c r="G12"/>
  <c r="C13"/>
  <c r="E13"/>
  <c r="G13"/>
  <c r="E14"/>
  <c r="E15"/>
  <c r="E16"/>
  <c r="E17"/>
  <c r="C18"/>
  <c r="E18" s="1"/>
  <c r="G18"/>
  <c r="C19"/>
  <c r="E19"/>
  <c r="G19"/>
  <c r="C20"/>
  <c r="E20" s="1"/>
  <c r="G20"/>
  <c r="C21"/>
  <c r="E21"/>
  <c r="G21"/>
  <c r="C22"/>
  <c r="E22" s="1"/>
  <c r="G22"/>
  <c r="C23"/>
  <c r="E23"/>
  <c r="G23"/>
  <c r="C24"/>
  <c r="E24" s="1"/>
  <c r="G24"/>
  <c r="C25"/>
  <c r="E25"/>
  <c r="G25"/>
  <c r="C26"/>
  <c r="E26" s="1"/>
  <c r="G26"/>
  <c r="C27"/>
  <c r="E27"/>
  <c r="G27"/>
  <c r="C28"/>
  <c r="E28" s="1"/>
  <c r="G28"/>
  <c r="C29"/>
  <c r="E29"/>
  <c r="G29"/>
  <c r="C30"/>
  <c r="E30" s="1"/>
  <c r="G30"/>
  <c r="G31"/>
  <c r="E31" s="1"/>
  <c r="G32"/>
  <c r="E32" s="1"/>
  <c r="G33"/>
  <c r="E33" s="1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J64"/>
  <c r="E65"/>
  <c r="J65"/>
  <c r="E66"/>
  <c r="J66"/>
  <c r="E67"/>
  <c r="J67"/>
  <c r="E68"/>
  <c r="J68"/>
  <c r="E69"/>
  <c r="J69"/>
  <c r="E70"/>
  <c r="J70"/>
  <c r="E71"/>
  <c r="J71"/>
  <c r="E72"/>
  <c r="J72"/>
  <c r="E73"/>
  <c r="J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D222" i="1" l="1"/>
  <c r="C120"/>
  <c r="D222" i="3"/>
  <c r="D218" s="1"/>
  <c r="J547" i="2"/>
  <c r="J548"/>
  <c r="J540"/>
  <c r="J541"/>
  <c r="H549"/>
  <c r="H545"/>
  <c r="H542"/>
  <c r="D497"/>
  <c r="C498"/>
  <c r="D326"/>
  <c r="E326"/>
  <c r="F326" s="1"/>
  <c r="G326"/>
  <c r="J677"/>
  <c r="F677"/>
  <c r="J673"/>
  <c r="F673"/>
  <c r="J598"/>
  <c r="F598"/>
  <c r="I595"/>
  <c r="J594"/>
  <c r="F594"/>
  <c r="I591"/>
  <c r="J590"/>
  <c r="F590"/>
  <c r="I585"/>
  <c r="J584"/>
  <c r="F584"/>
  <c r="I581"/>
  <c r="J580"/>
  <c r="F580"/>
  <c r="I577"/>
  <c r="H576"/>
  <c r="J574"/>
  <c r="F574"/>
  <c r="I571"/>
  <c r="J570"/>
  <c r="F570"/>
  <c r="I567"/>
  <c r="J566"/>
  <c r="F566"/>
  <c r="I561"/>
  <c r="J560"/>
  <c r="F560"/>
  <c r="I557"/>
  <c r="J556"/>
  <c r="F556"/>
  <c r="I553"/>
  <c r="H552"/>
  <c r="J550"/>
  <c r="F550"/>
  <c r="J546"/>
  <c r="F546"/>
  <c r="J543"/>
  <c r="F543"/>
  <c r="J491"/>
  <c r="F491"/>
  <c r="I488"/>
  <c r="J487"/>
  <c r="F487"/>
  <c r="I484"/>
  <c r="J483"/>
  <c r="F483"/>
  <c r="I477"/>
  <c r="I476"/>
  <c r="J476" s="1"/>
  <c r="J475"/>
  <c r="F475"/>
  <c r="I472"/>
  <c r="J471"/>
  <c r="F471"/>
  <c r="I466"/>
  <c r="J465"/>
  <c r="F465"/>
  <c r="I462"/>
  <c r="J461"/>
  <c r="F461"/>
  <c r="I458"/>
  <c r="H457"/>
  <c r="D711"/>
  <c r="C712"/>
  <c r="H547"/>
  <c r="H540"/>
  <c r="D354"/>
  <c r="C355"/>
  <c r="E354"/>
  <c r="F354" s="1"/>
  <c r="E9" i="4"/>
  <c r="C252" i="1"/>
  <c r="G445" i="2"/>
  <c r="G443"/>
  <c r="G441"/>
  <c r="G439"/>
  <c r="G437"/>
  <c r="G435"/>
  <c r="G433"/>
  <c r="G431"/>
  <c r="G429"/>
  <c r="D9" i="4"/>
  <c r="D218" i="1"/>
  <c r="C234" i="3"/>
  <c r="H325" i="2"/>
  <c r="I325"/>
  <c r="J325" s="1"/>
  <c r="H28"/>
  <c r="H18"/>
  <c r="F25"/>
  <c r="F337"/>
  <c r="F335"/>
  <c r="F333"/>
  <c r="F331"/>
  <c r="F329"/>
  <c r="F327"/>
  <c r="I338"/>
  <c r="G339"/>
  <c r="D327"/>
  <c r="F31"/>
  <c r="H31" s="1"/>
  <c r="G278"/>
  <c r="G279" l="1"/>
  <c r="I278"/>
  <c r="E355"/>
  <c r="F355" s="1"/>
  <c r="D355"/>
  <c r="C356"/>
  <c r="E712"/>
  <c r="F712" s="1"/>
  <c r="C713"/>
  <c r="D712"/>
  <c r="J462"/>
  <c r="J463"/>
  <c r="J472"/>
  <c r="J473"/>
  <c r="J477"/>
  <c r="J478"/>
  <c r="J488"/>
  <c r="J489"/>
  <c r="J553"/>
  <c r="J615"/>
  <c r="J554"/>
  <c r="J561"/>
  <c r="J562"/>
  <c r="J571"/>
  <c r="J572"/>
  <c r="J577"/>
  <c r="J578"/>
  <c r="J585"/>
  <c r="J586"/>
  <c r="J595"/>
  <c r="J596"/>
  <c r="I326"/>
  <c r="G327"/>
  <c r="F35"/>
  <c r="H35" s="1"/>
  <c r="I339"/>
  <c r="J339" s="1"/>
  <c r="G340"/>
  <c r="H339"/>
  <c r="H25"/>
  <c r="C218" i="1"/>
  <c r="C9" i="4"/>
  <c r="C218" i="3"/>
  <c r="J458" i="2"/>
  <c r="J459"/>
  <c r="J466"/>
  <c r="J467"/>
  <c r="J484"/>
  <c r="J485"/>
  <c r="J557"/>
  <c r="J558"/>
  <c r="J567"/>
  <c r="J568"/>
  <c r="J581"/>
  <c r="J582"/>
  <c r="J591"/>
  <c r="J592"/>
  <c r="E498"/>
  <c r="F498" s="1"/>
  <c r="D498"/>
  <c r="C499"/>
  <c r="D499" l="1"/>
  <c r="C500"/>
  <c r="E499"/>
  <c r="F499" s="1"/>
  <c r="I340"/>
  <c r="J340" s="1"/>
  <c r="G341"/>
  <c r="H340"/>
  <c r="H327"/>
  <c r="G328"/>
  <c r="I327"/>
  <c r="J327" s="1"/>
  <c r="D713"/>
  <c r="C714"/>
  <c r="E713"/>
  <c r="F713" s="1"/>
  <c r="D356"/>
  <c r="C357"/>
  <c r="E356"/>
  <c r="F356" s="1"/>
  <c r="I279"/>
  <c r="J279" s="1"/>
  <c r="G280"/>
  <c r="H279"/>
  <c r="I280" l="1"/>
  <c r="J280" s="1"/>
  <c r="G281"/>
  <c r="H280"/>
  <c r="E714"/>
  <c r="F714" s="1"/>
  <c r="C715"/>
  <c r="D714"/>
  <c r="I341"/>
  <c r="J341" s="1"/>
  <c r="G342"/>
  <c r="H341"/>
  <c r="E357"/>
  <c r="F357" s="1"/>
  <c r="D357"/>
  <c r="C358"/>
  <c r="H328"/>
  <c r="G329"/>
  <c r="I328"/>
  <c r="J328" s="1"/>
  <c r="E500"/>
  <c r="F500" s="1"/>
  <c r="D500"/>
  <c r="C501"/>
  <c r="D715" l="1"/>
  <c r="C716"/>
  <c r="E715"/>
  <c r="F715" s="1"/>
  <c r="D501"/>
  <c r="C502"/>
  <c r="E501"/>
  <c r="F501" s="1"/>
  <c r="H329"/>
  <c r="G330"/>
  <c r="I329"/>
  <c r="J329" s="1"/>
  <c r="D358"/>
  <c r="E358"/>
  <c r="F358" s="1"/>
  <c r="C359"/>
  <c r="I342"/>
  <c r="J342" s="1"/>
  <c r="G343"/>
  <c r="H342"/>
  <c r="I281"/>
  <c r="J281" s="1"/>
  <c r="G282"/>
  <c r="H281"/>
  <c r="I282" l="1"/>
  <c r="J282" s="1"/>
  <c r="G283"/>
  <c r="H282"/>
  <c r="E502"/>
  <c r="F502" s="1"/>
  <c r="D502"/>
  <c r="C503"/>
  <c r="I343"/>
  <c r="J343" s="1"/>
  <c r="G344"/>
  <c r="H343"/>
  <c r="E359"/>
  <c r="F359" s="1"/>
  <c r="C360"/>
  <c r="D359"/>
  <c r="H330"/>
  <c r="G331"/>
  <c r="I330"/>
  <c r="J330" s="1"/>
  <c r="E716"/>
  <c r="F716" s="1"/>
  <c r="C717"/>
  <c r="D716"/>
  <c r="H331" l="1"/>
  <c r="G332"/>
  <c r="I331"/>
  <c r="J331" s="1"/>
  <c r="I344"/>
  <c r="J344" s="1"/>
  <c r="G345"/>
  <c r="H344"/>
  <c r="D503"/>
  <c r="C504"/>
  <c r="E503"/>
  <c r="F503" s="1"/>
  <c r="I283"/>
  <c r="J283" s="1"/>
  <c r="G284"/>
  <c r="H283"/>
  <c r="D717"/>
  <c r="C718"/>
  <c r="E717"/>
  <c r="F717" s="1"/>
  <c r="E360"/>
  <c r="F360" s="1"/>
  <c r="C361"/>
  <c r="D360"/>
  <c r="E361" l="1"/>
  <c r="F361" s="1"/>
  <c r="C362"/>
  <c r="D361"/>
  <c r="I284"/>
  <c r="J284" s="1"/>
  <c r="G285"/>
  <c r="H284"/>
  <c r="I345"/>
  <c r="J345" s="1"/>
  <c r="G346"/>
  <c r="H345"/>
  <c r="D718"/>
  <c r="C719"/>
  <c r="E718"/>
  <c r="F718" s="1"/>
  <c r="E504"/>
  <c r="F504" s="1"/>
  <c r="D504"/>
  <c r="C505"/>
  <c r="H332"/>
  <c r="G333"/>
  <c r="I332"/>
  <c r="J332" s="1"/>
  <c r="H333" l="1"/>
  <c r="G334"/>
  <c r="I333"/>
  <c r="J333" s="1"/>
  <c r="D505"/>
  <c r="C506"/>
  <c r="E505"/>
  <c r="F505" s="1"/>
  <c r="D719"/>
  <c r="C720"/>
  <c r="E719"/>
  <c r="F719" s="1"/>
  <c r="I285"/>
  <c r="J285" s="1"/>
  <c r="G286"/>
  <c r="H285"/>
  <c r="I346"/>
  <c r="J346" s="1"/>
  <c r="G347"/>
  <c r="H346"/>
  <c r="E362"/>
  <c r="F362" s="1"/>
  <c r="C363"/>
  <c r="D362"/>
  <c r="E363" l="1"/>
  <c r="F363" s="1"/>
  <c r="C364"/>
  <c r="D363"/>
  <c r="I286"/>
  <c r="J286" s="1"/>
  <c r="G287"/>
  <c r="H286"/>
  <c r="E506"/>
  <c r="F506" s="1"/>
  <c r="D506"/>
  <c r="C507"/>
  <c r="I347"/>
  <c r="J347" s="1"/>
  <c r="G348"/>
  <c r="H347"/>
  <c r="D720"/>
  <c r="C721"/>
  <c r="E720"/>
  <c r="F720" s="1"/>
  <c r="H334"/>
  <c r="G335"/>
  <c r="I334"/>
  <c r="J334" s="1"/>
  <c r="I348" l="1"/>
  <c r="J348" s="1"/>
  <c r="H348"/>
  <c r="D507"/>
  <c r="C508"/>
  <c r="E507"/>
  <c r="F507" s="1"/>
  <c r="I287"/>
  <c r="J287" s="1"/>
  <c r="G288"/>
  <c r="H287"/>
  <c r="H335"/>
  <c r="G336"/>
  <c r="I335"/>
  <c r="J335" s="1"/>
  <c r="D721"/>
  <c r="C722"/>
  <c r="E721"/>
  <c r="F721" s="1"/>
  <c r="E364"/>
  <c r="F364" s="1"/>
  <c r="C365"/>
  <c r="D364"/>
  <c r="D722" l="1"/>
  <c r="C723"/>
  <c r="E722"/>
  <c r="F722" s="1"/>
  <c r="I288"/>
  <c r="J288" s="1"/>
  <c r="G289"/>
  <c r="H288"/>
  <c r="E365"/>
  <c r="F365" s="1"/>
  <c r="C366"/>
  <c r="D365"/>
  <c r="H336"/>
  <c r="G337"/>
  <c r="I336"/>
  <c r="J336" s="1"/>
  <c r="E508"/>
  <c r="F508" s="1"/>
  <c r="D508"/>
  <c r="C509"/>
  <c r="E366" l="1"/>
  <c r="F366" s="1"/>
  <c r="C367"/>
  <c r="D366"/>
  <c r="D723"/>
  <c r="C724"/>
  <c r="E723"/>
  <c r="F723" s="1"/>
  <c r="D509"/>
  <c r="C510"/>
  <c r="E509"/>
  <c r="F509" s="1"/>
  <c r="H337"/>
  <c r="I337"/>
  <c r="I289"/>
  <c r="J289" s="1"/>
  <c r="H289"/>
  <c r="J337" l="1"/>
  <c r="J338"/>
  <c r="D724"/>
  <c r="C725"/>
  <c r="E724"/>
  <c r="F724" s="1"/>
  <c r="E510"/>
  <c r="F510" s="1"/>
  <c r="D510"/>
  <c r="C511"/>
  <c r="E367"/>
  <c r="F367" s="1"/>
  <c r="C368"/>
  <c r="D367"/>
  <c r="E368" l="1"/>
  <c r="F368" s="1"/>
  <c r="C369"/>
  <c r="D368"/>
  <c r="D511"/>
  <c r="C512"/>
  <c r="E511"/>
  <c r="F511" s="1"/>
  <c r="D725"/>
  <c r="C726"/>
  <c r="E725"/>
  <c r="F725" s="1"/>
  <c r="E512" l="1"/>
  <c r="F512" s="1"/>
  <c r="D512"/>
  <c r="C513"/>
  <c r="D726"/>
  <c r="C727"/>
  <c r="E726"/>
  <c r="F726" s="1"/>
  <c r="E369"/>
  <c r="F369" s="1"/>
  <c r="C370"/>
  <c r="D369"/>
  <c r="D727" l="1"/>
  <c r="C728"/>
  <c r="E727"/>
  <c r="F727" s="1"/>
  <c r="D513"/>
  <c r="C514"/>
  <c r="E513"/>
  <c r="F513" s="1"/>
  <c r="E370"/>
  <c r="F370" s="1"/>
  <c r="C371"/>
  <c r="D370"/>
  <c r="E514" l="1"/>
  <c r="F514" s="1"/>
  <c r="D514"/>
  <c r="C515"/>
  <c r="E371"/>
  <c r="F371" s="1"/>
  <c r="C372"/>
  <c r="D371"/>
  <c r="D728"/>
  <c r="E728"/>
  <c r="F728" s="1"/>
  <c r="C729"/>
  <c r="D729" l="1"/>
  <c r="E729"/>
  <c r="F729" s="1"/>
  <c r="C730"/>
  <c r="E372"/>
  <c r="F372" s="1"/>
  <c r="C373"/>
  <c r="D372"/>
  <c r="D515"/>
  <c r="C516"/>
  <c r="E515"/>
  <c r="F515" s="1"/>
  <c r="E373" l="1"/>
  <c r="F373" s="1"/>
  <c r="C374"/>
  <c r="D373"/>
  <c r="D730"/>
  <c r="E730"/>
  <c r="F730" s="1"/>
  <c r="C731"/>
  <c r="E516"/>
  <c r="F516" s="1"/>
  <c r="C517"/>
  <c r="D516"/>
  <c r="E517" l="1"/>
  <c r="F517" s="1"/>
  <c r="C518"/>
  <c r="D517"/>
  <c r="D731"/>
  <c r="E731"/>
  <c r="F731" s="1"/>
  <c r="C732"/>
  <c r="E374"/>
  <c r="F374" s="1"/>
  <c r="C375"/>
  <c r="D374"/>
  <c r="E375" l="1"/>
  <c r="F375" s="1"/>
  <c r="C376"/>
  <c r="D375"/>
  <c r="D732"/>
  <c r="E732"/>
  <c r="F732" s="1"/>
  <c r="C733"/>
  <c r="E518"/>
  <c r="F518" s="1"/>
  <c r="D518"/>
  <c r="C519"/>
  <c r="D519" l="1"/>
  <c r="C520"/>
  <c r="E519"/>
  <c r="F519" s="1"/>
  <c r="D733"/>
  <c r="E733"/>
  <c r="F733" s="1"/>
  <c r="C734"/>
  <c r="E376"/>
  <c r="F376" s="1"/>
  <c r="C377"/>
  <c r="D376"/>
  <c r="E377" l="1"/>
  <c r="F377" s="1"/>
  <c r="C378"/>
  <c r="D377"/>
  <c r="D734"/>
  <c r="E734"/>
  <c r="F734" s="1"/>
  <c r="C735"/>
  <c r="E520"/>
  <c r="F520" s="1"/>
  <c r="D520"/>
  <c r="C521"/>
  <c r="D735" l="1"/>
  <c r="E735"/>
  <c r="F735" s="1"/>
  <c r="C736"/>
  <c r="E378"/>
  <c r="F378" s="1"/>
  <c r="C379"/>
  <c r="D378"/>
  <c r="D521"/>
  <c r="C522"/>
  <c r="E521"/>
  <c r="F521" s="1"/>
  <c r="E379" l="1"/>
  <c r="F379" s="1"/>
  <c r="C380"/>
  <c r="D379"/>
  <c r="D736"/>
  <c r="E736"/>
  <c r="F736" s="1"/>
  <c r="C737"/>
  <c r="E522"/>
  <c r="F522" s="1"/>
  <c r="C523"/>
  <c r="D522"/>
  <c r="E523" l="1"/>
  <c r="F523" s="1"/>
  <c r="C524"/>
  <c r="D523"/>
  <c r="D737"/>
  <c r="E737"/>
  <c r="F737" s="1"/>
  <c r="C738"/>
  <c r="E380"/>
  <c r="F380" s="1"/>
  <c r="C381"/>
  <c r="D380"/>
  <c r="E381" l="1"/>
  <c r="F381" s="1"/>
  <c r="C382"/>
  <c r="D381"/>
  <c r="D738"/>
  <c r="E738"/>
  <c r="F738" s="1"/>
  <c r="C739"/>
  <c r="E524"/>
  <c r="F524" s="1"/>
  <c r="D524"/>
  <c r="C525"/>
  <c r="D525" l="1"/>
  <c r="C526"/>
  <c r="E525"/>
  <c r="F525" s="1"/>
  <c r="D739"/>
  <c r="E739"/>
  <c r="F739" s="1"/>
  <c r="C740"/>
  <c r="E382"/>
  <c r="F382" s="1"/>
  <c r="C383"/>
  <c r="D382"/>
  <c r="E383" l="1"/>
  <c r="F383" s="1"/>
  <c r="C384"/>
  <c r="D383"/>
  <c r="D740"/>
  <c r="E740"/>
  <c r="F740" s="1"/>
  <c r="C741"/>
  <c r="E526"/>
  <c r="F526" s="1"/>
  <c r="D526"/>
  <c r="C527"/>
  <c r="D741" l="1"/>
  <c r="E741"/>
  <c r="F741" s="1"/>
  <c r="C742"/>
  <c r="E384"/>
  <c r="F384" s="1"/>
  <c r="C385"/>
  <c r="D384"/>
  <c r="D527"/>
  <c r="C528"/>
  <c r="E527"/>
  <c r="F527" s="1"/>
  <c r="E528" l="1"/>
  <c r="F528" s="1"/>
  <c r="D528"/>
  <c r="C529"/>
  <c r="E385"/>
  <c r="F385" s="1"/>
  <c r="C386"/>
  <c r="D385"/>
  <c r="D742"/>
  <c r="E742"/>
  <c r="F742" s="1"/>
  <c r="C743"/>
  <c r="D743" l="1"/>
  <c r="E743"/>
  <c r="F743" s="1"/>
  <c r="C744"/>
  <c r="E386"/>
  <c r="F386" s="1"/>
  <c r="C387"/>
  <c r="D386"/>
  <c r="D529"/>
  <c r="C530"/>
  <c r="E529"/>
  <c r="F529" s="1"/>
  <c r="E387" l="1"/>
  <c r="F387" s="1"/>
  <c r="C388"/>
  <c r="D387"/>
  <c r="D744"/>
  <c r="E744"/>
  <c r="F744" s="1"/>
  <c r="C745"/>
  <c r="E530"/>
  <c r="F530" s="1"/>
  <c r="D530"/>
  <c r="C531"/>
  <c r="D531" l="1"/>
  <c r="C532"/>
  <c r="E531"/>
  <c r="F531" s="1"/>
  <c r="D745"/>
  <c r="E745"/>
  <c r="F745" s="1"/>
  <c r="C746"/>
  <c r="E388"/>
  <c r="F388" s="1"/>
  <c r="C389"/>
  <c r="D388"/>
  <c r="E389" l="1"/>
  <c r="F389" s="1"/>
  <c r="C390"/>
  <c r="D389"/>
  <c r="D746"/>
  <c r="E746"/>
  <c r="F746" s="1"/>
  <c r="E532"/>
  <c r="F532" s="1"/>
  <c r="C603"/>
  <c r="E603" s="1"/>
  <c r="D532"/>
  <c r="C605"/>
  <c r="C607"/>
  <c r="E607" s="1"/>
  <c r="C610"/>
  <c r="C612"/>
  <c r="C614"/>
  <c r="C608"/>
  <c r="E608" s="1"/>
  <c r="C613"/>
  <c r="C609"/>
  <c r="C606"/>
  <c r="C611"/>
  <c r="C604"/>
  <c r="E611" l="1"/>
  <c r="D611"/>
  <c r="E609"/>
  <c r="F609" s="1"/>
  <c r="D609"/>
  <c r="D612"/>
  <c r="E612"/>
  <c r="F612" s="1"/>
  <c r="C391"/>
  <c r="E390"/>
  <c r="E604"/>
  <c r="F604" s="1"/>
  <c r="D604"/>
  <c r="E606"/>
  <c r="D606"/>
  <c r="E613"/>
  <c r="F613" s="1"/>
  <c r="D613"/>
  <c r="D614"/>
  <c r="C615"/>
  <c r="E614"/>
  <c r="F614" s="1"/>
  <c r="D610"/>
  <c r="E610"/>
  <c r="F610" s="1"/>
  <c r="D605"/>
  <c r="E605"/>
  <c r="F605" s="1"/>
  <c r="E391" l="1"/>
  <c r="F391" s="1"/>
  <c r="C392"/>
  <c r="D391"/>
  <c r="F606"/>
  <c r="F611"/>
  <c r="E615"/>
  <c r="F615" s="1"/>
  <c r="D615"/>
  <c r="C616"/>
  <c r="D616" l="1"/>
  <c r="C617"/>
  <c r="E616"/>
  <c r="F616" s="1"/>
  <c r="E392"/>
  <c r="F392" s="1"/>
  <c r="C393"/>
  <c r="D392"/>
  <c r="E393" l="1"/>
  <c r="F393" s="1"/>
  <c r="C394"/>
  <c r="D393"/>
  <c r="E617"/>
  <c r="F617" s="1"/>
  <c r="D617"/>
  <c r="C618"/>
  <c r="D618" l="1"/>
  <c r="C619"/>
  <c r="E618"/>
  <c r="F618" s="1"/>
  <c r="C395"/>
  <c r="E394"/>
  <c r="C396" l="1"/>
  <c r="E395"/>
  <c r="E619"/>
  <c r="F619" s="1"/>
  <c r="D619"/>
  <c r="C620"/>
  <c r="D620" l="1"/>
  <c r="C621"/>
  <c r="E620"/>
  <c r="F620" s="1"/>
  <c r="E396"/>
  <c r="F396" s="1"/>
  <c r="C397"/>
  <c r="D396"/>
  <c r="E397" l="1"/>
  <c r="F397" s="1"/>
  <c r="C398"/>
  <c r="D397"/>
  <c r="E621"/>
  <c r="F621" s="1"/>
  <c r="D621"/>
  <c r="C622"/>
  <c r="D622" l="1"/>
  <c r="C623"/>
  <c r="E622"/>
  <c r="F622" s="1"/>
  <c r="E398"/>
  <c r="F398" s="1"/>
  <c r="C399"/>
  <c r="D398"/>
  <c r="E399" l="1"/>
  <c r="F399" s="1"/>
  <c r="C400"/>
  <c r="D399"/>
  <c r="E623"/>
  <c r="F623" s="1"/>
  <c r="D623"/>
  <c r="C624"/>
  <c r="D624" l="1"/>
  <c r="C625"/>
  <c r="E624"/>
  <c r="F624" s="1"/>
  <c r="E400"/>
  <c r="F400" s="1"/>
  <c r="C401"/>
  <c r="D400"/>
  <c r="E401" l="1"/>
  <c r="F401" s="1"/>
  <c r="C402"/>
  <c r="D401"/>
  <c r="E625"/>
  <c r="F625" s="1"/>
  <c r="D625"/>
  <c r="C626"/>
  <c r="D626" l="1"/>
  <c r="C627"/>
  <c r="E626"/>
  <c r="F626" s="1"/>
  <c r="E402"/>
  <c r="F402" s="1"/>
  <c r="C403"/>
  <c r="D402"/>
  <c r="E403" l="1"/>
  <c r="F403" s="1"/>
  <c r="C404"/>
  <c r="D403"/>
  <c r="E627"/>
  <c r="F627" s="1"/>
  <c r="D627"/>
  <c r="C628"/>
  <c r="D628" l="1"/>
  <c r="C629"/>
  <c r="E628"/>
  <c r="F628" s="1"/>
  <c r="E404"/>
  <c r="F404" s="1"/>
  <c r="C405"/>
  <c r="D404"/>
  <c r="E405" l="1"/>
  <c r="F405" s="1"/>
  <c r="C406"/>
  <c r="D405"/>
  <c r="E629"/>
  <c r="F629" s="1"/>
  <c r="D629"/>
  <c r="C630"/>
  <c r="D630" l="1"/>
  <c r="C631"/>
  <c r="E630"/>
  <c r="F630" s="1"/>
  <c r="E406"/>
  <c r="F406" s="1"/>
  <c r="C407"/>
  <c r="D406"/>
  <c r="E407" l="1"/>
  <c r="F407" s="1"/>
  <c r="C408"/>
  <c r="D407"/>
  <c r="E631"/>
  <c r="F631" s="1"/>
  <c r="D631"/>
  <c r="C632"/>
  <c r="D632" l="1"/>
  <c r="C633"/>
  <c r="E632"/>
  <c r="F632" s="1"/>
  <c r="E408"/>
  <c r="F408" s="1"/>
  <c r="C409"/>
  <c r="D408"/>
  <c r="E409" l="1"/>
  <c r="F409" s="1"/>
  <c r="C410"/>
  <c r="D409"/>
  <c r="E633"/>
  <c r="F633" s="1"/>
  <c r="D633"/>
  <c r="C634"/>
  <c r="D634" l="1"/>
  <c r="C635"/>
  <c r="E634"/>
  <c r="F634" s="1"/>
  <c r="E410"/>
  <c r="F410" s="1"/>
  <c r="C411"/>
  <c r="D410"/>
  <c r="E411" l="1"/>
  <c r="F411" s="1"/>
  <c r="C412"/>
  <c r="D411"/>
  <c r="E635"/>
  <c r="F635" s="1"/>
  <c r="D635"/>
  <c r="C636"/>
  <c r="D636" l="1"/>
  <c r="C637"/>
  <c r="E636"/>
  <c r="F636" s="1"/>
  <c r="E412"/>
  <c r="F412" s="1"/>
  <c r="C413"/>
  <c r="D412"/>
  <c r="E413" l="1"/>
  <c r="F413" s="1"/>
  <c r="C414"/>
  <c r="D413"/>
  <c r="E637"/>
  <c r="F637" s="1"/>
  <c r="D637"/>
  <c r="C638"/>
  <c r="D638" l="1"/>
  <c r="C639"/>
  <c r="E638"/>
  <c r="F638" s="1"/>
  <c r="E414"/>
  <c r="F414" s="1"/>
  <c r="C415"/>
  <c r="D414"/>
  <c r="E415" l="1"/>
  <c r="F415" s="1"/>
  <c r="C416"/>
  <c r="D415"/>
  <c r="E639"/>
  <c r="F639" s="1"/>
  <c r="D639"/>
  <c r="C640"/>
  <c r="D640" l="1"/>
  <c r="C641"/>
  <c r="E640"/>
  <c r="F640" s="1"/>
  <c r="E416"/>
  <c r="F416" s="1"/>
  <c r="C417"/>
  <c r="D416"/>
  <c r="E417" l="1"/>
  <c r="F417" s="1"/>
  <c r="C418"/>
  <c r="D417"/>
  <c r="E641"/>
  <c r="F641" s="1"/>
  <c r="D641"/>
  <c r="C642"/>
  <c r="D642" l="1"/>
  <c r="C643"/>
  <c r="E642"/>
  <c r="F642" s="1"/>
  <c r="E418"/>
  <c r="F418" s="1"/>
  <c r="C419"/>
  <c r="D418"/>
  <c r="E419" l="1"/>
  <c r="F419" s="1"/>
  <c r="C420"/>
  <c r="D419"/>
  <c r="E643"/>
  <c r="F643" s="1"/>
  <c r="D643"/>
  <c r="C644"/>
  <c r="D644" l="1"/>
  <c r="C645"/>
  <c r="E644"/>
  <c r="F644" s="1"/>
  <c r="E420"/>
  <c r="F420" s="1"/>
  <c r="C421"/>
  <c r="D420"/>
  <c r="E421" l="1"/>
  <c r="F421" s="1"/>
  <c r="C422"/>
  <c r="D421"/>
  <c r="E645"/>
  <c r="F645" s="1"/>
  <c r="D645"/>
  <c r="C646"/>
  <c r="D646" l="1"/>
  <c r="C647"/>
  <c r="E646"/>
  <c r="F646" s="1"/>
  <c r="E422"/>
  <c r="F422" s="1"/>
  <c r="C423"/>
  <c r="D422"/>
  <c r="E423" l="1"/>
  <c r="F423" s="1"/>
  <c r="C424"/>
  <c r="D423"/>
  <c r="E647"/>
  <c r="F647" s="1"/>
  <c r="D647"/>
  <c r="C648"/>
  <c r="D648" l="1"/>
  <c r="C649"/>
  <c r="E648"/>
  <c r="F648" s="1"/>
  <c r="E424"/>
  <c r="F424" s="1"/>
  <c r="C425"/>
  <c r="D424"/>
  <c r="E425" l="1"/>
  <c r="F425" s="1"/>
  <c r="C426"/>
  <c r="D425"/>
  <c r="E649"/>
  <c r="F649" s="1"/>
  <c r="D649"/>
  <c r="C650"/>
  <c r="D650" l="1"/>
  <c r="C651"/>
  <c r="E650"/>
  <c r="F650" s="1"/>
  <c r="E426"/>
  <c r="F426" s="1"/>
  <c r="C427"/>
  <c r="D426"/>
  <c r="E427" l="1"/>
  <c r="F427" s="1"/>
  <c r="C428"/>
  <c r="D427"/>
  <c r="E651"/>
  <c r="F651" s="1"/>
  <c r="D651"/>
  <c r="C652"/>
  <c r="D652" l="1"/>
  <c r="C653"/>
  <c r="E652"/>
  <c r="F652" s="1"/>
  <c r="E428"/>
  <c r="F428" s="1"/>
  <c r="C429"/>
  <c r="D428"/>
  <c r="E429" l="1"/>
  <c r="F429" s="1"/>
  <c r="C430"/>
  <c r="D429"/>
  <c r="E653"/>
  <c r="F653" s="1"/>
  <c r="D653"/>
  <c r="C654"/>
  <c r="D654" l="1"/>
  <c r="C655"/>
  <c r="E654"/>
  <c r="F654" s="1"/>
  <c r="E430"/>
  <c r="F430" s="1"/>
  <c r="C431"/>
  <c r="D430"/>
  <c r="E431" l="1"/>
  <c r="F431" s="1"/>
  <c r="C432"/>
  <c r="D431"/>
  <c r="E655"/>
  <c r="F655" s="1"/>
  <c r="D655"/>
  <c r="C656"/>
  <c r="D656" l="1"/>
  <c r="C657"/>
  <c r="E656"/>
  <c r="F656" s="1"/>
  <c r="E432"/>
  <c r="F432" s="1"/>
  <c r="C433"/>
  <c r="D432"/>
  <c r="E433" l="1"/>
  <c r="F433" s="1"/>
  <c r="C434"/>
  <c r="D433"/>
  <c r="E657"/>
  <c r="F657" s="1"/>
  <c r="D657"/>
  <c r="C658"/>
  <c r="D658" l="1"/>
  <c r="C659"/>
  <c r="E658"/>
  <c r="F658" s="1"/>
  <c r="E434"/>
  <c r="F434" s="1"/>
  <c r="C435"/>
  <c r="D434"/>
  <c r="E435" l="1"/>
  <c r="F435" s="1"/>
  <c r="C436"/>
  <c r="D435"/>
  <c r="E659"/>
  <c r="F659" s="1"/>
  <c r="D659"/>
  <c r="C660"/>
  <c r="D660" l="1"/>
  <c r="C661"/>
  <c r="E660"/>
  <c r="F660" s="1"/>
  <c r="E436"/>
  <c r="F436" s="1"/>
  <c r="C437"/>
  <c r="D436"/>
  <c r="E437" l="1"/>
  <c r="F437" s="1"/>
  <c r="C438"/>
  <c r="D437"/>
  <c r="E661"/>
  <c r="F661" s="1"/>
  <c r="D661"/>
  <c r="C662"/>
  <c r="D662" l="1"/>
  <c r="E662"/>
  <c r="F662" s="1"/>
  <c r="E438"/>
  <c r="F438" s="1"/>
  <c r="C439"/>
  <c r="D438"/>
  <c r="E439" l="1"/>
  <c r="F439" s="1"/>
  <c r="C440"/>
  <c r="D439"/>
  <c r="E440" l="1"/>
  <c r="F440" s="1"/>
  <c r="C441"/>
  <c r="D440"/>
  <c r="E441" l="1"/>
  <c r="F441" s="1"/>
  <c r="C442"/>
  <c r="D441"/>
  <c r="E442" l="1"/>
  <c r="F442" s="1"/>
  <c r="C443"/>
  <c r="D442"/>
  <c r="E443" l="1"/>
  <c r="F443" s="1"/>
  <c r="C444"/>
  <c r="D443"/>
  <c r="E444" l="1"/>
  <c r="F444" s="1"/>
  <c r="C445"/>
  <c r="D444"/>
  <c r="E445" l="1"/>
  <c r="F445" s="1"/>
  <c r="C446"/>
  <c r="D445"/>
  <c r="E446" l="1"/>
  <c r="F446" s="1"/>
  <c r="C447"/>
  <c r="D446"/>
  <c r="E447" l="1"/>
  <c r="F447" s="1"/>
  <c r="C448"/>
  <c r="D447"/>
  <c r="E448" l="1"/>
  <c r="F448" s="1"/>
  <c r="D448"/>
</calcChain>
</file>

<file path=xl/sharedStrings.xml><?xml version="1.0" encoding="utf-8"?>
<sst xmlns="http://schemas.openxmlformats.org/spreadsheetml/2006/main" count="1582" uniqueCount="302">
  <si>
    <t>Statistic at a glance</t>
  </si>
  <si>
    <t>Previous Day</t>
  </si>
  <si>
    <t>Today</t>
  </si>
  <si>
    <t>% Change</t>
  </si>
  <si>
    <t>Volume - Total</t>
  </si>
  <si>
    <t xml:space="preserve">  - FKLI</t>
  </si>
  <si>
    <t xml:space="preserve">  - OKLI</t>
  </si>
  <si>
    <t>(Total Contracts)</t>
  </si>
  <si>
    <t>(07/09/98)</t>
  </si>
  <si>
    <t>Open Interest</t>
  </si>
  <si>
    <t>FKLI closed</t>
  </si>
  <si>
    <t>Basis</t>
  </si>
  <si>
    <r>
      <t>T</t>
    </r>
    <r>
      <rPr>
        <sz val="10"/>
        <rFont val="Arial Rounded MT Bold"/>
        <family val="2"/>
      </rPr>
      <t xml:space="preserve">able of </t>
    </r>
    <r>
      <rPr>
        <sz val="12"/>
        <rFont val="Arial Rounded MT Bold"/>
        <family val="2"/>
      </rPr>
      <t>C</t>
    </r>
    <r>
      <rPr>
        <sz val="10"/>
        <rFont val="Arial Rounded MT Bold"/>
        <family val="2"/>
      </rPr>
      <t>ontents</t>
    </r>
  </si>
  <si>
    <t>Section</t>
  </si>
  <si>
    <t>Title/Subtitle</t>
  </si>
  <si>
    <t>Daily Trade Statistics</t>
  </si>
  <si>
    <t>Volume Performance of Composite Index Futures, Options &amp; Underlying by Month</t>
  </si>
  <si>
    <t>Overview of the Market Demography: Daily, MTD, YTD</t>
  </si>
  <si>
    <t>Strictly Private and Confidential</t>
  </si>
  <si>
    <r>
      <t>1.1 D</t>
    </r>
    <r>
      <rPr>
        <sz val="10"/>
        <rFont val="Arial Rounded MT Bold"/>
        <family val="2"/>
      </rPr>
      <t>aily</t>
    </r>
    <r>
      <rPr>
        <sz val="12"/>
        <rFont val="Arial Rounded MT Bold"/>
        <family val="2"/>
      </rPr>
      <t xml:space="preserve"> T</t>
    </r>
    <r>
      <rPr>
        <sz val="10"/>
        <rFont val="Arial Rounded MT Bold"/>
        <family val="2"/>
      </rPr>
      <t xml:space="preserve">rade </t>
    </r>
    <r>
      <rPr>
        <sz val="12"/>
        <rFont val="Arial Rounded MT Bold"/>
        <family val="2"/>
      </rPr>
      <t>S</t>
    </r>
    <r>
      <rPr>
        <sz val="10"/>
        <rFont val="Arial Rounded MT Bold"/>
        <family val="2"/>
      </rPr>
      <t>tatistics</t>
    </r>
  </si>
  <si>
    <t>FKLI - All contract months</t>
  </si>
  <si>
    <t>Volume</t>
  </si>
  <si>
    <t>Daily Premium</t>
  </si>
  <si>
    <t>Months</t>
  </si>
  <si>
    <t xml:space="preserve">Current </t>
  </si>
  <si>
    <t>MTD</t>
  </si>
  <si>
    <t>Previous</t>
  </si>
  <si>
    <t>Current</t>
  </si>
  <si>
    <t>Change</t>
  </si>
  <si>
    <t>Value (RM)</t>
  </si>
  <si>
    <t>FKLI</t>
  </si>
  <si>
    <t>n/a</t>
  </si>
  <si>
    <t>Total</t>
  </si>
  <si>
    <t>Contract</t>
  </si>
  <si>
    <t xml:space="preserve">Previous </t>
  </si>
  <si>
    <t xml:space="preserve">Opening </t>
  </si>
  <si>
    <t xml:space="preserve">Highest </t>
  </si>
  <si>
    <t xml:space="preserve">Lowest </t>
  </si>
  <si>
    <t>Last Traded</t>
  </si>
  <si>
    <t>Daily Closing</t>
  </si>
  <si>
    <t xml:space="preserve">Price </t>
  </si>
  <si>
    <t>Close</t>
  </si>
  <si>
    <t>Price</t>
  </si>
  <si>
    <t>KLSE CI</t>
  </si>
  <si>
    <t>Spot Month Basis</t>
  </si>
  <si>
    <t>OKLI - All Active Series</t>
  </si>
  <si>
    <t>Options</t>
  </si>
  <si>
    <t>Series</t>
  </si>
  <si>
    <t>Calls</t>
  </si>
  <si>
    <t>Puts</t>
  </si>
  <si>
    <t>Sub-total</t>
  </si>
  <si>
    <t>con't</t>
  </si>
  <si>
    <t>The Volume for KLSE CI Futures contracts : For the year 1995 - 1998</t>
  </si>
  <si>
    <t>FKLI (1995 - 1998)</t>
  </si>
  <si>
    <t>Calendar</t>
  </si>
  <si>
    <t>Monthly Volume</t>
  </si>
  <si>
    <t>Avg Daily Volume</t>
  </si>
  <si>
    <t xml:space="preserve">Total Volume YTD </t>
  </si>
  <si>
    <t>Avg. Daily Volume</t>
  </si>
  <si>
    <t>(based on individual mth.)</t>
  </si>
  <si>
    <t xml:space="preserve"> (based on YTD volume)</t>
  </si>
  <si>
    <t>Month</t>
  </si>
  <si>
    <t>No. of Cont.</t>
  </si>
  <si>
    <t>% Chg.</t>
  </si>
  <si>
    <t>-</t>
  </si>
  <si>
    <t>Con't</t>
  </si>
  <si>
    <t xml:space="preserve">Volume Since </t>
  </si>
  <si>
    <t>Avg. Daily</t>
  </si>
  <si>
    <t>Monthly Notional</t>
  </si>
  <si>
    <t>Month-End</t>
  </si>
  <si>
    <t>Inception</t>
  </si>
  <si>
    <t>since inception</t>
  </si>
  <si>
    <t>('000)</t>
  </si>
  <si>
    <t>DLR* (%)</t>
  </si>
  <si>
    <t xml:space="preserve"> </t>
  </si>
  <si>
    <t>Avg Daily MTD Vol</t>
  </si>
  <si>
    <t xml:space="preserve">           Month-End</t>
  </si>
  <si>
    <t xml:space="preserve"> Monthly Notional </t>
  </si>
  <si>
    <t xml:space="preserve">         Open Interest</t>
  </si>
  <si>
    <t>DLR*</t>
  </si>
  <si>
    <t xml:space="preserve">* DLR stands for Derivative Liquidity Ratio which represents the percentage of futures against underlying component stocks in terms of value </t>
  </si>
  <si>
    <t>The Volume for KLSE CI Options contracts : Since Listed</t>
  </si>
  <si>
    <t xml:space="preserve">Ave. Daily Turnover YTD </t>
  </si>
  <si>
    <t>% Diff</t>
  </si>
  <si>
    <t xml:space="preserve"> Monthly Notional/</t>
  </si>
  <si>
    <t>Listed</t>
  </si>
  <si>
    <t>since listed</t>
  </si>
  <si>
    <t>Premium</t>
  </si>
  <si>
    <t>% Diff.</t>
  </si>
  <si>
    <t>Put-Call %</t>
  </si>
  <si>
    <t>YTD</t>
  </si>
  <si>
    <t>Since Listed</t>
  </si>
  <si>
    <t>Derivatives Liquidity Ratio ( FKLI vs. KLSE CI)</t>
  </si>
  <si>
    <t>%</t>
  </si>
  <si>
    <t xml:space="preserve">              Month-End</t>
  </si>
  <si>
    <t xml:space="preserve">            Open Interest</t>
  </si>
  <si>
    <t>KLSE</t>
  </si>
  <si>
    <t>Value (RM m)</t>
  </si>
  <si>
    <t xml:space="preserve">FKLI </t>
  </si>
  <si>
    <t>% of Underlying</t>
  </si>
  <si>
    <t>DLR</t>
  </si>
  <si>
    <t xml:space="preserve"> Value (RM m)</t>
  </si>
  <si>
    <t>OKLI-call</t>
  </si>
  <si>
    <t>OKLI-put</t>
  </si>
  <si>
    <t>FKLI Vs. KLSE CI</t>
  </si>
  <si>
    <t>KLSE CI closed</t>
  </si>
  <si>
    <t>Daily Notional</t>
  </si>
  <si>
    <t>Total Open Interest</t>
  </si>
  <si>
    <t>Total Daily Notional Val.</t>
  </si>
  <si>
    <t>Cash Market Statistics</t>
  </si>
  <si>
    <t>Ave Daily Volume</t>
  </si>
  <si>
    <t xml:space="preserve"> Monthly Notional</t>
  </si>
  <si>
    <t>'000 Share</t>
  </si>
  <si>
    <t xml:space="preserve"> Value</t>
  </si>
  <si>
    <t>RM('000)</t>
  </si>
  <si>
    <t>OKLI (Value)</t>
  </si>
  <si>
    <t>OKLI (2000 - 2001)</t>
  </si>
  <si>
    <t>OKLI-FKLI Turnover Ratio</t>
  </si>
  <si>
    <t>MDEX Products</t>
  </si>
  <si>
    <t xml:space="preserve">  - FCPO</t>
  </si>
  <si>
    <t xml:space="preserve">  - FKB3</t>
  </si>
  <si>
    <t>FCPO - All contract months</t>
  </si>
  <si>
    <t>Average</t>
  </si>
  <si>
    <t>Settlement</t>
  </si>
  <si>
    <t>Value (Metric Tonne)</t>
  </si>
  <si>
    <t>FKB3 - All contract months</t>
  </si>
  <si>
    <t>FKB3</t>
  </si>
  <si>
    <t>OKLI</t>
  </si>
  <si>
    <t>Record Volume</t>
  </si>
  <si>
    <t>FCPO</t>
  </si>
  <si>
    <t>(01/12/00)</t>
  </si>
  <si>
    <t>FKLI, OKLI, FCPO &amp; FKB3</t>
  </si>
  <si>
    <t>Third-mth CPO Futures</t>
  </si>
  <si>
    <t>CPO Contract Daily Volume vs. 5-day annualised volatility ( 1 year graph)</t>
  </si>
  <si>
    <t>Klibor Contract Daily Volume vs. 5-day annualised volatility ( 1 year graph)</t>
  </si>
  <si>
    <t>CPO Contract Daily Volume and Open Interest ( 1 year graph)</t>
  </si>
  <si>
    <t>Klibor Contract Daily Volume and Open Interest ( 1 year graph)</t>
  </si>
  <si>
    <t>FKLI Monthly Volume &amp; Month-End Open Interest</t>
  </si>
  <si>
    <t>FKLI Daily Volume and Open Interest ( 1 year graph)</t>
  </si>
  <si>
    <t>FKLI Daily Volume vs. 5-day annualised volatility ( 1 year graph)</t>
  </si>
  <si>
    <t xml:space="preserve">Value </t>
  </si>
  <si>
    <t>KLSE CI Spot Fair Price</t>
  </si>
  <si>
    <t>Metric Tonne</t>
  </si>
  <si>
    <t>FKLI vs KLSE CI (1 year graph)</t>
  </si>
  <si>
    <t>Exchange Total Daily Volume &amp; Open Interest</t>
  </si>
  <si>
    <t>FCPO - No. of Elapsed Trading Days</t>
  </si>
  <si>
    <t>FKLI   - No. of Elapsed Trading Days</t>
  </si>
  <si>
    <t>OKLI  - No. of Elapsed Trading Days</t>
  </si>
  <si>
    <t>FKB3  - No. of Elapsed Trading Days</t>
  </si>
  <si>
    <t>Business Days to Expiration - Spot (FKLI &amp; OKLI)</t>
  </si>
  <si>
    <t>Business Days to Expiration - Spot (FCPO)</t>
  </si>
  <si>
    <t>Business Days to Expiration - Spot (FKB3)</t>
  </si>
  <si>
    <t>Value (' 000)</t>
  </si>
  <si>
    <t>2.0 Volume Performance of MDEX's Products</t>
  </si>
  <si>
    <t>OKLI Daily Volume and Open Interest ( since inception)</t>
  </si>
  <si>
    <t>Exchange Total (1995 - 2002)</t>
  </si>
  <si>
    <t>FKLI (1999 - 2002)</t>
  </si>
  <si>
    <t>FCPO (1996 - 2002)</t>
  </si>
  <si>
    <t>DAILY TRADING ACTIVITIES ON MDEX</t>
  </si>
  <si>
    <t xml:space="preserve">TRADE DATE : </t>
  </si>
  <si>
    <t>CONTRACT :</t>
  </si>
  <si>
    <t>KUALA LUMPUR STOCK EXCHANGE COMPOSITE INDEX FUTURES</t>
  </si>
  <si>
    <t xml:space="preserve">QUOTATION : </t>
  </si>
  <si>
    <t xml:space="preserve">FKLI (MDEX), IKA &lt;Index&gt; (Bloomberg), KLI : [F3] (Reuters),  </t>
  </si>
  <si>
    <t xml:space="preserve">Hyperlink (Bernama), FKLI (Bridge Money Center), </t>
  </si>
  <si>
    <t>Infonet (361), http://www.mdex.com.my</t>
  </si>
  <si>
    <t>Day's</t>
  </si>
  <si>
    <t>Last Done</t>
  </si>
  <si>
    <t>High</t>
  </si>
  <si>
    <t>Low</t>
  </si>
  <si>
    <t>CRUDE PALM OIL (CPO) FUTURES CONTRACT</t>
  </si>
  <si>
    <t xml:space="preserve">KKA &lt;Comdty&gt; (Bloomberg), KPO : Chain (Reuters),  </t>
  </si>
  <si>
    <t xml:space="preserve">FCPO (Bridge Money Center), </t>
  </si>
  <si>
    <t>http://www.mdex.com.my</t>
  </si>
  <si>
    <t>THREE-MONTH KUALA LUMPUR INTERBANK OFFERED RATE (KLIBOR) FUTURES CONTRACT</t>
  </si>
  <si>
    <t xml:space="preserve">KOA &lt;Comdty&gt; (Bloomberg), KLB : Chain (Reuters),  </t>
  </si>
  <si>
    <t xml:space="preserve">FKB3 (Bridge Money Center), </t>
  </si>
  <si>
    <t>KUALA LUMPUR STOCK EXCHANGE COMPOSITE INDEX OPTIONS</t>
  </si>
  <si>
    <t xml:space="preserve">OKLI (MDEX), KLCI &lt;Index&gt; OMON (Bloomberg), KLI + [F3] (Reuters),  </t>
  </si>
  <si>
    <t xml:space="preserve">Hyperlink (Bernama), OKI (Bridge Money Center), </t>
  </si>
  <si>
    <t>Infonet (360), http://www.mdex.com.my/</t>
  </si>
  <si>
    <t xml:space="preserve">  - FCPO (Metric Tonne)</t>
  </si>
  <si>
    <t>Spot Fair Price</t>
  </si>
  <si>
    <t>Notations</t>
  </si>
  <si>
    <t>1.  Daily Closing Price</t>
  </si>
  <si>
    <t>It is determined by the clearing house and is intended to indicate the value of the futures contract with which all</t>
  </si>
  <si>
    <t>open positions are marked-to-market daily. At maturity, the figure represents the Final Settlement Value of the contract</t>
  </si>
  <si>
    <t>2.  FKLI</t>
  </si>
  <si>
    <t>Denotes the Kuala Lumpur Stock Exchange Composite Index Futures Contract.</t>
  </si>
  <si>
    <t>3.  FCPO</t>
  </si>
  <si>
    <t>Denotes the Crude Palm Oil Futures Contract</t>
  </si>
  <si>
    <t>4.  FKB3</t>
  </si>
  <si>
    <t>Denotes the Three-Month Kuala Lumpur Interbank Offered Rate Futures Contract.</t>
  </si>
  <si>
    <t>5.  OKLI</t>
  </si>
  <si>
    <t>Denotes the Kuala Lumpur Stock Exchange Composite Index Options Contract.</t>
  </si>
  <si>
    <t>Denotes the Kuala Lumpur Stock Exchange Composite Index.</t>
  </si>
  <si>
    <t>The difference between the price of the spot month contract and the underlying index.</t>
  </si>
  <si>
    <t>Denotes Month to Date.</t>
  </si>
  <si>
    <t>The number of positions which has not been closed out by an opposite trade.</t>
  </si>
  <si>
    <t>"Previous" Open Interest represents the open interest as of the previous trading day.</t>
  </si>
  <si>
    <t>"Current" Open Interest represents the subsisting open interest.</t>
  </si>
  <si>
    <t>"Change" represents the difference between the previous and current open interest.</t>
  </si>
  <si>
    <t xml:space="preserve">KLSE CI Futures Contract </t>
  </si>
  <si>
    <t>Crude Palm Oil Futures Contract</t>
  </si>
  <si>
    <t>For further information, call the MDEX Strategic Planning &amp; Product Development Department at (603) 2070 8199</t>
  </si>
  <si>
    <r>
      <t xml:space="preserve">Daily Closing </t>
    </r>
    <r>
      <rPr>
        <b/>
        <i/>
        <vertAlign val="superscript"/>
        <sz val="12"/>
        <rFont val="Arial"/>
        <family val="2"/>
      </rPr>
      <t>1</t>
    </r>
  </si>
  <si>
    <r>
      <t>FKLI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2</t>
    </r>
  </si>
  <si>
    <r>
      <t>FCPO</t>
    </r>
    <r>
      <rPr>
        <vertAlign val="superscript"/>
        <sz val="12"/>
        <rFont val="Arial"/>
        <family val="2"/>
      </rPr>
      <t>3</t>
    </r>
  </si>
  <si>
    <r>
      <t>FKB3</t>
    </r>
    <r>
      <rPr>
        <vertAlign val="superscript"/>
        <sz val="12"/>
        <rFont val="Arial"/>
        <family val="2"/>
      </rPr>
      <t>4</t>
    </r>
  </si>
  <si>
    <r>
      <t xml:space="preserve">  - OKLI</t>
    </r>
    <r>
      <rPr>
        <b/>
        <vertAlign val="superscript"/>
        <sz val="12"/>
        <rFont val="Arial"/>
        <family val="2"/>
      </rPr>
      <t>5</t>
    </r>
  </si>
  <si>
    <r>
      <t xml:space="preserve">Prepared by </t>
    </r>
    <r>
      <rPr>
        <b/>
        <sz val="11"/>
        <rFont val="Arial"/>
        <family val="2"/>
      </rPr>
      <t>MALAYSIA DERIVATIVES EXCHANGE BHD</t>
    </r>
  </si>
  <si>
    <t>FKB3 (1996 - 2002)</t>
  </si>
  <si>
    <t xml:space="preserve">  - FMG5</t>
  </si>
  <si>
    <t>FMG5</t>
  </si>
  <si>
    <t>FMG5 - All contract months</t>
  </si>
  <si>
    <t>6.  FMG5</t>
  </si>
  <si>
    <t xml:space="preserve">       Open Position</t>
  </si>
  <si>
    <t>Denotes the Five-Year Malaysian Government Securities Futures Contract.</t>
  </si>
  <si>
    <r>
      <t xml:space="preserve">  - FKLI</t>
    </r>
    <r>
      <rPr>
        <b/>
        <vertAlign val="superscript"/>
        <sz val="12"/>
        <rFont val="Arial"/>
        <family val="2"/>
      </rPr>
      <t>2</t>
    </r>
  </si>
  <si>
    <r>
      <t xml:space="preserve">  - FCPO</t>
    </r>
    <r>
      <rPr>
        <b/>
        <vertAlign val="superscript"/>
        <sz val="12"/>
        <rFont val="Arial"/>
        <family val="2"/>
      </rPr>
      <t>3</t>
    </r>
  </si>
  <si>
    <r>
      <t xml:space="preserve">  - FKB3</t>
    </r>
    <r>
      <rPr>
        <b/>
        <vertAlign val="superscript"/>
        <sz val="12"/>
        <rFont val="Arial"/>
        <family val="2"/>
      </rPr>
      <t>4</t>
    </r>
  </si>
  <si>
    <t>FIVE-YEAR MALAYSIAN GOVERNMENT SECURITIES FUTURES</t>
  </si>
  <si>
    <t xml:space="preserve">FMG5 (MDEX), MGA &lt;Commodity&gt; CT (Bloomberg), MGS5:(F3) (Reuters),  </t>
  </si>
  <si>
    <t xml:space="preserve">Page no: 39890, Symbol: MY@MGS (Moneyline), </t>
  </si>
  <si>
    <t>http://www.mdex.com.my/</t>
  </si>
  <si>
    <t>FMG5  - No. of Elapsed Trading Days</t>
  </si>
  <si>
    <t>Business Days to Expiration - Spot (FMG5)</t>
  </si>
  <si>
    <t>3-Month KLIBOR Futures Contract</t>
  </si>
  <si>
    <t>Five-Year Malaysian Government Securities Futures Contract</t>
  </si>
  <si>
    <t xml:space="preserve">Total </t>
  </si>
  <si>
    <t>Open Position</t>
  </si>
  <si>
    <t xml:space="preserve">Volume </t>
  </si>
  <si>
    <t>Daily Notional Value</t>
  </si>
  <si>
    <t>(Metric Tons)</t>
  </si>
  <si>
    <t>Closing</t>
  </si>
  <si>
    <r>
      <t>FKLI</t>
    </r>
    <r>
      <rPr>
        <vertAlign val="superscript"/>
        <sz val="10"/>
        <rFont val="Arial"/>
        <family val="2"/>
      </rPr>
      <t/>
    </r>
  </si>
  <si>
    <r>
      <t>FMG5</t>
    </r>
    <r>
      <rPr>
        <vertAlign val="superscript"/>
        <sz val="10"/>
        <rFont val="Arial"/>
        <family val="2"/>
      </rPr>
      <t/>
    </r>
  </si>
  <si>
    <t xml:space="preserve">MDEX DAILY BUSINESS REPORT DATED </t>
  </si>
  <si>
    <t>The Volume for KLSE CI Futures contracts : For the year 1999 - 2003</t>
  </si>
  <si>
    <t>The Volume for CPO Futures contracts : For the year 1996 - 2003</t>
  </si>
  <si>
    <t>The Volume for KLIBOR Futures contracts : For the year 1996 (May) - 2003</t>
  </si>
  <si>
    <t>The Volume for FMG5 Futures contracts : Since 29 March 2003</t>
  </si>
  <si>
    <t xml:space="preserve">  </t>
  </si>
  <si>
    <t xml:space="preserve">     </t>
  </si>
  <si>
    <t>(16/07/03)</t>
  </si>
  <si>
    <t>(21/07/03)</t>
  </si>
  <si>
    <t>nil</t>
  </si>
  <si>
    <t xml:space="preserve">    </t>
  </si>
  <si>
    <t xml:space="preserve">  - FMG3</t>
  </si>
  <si>
    <t xml:space="preserve">  - FMGA</t>
  </si>
  <si>
    <t>FMG3</t>
  </si>
  <si>
    <t>FMGA</t>
  </si>
  <si>
    <t>(19/09/03)</t>
  </si>
  <si>
    <t>1.0 FKLI, OKLI, FCPO, FKB3, FMG5, FMG3 &amp; FMGA</t>
  </si>
  <si>
    <t>FMG3 - All contract months</t>
  </si>
  <si>
    <t>FMGA - All contract months</t>
  </si>
  <si>
    <t>THREE-YEAR MALAYSIAN GOVERNMENT SECURITIES FUTURES</t>
  </si>
  <si>
    <t>TEN-YEAR MALAYSIAN GOVERNMENT SECURITIES FUTURES</t>
  </si>
  <si>
    <t>Denotes the Three-Year Malaysian Government Securities Futures Contract.</t>
  </si>
  <si>
    <t>Denotes the Ten-Year Malaysian Government Securities Futures Contract.</t>
  </si>
  <si>
    <r>
      <t xml:space="preserve">  - FMG5</t>
    </r>
    <r>
      <rPr>
        <b/>
        <vertAlign val="superscript"/>
        <sz val="12"/>
        <rFont val="Arial"/>
        <family val="2"/>
      </rPr>
      <t>6</t>
    </r>
  </si>
  <si>
    <t>7.  FMG3</t>
  </si>
  <si>
    <t>8.  FMG10</t>
  </si>
  <si>
    <r>
      <t xml:space="preserve">  - FMG3</t>
    </r>
    <r>
      <rPr>
        <b/>
        <vertAlign val="superscript"/>
        <sz val="12"/>
        <rFont val="Arial"/>
        <family val="2"/>
      </rPr>
      <t>7</t>
    </r>
  </si>
  <si>
    <r>
      <t xml:space="preserve">  - FMG10</t>
    </r>
    <r>
      <rPr>
        <b/>
        <vertAlign val="superscript"/>
        <sz val="12"/>
        <rFont val="Arial"/>
        <family val="2"/>
      </rPr>
      <t>8</t>
    </r>
  </si>
  <si>
    <t>FMG10</t>
  </si>
  <si>
    <t xml:space="preserve">  - FMG10</t>
  </si>
  <si>
    <r>
      <t>FMG3</t>
    </r>
    <r>
      <rPr>
        <vertAlign val="superscript"/>
        <sz val="12"/>
        <rFont val="Arial"/>
        <family val="2"/>
      </rPr>
      <t xml:space="preserve"> 7</t>
    </r>
  </si>
  <si>
    <r>
      <t>FMG3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7</t>
    </r>
  </si>
  <si>
    <r>
      <t>FMG10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8</t>
    </r>
  </si>
  <si>
    <r>
      <t>FMG10</t>
    </r>
    <r>
      <rPr>
        <vertAlign val="superscript"/>
        <sz val="12"/>
        <rFont val="Arial"/>
        <family val="2"/>
      </rPr>
      <t xml:space="preserve"> 8</t>
    </r>
  </si>
  <si>
    <t xml:space="preserve">FMGA (MDEX), MHA &lt;Commodity&gt; CT (Bloomberg), MGS10:(F3) (Reuters),  </t>
  </si>
  <si>
    <t xml:space="preserve">FMG3 (MDEX), MFA &lt;Commodity&gt; CT (Bloomberg), MGS3:(F3) (Reuters),  </t>
  </si>
  <si>
    <t>9.  KLSE CI</t>
  </si>
  <si>
    <t>10.  Spot Month Basis</t>
  </si>
  <si>
    <t>11.  MTD</t>
  </si>
  <si>
    <t xml:space="preserve">12.  Open Interest / </t>
  </si>
  <si>
    <r>
      <t>KLSE CI</t>
    </r>
    <r>
      <rPr>
        <b/>
        <vertAlign val="superscript"/>
        <sz val="12"/>
        <rFont val="Arial"/>
        <family val="2"/>
      </rPr>
      <t xml:space="preserve"> 9</t>
    </r>
  </si>
  <si>
    <r>
      <t xml:space="preserve">Spot Month Basis </t>
    </r>
    <r>
      <rPr>
        <b/>
        <vertAlign val="superscript"/>
        <sz val="12"/>
        <rFont val="Arial"/>
        <family val="2"/>
      </rPr>
      <t>10</t>
    </r>
  </si>
  <si>
    <r>
      <t xml:space="preserve">MTD </t>
    </r>
    <r>
      <rPr>
        <b/>
        <i/>
        <vertAlign val="superscript"/>
        <sz val="12"/>
        <rFont val="Arial"/>
        <family val="2"/>
      </rPr>
      <t>11</t>
    </r>
  </si>
  <si>
    <r>
      <t>Open Interest</t>
    </r>
    <r>
      <rPr>
        <b/>
        <i/>
        <vertAlign val="superscript"/>
        <sz val="12"/>
        <rFont val="Arial"/>
        <family val="2"/>
      </rPr>
      <t xml:space="preserve"> 12</t>
    </r>
  </si>
  <si>
    <r>
      <t>Open Position</t>
    </r>
    <r>
      <rPr>
        <b/>
        <i/>
        <vertAlign val="superscript"/>
        <sz val="12"/>
        <rFont val="Arial"/>
        <family val="2"/>
      </rPr>
      <t xml:space="preserve"> 12</t>
    </r>
  </si>
  <si>
    <r>
      <t>FMG5</t>
    </r>
    <r>
      <rPr>
        <vertAlign val="superscript"/>
        <sz val="12"/>
        <rFont val="Arial"/>
        <family val="2"/>
      </rPr>
      <t xml:space="preserve"> 6</t>
    </r>
  </si>
  <si>
    <r>
      <t>FMG5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6</t>
    </r>
  </si>
  <si>
    <r>
      <t>MTD</t>
    </r>
    <r>
      <rPr>
        <b/>
        <vertAlign val="superscript"/>
        <sz val="12"/>
        <rFont val="Arial"/>
        <family val="2"/>
      </rPr>
      <t xml:space="preserve"> 11</t>
    </r>
  </si>
  <si>
    <t>The Volume for FMG3 Futures contracts : Since 19 September 2003</t>
  </si>
  <si>
    <t>The Volume for FMGA Futures contracts : Since 19 September 2003</t>
  </si>
  <si>
    <t>FMG5 (2002-2003)</t>
  </si>
  <si>
    <t>FMG3 (2003)</t>
  </si>
  <si>
    <t>FMGA (2003)</t>
  </si>
  <si>
    <t>FMG3 Daily Volume and Open Interest ( since inception)</t>
  </si>
  <si>
    <t>FMGA Daily Volume and Open Interest ( since inception)</t>
  </si>
  <si>
    <t xml:space="preserve">                  </t>
  </si>
  <si>
    <t>16,854 (Highest since Jul-00)</t>
  </si>
  <si>
    <t>(21/10/03)</t>
  </si>
  <si>
    <t>FMG3  - No. of Elapsed Trading Days</t>
  </si>
  <si>
    <t>FMGA  - No. of Elapsed Trading Days</t>
  </si>
  <si>
    <t>Business Days to Expiration - Spot (FMG3)</t>
  </si>
  <si>
    <t>Business Days to Expiration - Spot (FMGA)</t>
  </si>
  <si>
    <t>FMG5 Daily Volume and Open Interest (1 year graph)</t>
  </si>
  <si>
    <t xml:space="preserve">   </t>
  </si>
  <si>
    <t>14/01/2004 (Wednesday)</t>
  </si>
</sst>
</file>

<file path=xl/styles.xml><?xml version="1.0" encoding="utf-8"?>
<styleSheet xmlns="http://schemas.openxmlformats.org/spreadsheetml/2006/main">
  <numFmts count="56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#\,##0.0"/>
    <numFmt numFmtId="166" formatCode="_(* #,##0_);_(* \(#,##0\);_(* &quot;-&quot;??_);_(@_)"/>
    <numFmt numFmtId="167" formatCode="_(* #,##0.0_);_(* \(#,##0.0\);_(* &quot;-&quot;??_);_(@_)"/>
    <numFmt numFmtId="168" formatCode="#,##0.000"/>
    <numFmt numFmtId="169" formatCode="_(* #,##0.0_);_(* \(#,##0.0\);_(* &quot;-&quot;?_);_(@_)"/>
    <numFmt numFmtId="170" formatCode="_(* #,##0.00_);_(* \(#,##0.00\);_(* &quot;-&quot;_);_(@_)"/>
    <numFmt numFmtId="171" formatCode="_(*#\,##0_);_(* \(#,##0\);_(* &quot;       -&quot;??_);_(@_)"/>
    <numFmt numFmtId="172" formatCode="_(* #,##0.0_);_(* \(#,##0.0\);_(* &quot;-          &quot;??_);_(@_)"/>
    <numFmt numFmtId="173" formatCode="_(* #,##0.0_);_(* \(#,##0.0\);_(* &quot;-    &quot;??_);_(@_)"/>
    <numFmt numFmtId="174" formatCode="_(* #,##0.0_);_(* \(#,##0.0\);_(* &quot;-   &quot;??_);_(@_)"/>
    <numFmt numFmtId="175" formatCode="_(* #,##0_);_(* \(#,##0\);_(* &quot;-        &quot;??_);_(@_)"/>
    <numFmt numFmtId="176" formatCode="_(* #,##0_);_(* \(#,##0\);_(* &quot;- &quot;??_);_(@_)"/>
    <numFmt numFmtId="177" formatCode="_(* #,##0_);_(* \(#,##0\);_(* &quot;-   &quot;??_);_(@_)"/>
    <numFmt numFmtId="178" formatCode="_(* #,##0_);_(* \(#,##0\);_(* &quot;-     &quot;??_);_(@_)"/>
    <numFmt numFmtId="179" formatCode="_(* #,##0_);_(* \(#,##0\);_(* &quot;-   &quot;_);_(@_)"/>
    <numFmt numFmtId="180" formatCode="_(* #,##0_);_(* \(#,##0\);_(* &quot;-      &quot;_);_(@_)"/>
    <numFmt numFmtId="181" formatCode="_(* #,##0_);_(* \(#,##0\);_(* &quot;-     &quot;_);_(@_)"/>
    <numFmt numFmtId="182" formatCode="_(* #,##0.00_);_(* \(#,##0.00\);_(* &quot;-     &quot;_);_(@_)"/>
    <numFmt numFmtId="183" formatCode="_(* #,##0_);_(* \(#,##0\);_(* &quot;-    &quot;_);_(@_)"/>
    <numFmt numFmtId="184" formatCode="_(* #,##0.0_);_(* \(#,##0.0\);_(* &quot;-                  &quot;??_);_(@_)"/>
    <numFmt numFmtId="185" formatCode="_(* #,##0.0_);_(* \(#,##0.0\);_(* &quot;-            &quot;??_);_(@_)"/>
    <numFmt numFmtId="186" formatCode="_(* #,##0.0_);_(* \(#,##0.0\);_(* &quot;-             &quot;??_);_(@_)"/>
    <numFmt numFmtId="187" formatCode="_(* #,##0.0_);_(* \(#,##0.0\);_(* &quot;-     &quot;??_);_(@_)"/>
    <numFmt numFmtId="188" formatCode="_(* #,##0.0_);_(* \(#,##0.0\);_(* &quot;-        &quot;??_);_(@_)"/>
    <numFmt numFmtId="189" formatCode="_(* #,##0.0_);_(* \(#,##0.0\);_(* &quot;-       &quot;??_);_(@_)"/>
    <numFmt numFmtId="190" formatCode="_(* #,##0.0_);_(* \(#,##0.0\);_(* &quot;- &quot;??_);_(@_)"/>
    <numFmt numFmtId="191" formatCode="_(* #,##0_);_(* \(#,##0\);_(* &quot;-  &quot;??_);_(@_)"/>
    <numFmt numFmtId="192" formatCode="_(* #,##0.00\ \ \ \ _);_(* \(#,##0.00\);_(* &quot;-     &quot;_);_(@_)"/>
    <numFmt numFmtId="193" formatCode="_(* #,##0\ \ \ \ \ \ \ _);_(* \(#,##0\);_(* &quot;-          &quot;_);_(@_)"/>
    <numFmt numFmtId="194" formatCode="_(* #,##0.0_);_(* \(#,##0.0\);_(* &quot;-    &quot;_);_(@_)"/>
    <numFmt numFmtId="195" formatCode="_(* #,##0\ \ \ \ \ \ \ \ \ \ \ \ \ \ _);_(* \(#,##0.0\);_(* &quot;-           &quot;??_);_(@_)"/>
    <numFmt numFmtId="196" formatCode="_(* #,##0\ \ \ \ \ _);_(* \(#,##0\);_(* &quot;-  &quot;??_);_(@_)"/>
    <numFmt numFmtId="197" formatCode="_(* #,##0\ \ \ \ \ \ \ \ \ \ \ _);_(* \(#,##0\);_(* &quot;-            &quot;_);_(@_)"/>
    <numFmt numFmtId="198" formatCode="_(* #,##0\ \ \ \ \ \ \ \ _);_(* \(#,##0\);_(* &quot;-         &quot;_);_(@_)"/>
    <numFmt numFmtId="199" formatCode="_(* #,##0\ \ \ \ \ \ \ \ \ \ \ _);_(* \(#,##0\);_(* &quot;-          &quot;??_);_(@_)"/>
    <numFmt numFmtId="200" formatCode="_(* #,##0.0\ \ \ \ \ \ \ \ \ _);_(* \(#,##0.0\);_(* &quot;-        &quot;??_);_(@_)"/>
    <numFmt numFmtId="201" formatCode="_(* #,##0\ \ \ \ \ \ \ \ \ _);_(* \-#,##0\ \ \ \ \ \ \ \ \ \ ;_(* &quot;-           &quot;_);_(@_)"/>
    <numFmt numFmtId="202" formatCode="_(* #,##0\ \ \ \ \ \ _);_(* \-#,##0\ \ \ \ \ \ ;_(* &quot;-   &quot;??_);_(@_)"/>
    <numFmt numFmtId="203" formatCode="_(* #,##0.00_);_(* #,##\-0.00\ \ \ \ \ ;_(* &quot;-        &quot;_);_(@_)"/>
    <numFmt numFmtId="204" formatCode="_(* #,##0.00_);_(* #,##\-0.00;_(* &quot;-&quot;_);_(@_)"/>
    <numFmt numFmtId="205" formatCode="_(* #,##0.0_);_(* #,##\-0.0\ \ \ \ \ \ \ \ \ \ ;_(* &quot;-       &quot;??_);_(@_)"/>
    <numFmt numFmtId="206" formatCode="_(* #,##0.0_);_(* #,##\-0.0\ \ \ ;_(* &quot;-    &quot;_);_(@_)"/>
    <numFmt numFmtId="207" formatCode="_(* #,##0\ \ \ \ \ \ _);_(* \(#,##0\ \ \ \ \ \);_(* &quot;-         &quot;_);_(@_)"/>
    <numFmt numFmtId="208" formatCode="mmm\-yyyy"/>
    <numFmt numFmtId="209" formatCode="_(* #,##0.00\ \ \ \ \ _);_(* \(#,##0.00\);_(* &quot;-         &quot;_);_(@_)"/>
    <numFmt numFmtId="210" formatCode="_(* #,##0.00\ \ \ _);_(* \(#,##0.00\);_(* &quot;-         &quot;_);_(@_)"/>
    <numFmt numFmtId="211" formatCode="_(* #,##0.00\ \ \ \ \ \ \ _);_(* \(#,##0.00\);_(* &quot;-              &quot;_);_(@_)"/>
    <numFmt numFmtId="212" formatCode="_(* #,##0\ \ \ \ \ \ \ \ \ \ \ _);_(* \(#,##0\);_(* &quot;-              &quot;_);_(@_)"/>
    <numFmt numFmtId="213" formatCode="_(* #,##0.00\ \ _);_(* \(#,##0.00\);_(* &quot;-        &quot;_);_(@_)"/>
    <numFmt numFmtId="214" formatCode="_(* #,##0\ \ \ \ \ \ \ _);_(* \(#,##0\);_(* &quot;-         &quot;_);_(@_)"/>
    <numFmt numFmtId="215" formatCode="_(* #,##0\ \ \ \ \ \ \ \ \ _);_(* \(#,##0\ \ \ \ \ \ \ \ \);_(* &quot;-       &quot;??_);_(@_)"/>
    <numFmt numFmtId="216" formatCode="_(* #,##0\ \ \ \ \ \ \ \ \ \ \ \ _);_(* \(#,##0\);_(* &quot;-               &quot;_);_(@_)"/>
    <numFmt numFmtId="217" formatCode="_(* #,##0\ \ \ \ \ _);_(* \(#,##0\);_(* &quot;-       &quot;_);_(@_)"/>
  </numFmts>
  <fonts count="70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10"/>
      <name val="Arial"/>
      <family val="2"/>
    </font>
    <font>
      <sz val="10"/>
      <name val="Arial Rounded MT Bold"/>
      <family val="2"/>
    </font>
    <font>
      <sz val="12"/>
      <name val="Arial Rounded MT Bold"/>
      <family val="2"/>
    </font>
    <font>
      <i/>
      <sz val="10"/>
      <name val="Arial Rounded MT Bold"/>
      <family val="2"/>
    </font>
    <font>
      <u/>
      <sz val="10"/>
      <name val="Arial Rounded MT Bold"/>
      <family val="2"/>
    </font>
    <font>
      <i/>
      <sz val="10"/>
      <name val="Arial Rounded MT Bold"/>
      <family val="2"/>
    </font>
    <font>
      <sz val="10"/>
      <name val="Arial Rounded MT Bold"/>
      <family val="2"/>
    </font>
    <font>
      <b/>
      <i/>
      <sz val="12"/>
      <name val="Arial"/>
      <family val="2"/>
    </font>
    <font>
      <sz val="12"/>
      <name val="Arial Rounded MT Bold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Rounded MT Bold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name val="Arial Rounded MT Bold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u/>
      <sz val="10"/>
      <color indexed="10"/>
      <name val="Arial Rounded MT Bold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7"/>
      <name val="Arial Rounded MT Bold"/>
      <family val="2"/>
    </font>
    <font>
      <i/>
      <sz val="10"/>
      <name val="Arial"/>
      <family val="2"/>
    </font>
    <font>
      <i/>
      <sz val="9"/>
      <name val="Arial Rounded MT Bold"/>
      <family val="2"/>
    </font>
    <font>
      <sz val="9"/>
      <name val="Arial Rounded MT Bold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20"/>
      <name val="Arial"/>
      <family val="2"/>
    </font>
    <font>
      <b/>
      <i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5"/>
      <color indexed="12"/>
      <name val="Arial"/>
      <family val="2"/>
    </font>
    <font>
      <b/>
      <sz val="10"/>
      <color indexed="55"/>
      <name val="Arial"/>
      <family val="2"/>
    </font>
    <font>
      <vertAlign val="superscript"/>
      <sz val="10"/>
      <name val="Arial"/>
      <family val="2"/>
    </font>
    <font>
      <b/>
      <sz val="15"/>
      <name val="Arial"/>
      <family val="2"/>
    </font>
    <font>
      <sz val="16"/>
      <color indexed="12"/>
      <name val="Arial"/>
      <family val="2"/>
    </font>
    <font>
      <i/>
      <sz val="15"/>
      <color indexed="12"/>
      <name val="Arial"/>
      <family val="2"/>
    </font>
    <font>
      <i/>
      <sz val="12"/>
      <color indexed="12"/>
      <name val="Arial"/>
      <family val="2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42">
    <xf numFmtId="0" fontId="0" fillId="0" borderId="0" xfId="0"/>
    <xf numFmtId="0" fontId="5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5" fillId="0" borderId="0" xfId="0" applyFont="1" applyBorder="1"/>
    <xf numFmtId="0" fontId="9" fillId="0" borderId="0" xfId="0" applyFont="1"/>
    <xf numFmtId="0" fontId="0" fillId="0" borderId="1" xfId="0" applyBorder="1" applyAlignment="1">
      <alignment horizontal="centerContinuous"/>
    </xf>
    <xf numFmtId="10" fontId="0" fillId="0" borderId="1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6" fillId="0" borderId="0" xfId="0" applyFont="1"/>
    <xf numFmtId="0" fontId="13" fillId="0" borderId="0" xfId="0" applyFont="1"/>
    <xf numFmtId="0" fontId="14" fillId="2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4" xfId="0" applyFont="1" applyBorder="1"/>
    <xf numFmtId="0" fontId="15" fillId="0" borderId="0" xfId="0" applyFont="1"/>
    <xf numFmtId="9" fontId="15" fillId="0" borderId="0" xfId="2" applyFont="1"/>
    <xf numFmtId="0" fontId="15" fillId="0" borderId="5" xfId="0" applyFont="1" applyBorder="1"/>
    <xf numFmtId="3" fontId="15" fillId="0" borderId="1" xfId="1" applyNumberFormat="1" applyFont="1" applyBorder="1"/>
    <xf numFmtId="1" fontId="15" fillId="0" borderId="1" xfId="0" applyNumberFormat="1" applyFont="1" applyBorder="1"/>
    <xf numFmtId="3" fontId="15" fillId="0" borderId="5" xfId="0" applyNumberFormat="1" applyFont="1" applyBorder="1"/>
    <xf numFmtId="3" fontId="15" fillId="0" borderId="1" xfId="0" applyNumberFormat="1" applyFont="1" applyBorder="1"/>
    <xf numFmtId="3" fontId="0" fillId="0" borderId="0" xfId="0" applyNumberFormat="1" applyBorder="1" applyAlignment="1">
      <alignment horizontal="left"/>
    </xf>
    <xf numFmtId="17" fontId="14" fillId="2" borderId="1" xfId="0" applyNumberFormat="1" applyFont="1" applyFill="1" applyBorder="1"/>
    <xf numFmtId="0" fontId="13" fillId="0" borderId="0" xfId="0" applyFont="1" applyBorder="1"/>
    <xf numFmtId="3" fontId="13" fillId="0" borderId="1" xfId="0" applyNumberFormat="1" applyFont="1" applyBorder="1"/>
    <xf numFmtId="3" fontId="13" fillId="0" borderId="0" xfId="0" applyNumberFormat="1" applyFont="1" applyBorder="1"/>
    <xf numFmtId="2" fontId="15" fillId="0" borderId="0" xfId="0" applyNumberFormat="1" applyFont="1" applyBorder="1"/>
    <xf numFmtId="0" fontId="13" fillId="0" borderId="0" xfId="0" applyFont="1" applyFill="1" applyBorder="1" applyAlignment="1">
      <alignment horizontal="centerContinuous"/>
    </xf>
    <xf numFmtId="0" fontId="5" fillId="0" borderId="0" xfId="0" applyFont="1" applyFill="1" applyBorder="1"/>
    <xf numFmtId="17" fontId="14" fillId="2" borderId="6" xfId="0" applyNumberFormat="1" applyFont="1" applyFill="1" applyBorder="1"/>
    <xf numFmtId="3" fontId="13" fillId="0" borderId="7" xfId="0" applyNumberFormat="1" applyFont="1" applyFill="1" applyBorder="1"/>
    <xf numFmtId="17" fontId="14" fillId="2" borderId="8" xfId="0" applyNumberFormat="1" applyFont="1" applyFill="1" applyBorder="1"/>
    <xf numFmtId="17" fontId="13" fillId="0" borderId="0" xfId="0" applyNumberFormat="1" applyFont="1" applyFill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0" fontId="0" fillId="0" borderId="0" xfId="0" applyNumberFormat="1" applyBorder="1" applyAlignment="1">
      <alignment horizontal="centerContinuous"/>
    </xf>
    <xf numFmtId="0" fontId="14" fillId="0" borderId="0" xfId="0" applyFont="1" applyBorder="1"/>
    <xf numFmtId="1" fontId="15" fillId="0" borderId="0" xfId="0" applyNumberFormat="1" applyFont="1" applyBorder="1"/>
    <xf numFmtId="17" fontId="14" fillId="0" borderId="0" xfId="0" applyNumberFormat="1" applyFont="1" applyFill="1" applyBorder="1"/>
    <xf numFmtId="17" fontId="14" fillId="0" borderId="0" xfId="0" quotePrefix="1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Continuous"/>
    </xf>
    <xf numFmtId="0" fontId="0" fillId="0" borderId="0" xfId="0" applyBorder="1"/>
    <xf numFmtId="0" fontId="3" fillId="0" borderId="0" xfId="0" applyFont="1"/>
    <xf numFmtId="3" fontId="13" fillId="0" borderId="0" xfId="0" applyNumberFormat="1" applyFont="1" applyFill="1" applyBorder="1"/>
    <xf numFmtId="17" fontId="20" fillId="0" borderId="0" xfId="0" applyNumberFormat="1" applyFont="1" applyFill="1" applyBorder="1" applyAlignment="1">
      <alignment horizontal="left"/>
    </xf>
    <xf numFmtId="3" fontId="15" fillId="0" borderId="0" xfId="0" applyNumberFormat="1" applyFont="1" applyBorder="1"/>
    <xf numFmtId="3" fontId="16" fillId="0" borderId="0" xfId="1" applyNumberFormat="1" applyFont="1" applyBorder="1"/>
    <xf numFmtId="0" fontId="13" fillId="0" borderId="0" xfId="0" applyFont="1" applyFill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164" fontId="16" fillId="0" borderId="0" xfId="0" applyNumberFormat="1" applyFont="1" applyFill="1" applyBorder="1"/>
    <xf numFmtId="4" fontId="16" fillId="0" borderId="0" xfId="0" applyNumberFormat="1" applyFont="1" applyFill="1" applyBorder="1"/>
    <xf numFmtId="0" fontId="12" fillId="0" borderId="0" xfId="0" applyFont="1" applyAlignment="1"/>
    <xf numFmtId="0" fontId="22" fillId="0" borderId="0" xfId="0" applyFont="1"/>
    <xf numFmtId="0" fontId="14" fillId="2" borderId="9" xfId="0" quotePrefix="1" applyFont="1" applyFill="1" applyBorder="1" applyAlignment="1">
      <alignment horizontal="centerContinuous"/>
    </xf>
    <xf numFmtId="0" fontId="0" fillId="0" borderId="1" xfId="0" applyBorder="1"/>
    <xf numFmtId="9" fontId="15" fillId="0" borderId="0" xfId="2" applyFont="1" applyFill="1" applyBorder="1"/>
    <xf numFmtId="17" fontId="18" fillId="0" borderId="0" xfId="0" applyNumberFormat="1" applyFont="1" applyFill="1" applyBorder="1"/>
    <xf numFmtId="0" fontId="14" fillId="2" borderId="10" xfId="0" applyFont="1" applyFill="1" applyBorder="1"/>
    <xf numFmtId="0" fontId="14" fillId="2" borderId="11" xfId="0" applyFont="1" applyFill="1" applyBorder="1"/>
    <xf numFmtId="9" fontId="14" fillId="2" borderId="0" xfId="2" applyFont="1" applyFill="1" applyBorder="1"/>
    <xf numFmtId="2" fontId="14" fillId="2" borderId="9" xfId="0" applyNumberFormat="1" applyFont="1" applyFill="1" applyBorder="1" applyAlignment="1">
      <alignment horizontal="left"/>
    </xf>
    <xf numFmtId="0" fontId="14" fillId="2" borderId="12" xfId="0" applyFont="1" applyFill="1" applyBorder="1"/>
    <xf numFmtId="9" fontId="14" fillId="2" borderId="13" xfId="2" applyFont="1" applyFill="1" applyBorder="1"/>
    <xf numFmtId="0" fontId="14" fillId="2" borderId="14" xfId="0" applyFont="1" applyFill="1" applyBorder="1" applyAlignment="1">
      <alignment horizontal="left"/>
    </xf>
    <xf numFmtId="0" fontId="5" fillId="2" borderId="15" xfId="0" applyFont="1" applyFill="1" applyBorder="1"/>
    <xf numFmtId="0" fontId="14" fillId="2" borderId="16" xfId="0" applyFont="1" applyFill="1" applyBorder="1"/>
    <xf numFmtId="0" fontId="1" fillId="0" borderId="0" xfId="0" applyFont="1"/>
    <xf numFmtId="0" fontId="19" fillId="2" borderId="1" xfId="0" applyFont="1" applyFill="1" applyBorder="1" applyAlignment="1">
      <alignment horizontal="center"/>
    </xf>
    <xf numFmtId="0" fontId="13" fillId="0" borderId="2" xfId="0" applyFont="1" applyBorder="1"/>
    <xf numFmtId="17" fontId="14" fillId="2" borderId="17" xfId="0" applyNumberFormat="1" applyFont="1" applyFill="1" applyBorder="1"/>
    <xf numFmtId="1" fontId="15" fillId="0" borderId="8" xfId="2" applyNumberFormat="1" applyFont="1" applyFill="1" applyBorder="1"/>
    <xf numFmtId="1" fontId="15" fillId="0" borderId="18" xfId="2" applyNumberFormat="1" applyFont="1" applyFill="1" applyBorder="1"/>
    <xf numFmtId="2" fontId="14" fillId="2" borderId="19" xfId="0" applyNumberFormat="1" applyFont="1" applyFill="1" applyBorder="1" applyAlignment="1"/>
    <xf numFmtId="0" fontId="13" fillId="0" borderId="3" xfId="0" applyFont="1" applyBorder="1"/>
    <xf numFmtId="1" fontId="15" fillId="0" borderId="20" xfId="2" applyNumberFormat="1" applyFont="1" applyFill="1" applyBorder="1"/>
    <xf numFmtId="0" fontId="13" fillId="0" borderId="21" xfId="0" applyFont="1" applyBorder="1"/>
    <xf numFmtId="1" fontId="15" fillId="0" borderId="0" xfId="2" applyNumberFormat="1" applyFont="1" applyFill="1" applyBorder="1"/>
    <xf numFmtId="3" fontId="15" fillId="0" borderId="0" xfId="0" applyNumberFormat="1" applyFont="1" applyFill="1" applyBorder="1"/>
    <xf numFmtId="10" fontId="13" fillId="0" borderId="0" xfId="2" applyNumberFormat="1" applyFont="1" applyFill="1" applyBorder="1"/>
    <xf numFmtId="1" fontId="15" fillId="0" borderId="22" xfId="2" applyNumberFormat="1" applyFont="1" applyFill="1" applyBorder="1"/>
    <xf numFmtId="10" fontId="15" fillId="0" borderId="1" xfId="2" applyNumberFormat="1" applyFont="1" applyBorder="1"/>
    <xf numFmtId="0" fontId="0" fillId="2" borderId="5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14" fillId="2" borderId="1" xfId="0" applyFont="1" applyFill="1" applyBorder="1"/>
    <xf numFmtId="0" fontId="14" fillId="2" borderId="5" xfId="0" quotePrefix="1" applyFont="1" applyFill="1" applyBorder="1" applyAlignment="1">
      <alignment horizontal="left"/>
    </xf>
    <xf numFmtId="2" fontId="14" fillId="2" borderId="23" xfId="0" quotePrefix="1" applyNumberFormat="1" applyFont="1" applyFill="1" applyBorder="1" applyAlignment="1">
      <alignment horizontal="left"/>
    </xf>
    <xf numFmtId="0" fontId="14" fillId="2" borderId="4" xfId="0" applyFont="1" applyFill="1" applyBorder="1"/>
    <xf numFmtId="0" fontId="14" fillId="2" borderId="24" xfId="0" applyFont="1" applyFill="1" applyBorder="1" applyAlignment="1">
      <alignment horizontal="centerContinuous"/>
    </xf>
    <xf numFmtId="0" fontId="24" fillId="0" borderId="0" xfId="0" applyFont="1"/>
    <xf numFmtId="4" fontId="0" fillId="0" borderId="23" xfId="0" applyNumberFormat="1" applyBorder="1" applyAlignment="1">
      <alignment horizontal="centerContinuous"/>
    </xf>
    <xf numFmtId="0" fontId="0" fillId="2" borderId="25" xfId="0" applyFill="1" applyBorder="1" applyAlignment="1"/>
    <xf numFmtId="0" fontId="0" fillId="2" borderId="26" xfId="0" applyFill="1" applyBorder="1" applyAlignment="1"/>
    <xf numFmtId="0" fontId="27" fillId="0" borderId="0" xfId="0" applyFont="1"/>
    <xf numFmtId="0" fontId="28" fillId="0" borderId="0" xfId="0" applyFont="1"/>
    <xf numFmtId="0" fontId="0" fillId="2" borderId="15" xfId="0" applyFill="1" applyBorder="1" applyAlignment="1">
      <alignment horizontal="centerContinuous"/>
    </xf>
    <xf numFmtId="0" fontId="13" fillId="2" borderId="15" xfId="0" applyFont="1" applyFill="1" applyBorder="1" applyAlignment="1">
      <alignment horizontal="centerContinuous"/>
    </xf>
    <xf numFmtId="0" fontId="13" fillId="2" borderId="27" xfId="0" applyFont="1" applyFill="1" applyBorder="1" applyAlignment="1">
      <alignment horizontal="centerContinuous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25" fillId="0" borderId="15" xfId="0" applyFont="1" applyBorder="1"/>
    <xf numFmtId="3" fontId="13" fillId="0" borderId="1" xfId="1" applyNumberFormat="1" applyFont="1" applyBorder="1"/>
    <xf numFmtId="9" fontId="19" fillId="2" borderId="13" xfId="2" applyFont="1" applyFill="1" applyBorder="1"/>
    <xf numFmtId="1" fontId="15" fillId="0" borderId="28" xfId="0" applyNumberFormat="1" applyFont="1" applyBorder="1"/>
    <xf numFmtId="10" fontId="13" fillId="0" borderId="1" xfId="2" applyNumberFormat="1" applyFont="1" applyBorder="1"/>
    <xf numFmtId="10" fontId="13" fillId="0" borderId="1" xfId="2" applyNumberFormat="1" applyFont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24" fillId="0" borderId="0" xfId="0" applyFont="1" applyBorder="1"/>
    <xf numFmtId="0" fontId="25" fillId="0" borderId="0" xfId="0" applyFont="1" applyBorder="1"/>
    <xf numFmtId="3" fontId="13" fillId="0" borderId="1" xfId="2" applyNumberFormat="1" applyFont="1" applyBorder="1"/>
    <xf numFmtId="3" fontId="15" fillId="0" borderId="1" xfId="0" applyNumberFormat="1" applyFont="1" applyBorder="1" applyAlignment="1">
      <alignment horizontal="right"/>
    </xf>
    <xf numFmtId="3" fontId="15" fillId="0" borderId="29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5" fillId="0" borderId="1" xfId="1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centerContinuous"/>
    </xf>
    <xf numFmtId="3" fontId="5" fillId="0" borderId="0" xfId="0" applyNumberFormat="1" applyFont="1"/>
    <xf numFmtId="10" fontId="15" fillId="0" borderId="29" xfId="2" applyNumberFormat="1" applyFont="1" applyBorder="1"/>
    <xf numFmtId="0" fontId="32" fillId="0" borderId="20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10" fontId="0" fillId="0" borderId="22" xfId="0" applyNumberFormat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3" fontId="15" fillId="0" borderId="1" xfId="0" applyNumberFormat="1" applyFont="1" applyFill="1" applyBorder="1"/>
    <xf numFmtId="17" fontId="16" fillId="0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164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0" xfId="0" applyFont="1" applyBorder="1" applyAlignment="1">
      <alignment horizontal="right"/>
    </xf>
    <xf numFmtId="0" fontId="14" fillId="2" borderId="0" xfId="0" applyFont="1" applyFill="1" applyBorder="1"/>
    <xf numFmtId="0" fontId="5" fillId="2" borderId="26" xfId="0" applyFont="1" applyFill="1" applyBorder="1"/>
    <xf numFmtId="9" fontId="15" fillId="0" borderId="1" xfId="2" applyNumberFormat="1" applyFont="1" applyFill="1" applyBorder="1"/>
    <xf numFmtId="0" fontId="14" fillId="2" borderId="17" xfId="0" applyFont="1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10" fontId="15" fillId="0" borderId="1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14" fillId="2" borderId="23" xfId="0" applyFont="1" applyFill="1" applyBorder="1" applyAlignment="1">
      <alignment horizontal="right"/>
    </xf>
    <xf numFmtId="0" fontId="0" fillId="2" borderId="3" xfId="0" applyFill="1" applyBorder="1" applyAlignment="1">
      <alignment horizontal="centerContinuous"/>
    </xf>
    <xf numFmtId="0" fontId="14" fillId="2" borderId="3" xfId="0" quotePrefix="1" applyFont="1" applyFill="1" applyBorder="1" applyAlignment="1">
      <alignment horizontal="left"/>
    </xf>
    <xf numFmtId="10" fontId="14" fillId="2" borderId="0" xfId="0" applyNumberFormat="1" applyFont="1" applyFill="1" applyBorder="1"/>
    <xf numFmtId="10" fontId="14" fillId="2" borderId="13" xfId="0" quotePrefix="1" applyNumberFormat="1" applyFont="1" applyFill="1" applyBorder="1" applyAlignment="1">
      <alignment horizontal="left"/>
    </xf>
    <xf numFmtId="10" fontId="15" fillId="0" borderId="1" xfId="0" applyNumberFormat="1" applyFont="1" applyBorder="1" applyAlignment="1">
      <alignment horizontal="centerContinuous"/>
    </xf>
    <xf numFmtId="10" fontId="14" fillId="2" borderId="30" xfId="0" applyNumberFormat="1" applyFont="1" applyFill="1" applyBorder="1"/>
    <xf numFmtId="0" fontId="1" fillId="0" borderId="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3" fillId="0" borderId="34" xfId="0" applyFont="1" applyBorder="1" applyAlignment="1"/>
    <xf numFmtId="0" fontId="0" fillId="0" borderId="23" xfId="0" applyBorder="1" applyAlignment="1"/>
    <xf numFmtId="0" fontId="0" fillId="0" borderId="23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3" fillId="0" borderId="34" xfId="0" applyFont="1" applyBorder="1" applyAlignment="1">
      <alignment wrapText="1"/>
    </xf>
    <xf numFmtId="3" fontId="1" fillId="0" borderId="0" xfId="0" applyNumberFormat="1" applyFont="1" applyBorder="1" applyAlignment="1">
      <alignment horizontal="centerContinuous"/>
    </xf>
    <xf numFmtId="10" fontId="0" fillId="0" borderId="5" xfId="0" applyNumberFormat="1" applyBorder="1" applyAlignment="1">
      <alignment horizontal="centerContinuous"/>
    </xf>
    <xf numFmtId="0" fontId="1" fillId="0" borderId="8" xfId="0" quotePrefix="1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4" fontId="0" fillId="0" borderId="4" xfId="0" applyNumberFormat="1" applyBorder="1" applyAlignment="1">
      <alignment horizontal="centerContinuous"/>
    </xf>
    <xf numFmtId="164" fontId="0" fillId="0" borderId="4" xfId="0" applyNumberFormat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33" fillId="0" borderId="0" xfId="0" applyFont="1"/>
    <xf numFmtId="0" fontId="14" fillId="2" borderId="10" xfId="0" applyFont="1" applyFill="1" applyBorder="1" applyAlignment="1">
      <alignment horizontal="centerContinuous" wrapText="1"/>
    </xf>
    <xf numFmtId="0" fontId="14" fillId="2" borderId="7" xfId="0" applyFont="1" applyFill="1" applyBorder="1" applyAlignment="1">
      <alignment horizontal="centerContinuous"/>
    </xf>
    <xf numFmtId="0" fontId="14" fillId="2" borderId="14" xfId="0" quotePrefix="1" applyFont="1" applyFill="1" applyBorder="1" applyAlignment="1">
      <alignment horizontal="centerContinuous"/>
    </xf>
    <xf numFmtId="0" fontId="14" fillId="2" borderId="36" xfId="0" applyFont="1" applyFill="1" applyBorder="1" applyAlignment="1">
      <alignment horizontal="centerContinuous" wrapText="1"/>
    </xf>
    <xf numFmtId="0" fontId="14" fillId="0" borderId="8" xfId="0" applyFont="1" applyBorder="1" applyAlignment="1">
      <alignment horizontal="left"/>
    </xf>
    <xf numFmtId="17" fontId="15" fillId="0" borderId="8" xfId="0" applyNumberFormat="1" applyFont="1" applyBorder="1" applyAlignment="1">
      <alignment horizontal="right"/>
    </xf>
    <xf numFmtId="17" fontId="14" fillId="0" borderId="8" xfId="0" applyNumberFormat="1" applyFont="1" applyBorder="1" applyAlignment="1">
      <alignment horizontal="left"/>
    </xf>
    <xf numFmtId="17" fontId="14" fillId="0" borderId="18" xfId="0" applyNumberFormat="1" applyFont="1" applyBorder="1" applyAlignment="1">
      <alignment horizontal="left"/>
    </xf>
    <xf numFmtId="3" fontId="16" fillId="0" borderId="37" xfId="0" applyNumberFormat="1" applyFont="1" applyBorder="1"/>
    <xf numFmtId="0" fontId="21" fillId="0" borderId="0" xfId="0" applyFont="1"/>
    <xf numFmtId="0" fontId="19" fillId="2" borderId="10" xfId="0" applyFont="1" applyFill="1" applyBorder="1" applyAlignment="1">
      <alignment horizontal="centerContinuous" wrapText="1"/>
    </xf>
    <xf numFmtId="0" fontId="19" fillId="2" borderId="38" xfId="0" quotePrefix="1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Continuous" wrapText="1"/>
    </xf>
    <xf numFmtId="0" fontId="19" fillId="2" borderId="40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15" fillId="0" borderId="2" xfId="0" applyFont="1" applyBorder="1"/>
    <xf numFmtId="164" fontId="16" fillId="0" borderId="2" xfId="0" applyNumberFormat="1" applyFont="1" applyBorder="1"/>
    <xf numFmtId="17" fontId="15" fillId="0" borderId="0" xfId="0" applyNumberFormat="1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7" fontId="15" fillId="0" borderId="0" xfId="1" applyNumberFormat="1" applyFont="1" applyBorder="1" applyAlignment="1">
      <alignment horizontal="right"/>
    </xf>
    <xf numFmtId="164" fontId="16" fillId="0" borderId="0" xfId="0" applyNumberFormat="1" applyFont="1" applyBorder="1"/>
    <xf numFmtId="0" fontId="34" fillId="0" borderId="0" xfId="0" applyFont="1"/>
    <xf numFmtId="4" fontId="15" fillId="0" borderId="1" xfId="0" applyNumberFormat="1" applyFont="1" applyBorder="1"/>
    <xf numFmtId="0" fontId="35" fillId="2" borderId="10" xfId="0" applyFont="1" applyFill="1" applyBorder="1"/>
    <xf numFmtId="0" fontId="35" fillId="2" borderId="42" xfId="0" applyNumberFormat="1" applyFont="1" applyFill="1" applyBorder="1" applyAlignment="1">
      <alignment horizontal="centerContinuous"/>
    </xf>
    <xf numFmtId="0" fontId="35" fillId="2" borderId="32" xfId="0" applyNumberFormat="1" applyFont="1" applyFill="1" applyBorder="1" applyAlignment="1">
      <alignment horizontal="centerContinuous"/>
    </xf>
    <xf numFmtId="0" fontId="35" fillId="2" borderId="43" xfId="0" applyNumberFormat="1" applyFont="1" applyFill="1" applyBorder="1" applyAlignment="1">
      <alignment horizontal="centerContinuous"/>
    </xf>
    <xf numFmtId="0" fontId="35" fillId="2" borderId="11" xfId="0" applyFont="1" applyFill="1" applyBorder="1"/>
    <xf numFmtId="9" fontId="35" fillId="2" borderId="0" xfId="2" applyFont="1" applyFill="1" applyBorder="1" applyAlignment="1">
      <alignment horizontal="centerContinuous"/>
    </xf>
    <xf numFmtId="2" fontId="35" fillId="2" borderId="0" xfId="0" applyNumberFormat="1" applyFont="1" applyFill="1" applyBorder="1" applyAlignment="1">
      <alignment horizontal="centerContinuous"/>
    </xf>
    <xf numFmtId="49" fontId="35" fillId="2" borderId="44" xfId="0" applyNumberFormat="1" applyFont="1" applyFill="1" applyBorder="1" applyAlignment="1">
      <alignment horizontal="centerContinuous" wrapText="1"/>
    </xf>
    <xf numFmtId="2" fontId="35" fillId="2" borderId="45" xfId="0" applyNumberFormat="1" applyFont="1" applyFill="1" applyBorder="1" applyAlignment="1">
      <alignment horizontal="centerContinuous" wrapText="1"/>
    </xf>
    <xf numFmtId="2" fontId="35" fillId="2" borderId="35" xfId="0" applyNumberFormat="1" applyFont="1" applyFill="1" applyBorder="1" applyAlignment="1">
      <alignment horizontal="centerContinuous"/>
    </xf>
    <xf numFmtId="2" fontId="35" fillId="2" borderId="44" xfId="0" applyNumberFormat="1" applyFont="1" applyFill="1" applyBorder="1" applyAlignment="1"/>
    <xf numFmtId="0" fontId="36" fillId="2" borderId="46" xfId="0" applyFont="1" applyFill="1" applyBorder="1"/>
    <xf numFmtId="9" fontId="35" fillId="2" borderId="0" xfId="2" applyFont="1" applyFill="1" applyBorder="1"/>
    <xf numFmtId="2" fontId="35" fillId="2" borderId="9" xfId="0" applyNumberFormat="1" applyFont="1" applyFill="1" applyBorder="1" applyAlignment="1">
      <alignment horizontal="left"/>
    </xf>
    <xf numFmtId="2" fontId="35" fillId="2" borderId="30" xfId="0" applyNumberFormat="1" applyFont="1" applyFill="1" applyBorder="1"/>
    <xf numFmtId="2" fontId="35" fillId="2" borderId="0" xfId="0" applyNumberFormat="1" applyFont="1" applyFill="1" applyBorder="1" applyAlignment="1"/>
    <xf numFmtId="0" fontId="36" fillId="2" borderId="27" xfId="0" applyFont="1" applyFill="1" applyBorder="1"/>
    <xf numFmtId="0" fontId="35" fillId="2" borderId="12" xfId="0" applyFont="1" applyFill="1" applyBorder="1"/>
    <xf numFmtId="2" fontId="35" fillId="2" borderId="13" xfId="0" quotePrefix="1" applyNumberFormat="1" applyFont="1" applyFill="1" applyBorder="1" applyAlignment="1">
      <alignment horizontal="left"/>
    </xf>
    <xf numFmtId="2" fontId="35" fillId="2" borderId="47" xfId="0" quotePrefix="1" applyNumberFormat="1" applyFont="1" applyFill="1" applyBorder="1" applyAlignment="1">
      <alignment horizontal="left"/>
    </xf>
    <xf numFmtId="17" fontId="35" fillId="2" borderId="6" xfId="0" applyNumberFormat="1" applyFont="1" applyFill="1" applyBorder="1"/>
    <xf numFmtId="3" fontId="36" fillId="0" borderId="7" xfId="0" applyNumberFormat="1" applyFont="1" applyFill="1" applyBorder="1"/>
    <xf numFmtId="2" fontId="17" fillId="0" borderId="7" xfId="0" applyNumberFormat="1" applyFont="1" applyBorder="1" applyAlignment="1">
      <alignment horizontal="center"/>
    </xf>
    <xf numFmtId="1" fontId="17" fillId="0" borderId="7" xfId="0" applyNumberFormat="1" applyFont="1" applyBorder="1"/>
    <xf numFmtId="1" fontId="17" fillId="0" borderId="42" xfId="0" applyNumberFormat="1" applyFont="1" applyBorder="1" applyAlignment="1">
      <alignment horizontal="right"/>
    </xf>
    <xf numFmtId="2" fontId="17" fillId="0" borderId="7" xfId="0" quotePrefix="1" applyNumberFormat="1" applyFont="1" applyBorder="1" applyAlignment="1">
      <alignment horizontal="center"/>
    </xf>
    <xf numFmtId="3" fontId="17" fillId="0" borderId="42" xfId="0" applyNumberFormat="1" applyFont="1" applyBorder="1" applyAlignment="1">
      <alignment horizontal="right"/>
    </xf>
    <xf numFmtId="2" fontId="17" fillId="0" borderId="33" xfId="0" quotePrefix="1" applyNumberFormat="1" applyFont="1" applyBorder="1" applyAlignment="1">
      <alignment horizontal="center"/>
    </xf>
    <xf numFmtId="17" fontId="35" fillId="2" borderId="8" xfId="0" applyNumberFormat="1" applyFont="1" applyFill="1" applyBorder="1"/>
    <xf numFmtId="3" fontId="36" fillId="0" borderId="1" xfId="1" applyNumberFormat="1" applyFont="1" applyBorder="1"/>
    <xf numFmtId="10" fontId="17" fillId="0" borderId="1" xfId="2" applyNumberFormat="1" applyFont="1" applyBorder="1"/>
    <xf numFmtId="1" fontId="17" fillId="0" borderId="1" xfId="0" applyNumberFormat="1" applyFont="1" applyBorder="1"/>
    <xf numFmtId="3" fontId="37" fillId="0" borderId="9" xfId="0" applyNumberFormat="1" applyFont="1" applyBorder="1"/>
    <xf numFmtId="2" fontId="17" fillId="0" borderId="1" xfId="0" applyNumberFormat="1" applyFont="1" applyBorder="1" applyAlignment="1">
      <alignment horizontal="right"/>
    </xf>
    <xf numFmtId="3" fontId="17" fillId="0" borderId="5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2" fontId="17" fillId="0" borderId="1" xfId="0" applyNumberFormat="1" applyFont="1" applyBorder="1"/>
    <xf numFmtId="3" fontId="17" fillId="0" borderId="5" xfId="0" applyNumberFormat="1" applyFont="1" applyBorder="1"/>
    <xf numFmtId="2" fontId="17" fillId="0" borderId="2" xfId="0" applyNumberFormat="1" applyFont="1" applyBorder="1"/>
    <xf numFmtId="3" fontId="36" fillId="0" borderId="1" xfId="0" applyNumberFormat="1" applyFont="1" applyBorder="1"/>
    <xf numFmtId="17" fontId="35" fillId="2" borderId="8" xfId="0" applyNumberFormat="1" applyFont="1" applyFill="1" applyBorder="1" applyAlignment="1">
      <alignment horizontal="right"/>
    </xf>
    <xf numFmtId="3" fontId="36" fillId="0" borderId="1" xfId="0" applyNumberFormat="1" applyFont="1" applyBorder="1" applyAlignment="1">
      <alignment horizontal="right"/>
    </xf>
    <xf numFmtId="3" fontId="17" fillId="0" borderId="1" xfId="0" applyNumberFormat="1" applyFont="1" applyBorder="1"/>
    <xf numFmtId="3" fontId="36" fillId="0" borderId="0" xfId="0" applyNumberFormat="1" applyFont="1" applyBorder="1" applyAlignment="1">
      <alignment horizontal="right"/>
    </xf>
    <xf numFmtId="1" fontId="17" fillId="0" borderId="28" xfId="0" applyNumberFormat="1" applyFont="1" applyBorder="1"/>
    <xf numFmtId="10" fontId="17" fillId="0" borderId="40" xfId="0" quotePrefix="1" applyNumberFormat="1" applyFont="1" applyBorder="1" applyAlignment="1">
      <alignment horizontal="right"/>
    </xf>
    <xf numFmtId="10" fontId="17" fillId="0" borderId="41" xfId="0" quotePrefix="1" applyNumberFormat="1" applyFont="1" applyBorder="1" applyAlignment="1">
      <alignment horizontal="right"/>
    </xf>
    <xf numFmtId="10" fontId="17" fillId="0" borderId="1" xfId="0" quotePrefix="1" applyNumberFormat="1" applyFont="1" applyBorder="1" applyAlignment="1">
      <alignment horizontal="right"/>
    </xf>
    <xf numFmtId="10" fontId="17" fillId="0" borderId="2" xfId="0" quotePrefix="1" applyNumberFormat="1" applyFont="1" applyBorder="1" applyAlignment="1">
      <alignment horizontal="right"/>
    </xf>
    <xf numFmtId="3" fontId="17" fillId="0" borderId="1" xfId="1" applyNumberFormat="1" applyFont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3" fontId="17" fillId="0" borderId="4" xfId="1" applyNumberFormat="1" applyFont="1" applyBorder="1" applyAlignment="1">
      <alignment horizontal="right"/>
    </xf>
    <xf numFmtId="10" fontId="17" fillId="0" borderId="2" xfId="2" applyNumberFormat="1" applyFont="1" applyBorder="1"/>
    <xf numFmtId="3" fontId="17" fillId="0" borderId="0" xfId="0" applyNumberFormat="1" applyFont="1" applyBorder="1"/>
    <xf numFmtId="17" fontId="35" fillId="2" borderId="48" xfId="0" applyNumberFormat="1" applyFont="1" applyFill="1" applyBorder="1" applyAlignment="1">
      <alignment horizontal="right"/>
    </xf>
    <xf numFmtId="3" fontId="36" fillId="0" borderId="29" xfId="0" applyNumberFormat="1" applyFont="1" applyBorder="1" applyAlignment="1">
      <alignment horizontal="right"/>
    </xf>
    <xf numFmtId="10" fontId="17" fillId="0" borderId="29" xfId="2" applyNumberFormat="1" applyFont="1" applyBorder="1"/>
    <xf numFmtId="10" fontId="17" fillId="0" borderId="1" xfId="0" applyNumberFormat="1" applyFont="1" applyBorder="1" applyAlignment="1">
      <alignment horizontal="right"/>
    </xf>
    <xf numFmtId="10" fontId="17" fillId="0" borderId="2" xfId="0" applyNumberFormat="1" applyFont="1" applyBorder="1" applyAlignment="1">
      <alignment horizontal="right"/>
    </xf>
    <xf numFmtId="17" fontId="35" fillId="2" borderId="18" xfId="0" applyNumberFormat="1" applyFont="1" applyFill="1" applyBorder="1" applyAlignment="1">
      <alignment horizontal="right"/>
    </xf>
    <xf numFmtId="3" fontId="36" fillId="0" borderId="13" xfId="0" applyNumberFormat="1" applyFont="1" applyBorder="1" applyAlignment="1">
      <alignment horizontal="right"/>
    </xf>
    <xf numFmtId="10" fontId="17" fillId="0" borderId="13" xfId="2" applyNumberFormat="1" applyFont="1" applyBorder="1"/>
    <xf numFmtId="3" fontId="17" fillId="0" borderId="13" xfId="1" applyNumberFormat="1" applyFont="1" applyBorder="1" applyAlignment="1">
      <alignment horizontal="right"/>
    </xf>
    <xf numFmtId="3" fontId="17" fillId="0" borderId="13" xfId="0" applyNumberFormat="1" applyFont="1" applyBorder="1"/>
    <xf numFmtId="10" fontId="17" fillId="0" borderId="13" xfId="0" quotePrefix="1" applyNumberFormat="1" applyFont="1" applyBorder="1" applyAlignment="1">
      <alignment horizontal="right"/>
    </xf>
    <xf numFmtId="10" fontId="17" fillId="0" borderId="47" xfId="0" quotePrefix="1" applyNumberFormat="1" applyFont="1" applyBorder="1" applyAlignment="1">
      <alignment horizontal="right"/>
    </xf>
    <xf numFmtId="17" fontId="38" fillId="0" borderId="0" xfId="0" applyNumberFormat="1" applyFont="1" applyFill="1" applyBorder="1" applyAlignment="1">
      <alignment horizontal="left"/>
    </xf>
    <xf numFmtId="3" fontId="36" fillId="0" borderId="0" xfId="0" applyNumberFormat="1" applyFont="1" applyBorder="1"/>
    <xf numFmtId="2" fontId="17" fillId="0" borderId="0" xfId="0" applyNumberFormat="1" applyFont="1" applyBorder="1"/>
    <xf numFmtId="0" fontId="36" fillId="0" borderId="0" xfId="0" applyFont="1" applyBorder="1"/>
    <xf numFmtId="0" fontId="36" fillId="0" borderId="0" xfId="0" applyFont="1"/>
    <xf numFmtId="0" fontId="36" fillId="0" borderId="0" xfId="0" applyFont="1" applyFill="1" applyBorder="1" applyAlignment="1"/>
    <xf numFmtId="0" fontId="35" fillId="2" borderId="49" xfId="0" applyFont="1" applyFill="1" applyBorder="1"/>
    <xf numFmtId="2" fontId="35" fillId="2" borderId="24" xfId="0" applyNumberFormat="1" applyFont="1" applyFill="1" applyBorder="1" applyAlignment="1">
      <alignment horizontal="centerContinuous"/>
    </xf>
    <xf numFmtId="0" fontId="36" fillId="2" borderId="15" xfId="0" applyFont="1" applyFill="1" applyBorder="1" applyAlignment="1">
      <alignment horizontal="centerContinuous"/>
    </xf>
    <xf numFmtId="0" fontId="35" fillId="2" borderId="24" xfId="0" applyFont="1" applyFill="1" applyBorder="1" applyAlignment="1">
      <alignment horizontal="centerContinuous"/>
    </xf>
    <xf numFmtId="0" fontId="35" fillId="2" borderId="50" xfId="0" applyFont="1" applyFill="1" applyBorder="1"/>
    <xf numFmtId="2" fontId="35" fillId="2" borderId="51" xfId="0" applyNumberFormat="1" applyFont="1" applyFill="1" applyBorder="1" applyAlignment="1">
      <alignment horizontal="centerContinuous"/>
    </xf>
    <xf numFmtId="2" fontId="35" fillId="2" borderId="27" xfId="0" applyNumberFormat="1" applyFont="1" applyFill="1" applyBorder="1" applyAlignment="1">
      <alignment horizontal="centerContinuous"/>
    </xf>
    <xf numFmtId="0" fontId="36" fillId="2" borderId="27" xfId="0" applyFont="1" applyFill="1" applyBorder="1" applyAlignment="1">
      <alignment horizontal="centerContinuous"/>
    </xf>
    <xf numFmtId="0" fontId="36" fillId="2" borderId="51" xfId="0" applyFont="1" applyFill="1" applyBorder="1"/>
    <xf numFmtId="2" fontId="35" fillId="2" borderId="27" xfId="0" applyNumberFormat="1" applyFont="1" applyFill="1" applyBorder="1" applyAlignment="1"/>
    <xf numFmtId="0" fontId="35" fillId="2" borderId="51" xfId="0" applyFont="1" applyFill="1" applyBorder="1" applyAlignment="1">
      <alignment horizontal="centerContinuous"/>
    </xf>
    <xf numFmtId="0" fontId="35" fillId="2" borderId="52" xfId="0" applyFont="1" applyFill="1" applyBorder="1"/>
    <xf numFmtId="9" fontId="35" fillId="2" borderId="18" xfId="2" applyFont="1" applyFill="1" applyBorder="1"/>
    <xf numFmtId="0" fontId="35" fillId="2" borderId="16" xfId="0" applyFont="1" applyFill="1" applyBorder="1"/>
    <xf numFmtId="2" fontId="35" fillId="2" borderId="19" xfId="0" applyNumberFormat="1" applyFont="1" applyFill="1" applyBorder="1" applyAlignment="1"/>
    <xf numFmtId="0" fontId="36" fillId="2" borderId="16" xfId="0" applyFont="1" applyFill="1" applyBorder="1" applyAlignment="1"/>
    <xf numFmtId="0" fontId="35" fillId="2" borderId="19" xfId="0" applyFont="1" applyFill="1" applyBorder="1" applyAlignment="1">
      <alignment horizontal="left"/>
    </xf>
    <xf numFmtId="3" fontId="17" fillId="0" borderId="42" xfId="1" applyNumberFormat="1" applyFont="1" applyBorder="1" applyAlignment="1">
      <alignment horizontal="right"/>
    </xf>
    <xf numFmtId="3" fontId="36" fillId="0" borderId="42" xfId="1" applyNumberFormat="1" applyFont="1" applyFill="1" applyBorder="1"/>
    <xf numFmtId="10" fontId="36" fillId="0" borderId="1" xfId="2" applyNumberFormat="1" applyFont="1" applyBorder="1"/>
    <xf numFmtId="3" fontId="17" fillId="0" borderId="7" xfId="0" applyNumberFormat="1" applyFont="1" applyFill="1" applyBorder="1"/>
    <xf numFmtId="10" fontId="39" fillId="0" borderId="33" xfId="0" applyNumberFormat="1" applyFont="1" applyFill="1" applyBorder="1" applyAlignment="1">
      <alignment horizontal="center"/>
    </xf>
    <xf numFmtId="10" fontId="36" fillId="0" borderId="1" xfId="2" applyNumberFormat="1" applyFont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3" fontId="36" fillId="0" borderId="5" xfId="1" applyNumberFormat="1" applyFont="1" applyFill="1" applyBorder="1"/>
    <xf numFmtId="3" fontId="17" fillId="0" borderId="1" xfId="0" applyNumberFormat="1" applyFont="1" applyFill="1" applyBorder="1"/>
    <xf numFmtId="10" fontId="17" fillId="0" borderId="2" xfId="2" applyNumberFormat="1" applyFont="1" applyFill="1" applyBorder="1"/>
    <xf numFmtId="3" fontId="36" fillId="0" borderId="5" xfId="1" applyNumberFormat="1" applyFont="1" applyBorder="1"/>
    <xf numFmtId="1" fontId="36" fillId="0" borderId="1" xfId="2" applyNumberFormat="1" applyFont="1" applyBorder="1"/>
    <xf numFmtId="3" fontId="36" fillId="0" borderId="1" xfId="2" applyNumberFormat="1" applyFont="1" applyBorder="1"/>
    <xf numFmtId="3" fontId="17" fillId="0" borderId="1" xfId="1" applyNumberFormat="1" applyFont="1" applyFill="1" applyBorder="1" applyAlignment="1"/>
    <xf numFmtId="10" fontId="36" fillId="0" borderId="2" xfId="2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7" fillId="0" borderId="29" xfId="0" applyNumberFormat="1" applyFont="1" applyBorder="1" applyAlignment="1">
      <alignment horizontal="right"/>
    </xf>
    <xf numFmtId="3" fontId="17" fillId="0" borderId="29" xfId="0" applyNumberFormat="1" applyFont="1" applyFill="1" applyBorder="1" applyAlignment="1">
      <alignment horizontal="right"/>
    </xf>
    <xf numFmtId="10" fontId="36" fillId="0" borderId="13" xfId="2" applyNumberFormat="1" applyFont="1" applyBorder="1" applyAlignment="1">
      <alignment horizontal="right"/>
    </xf>
    <xf numFmtId="3" fontId="36" fillId="0" borderId="13" xfId="2" applyNumberFormat="1" applyFont="1" applyBorder="1"/>
    <xf numFmtId="3" fontId="17" fillId="0" borderId="13" xfId="0" applyNumberFormat="1" applyFont="1" applyBorder="1" applyAlignment="1">
      <alignment horizontal="right"/>
    </xf>
    <xf numFmtId="10" fontId="36" fillId="0" borderId="13" xfId="2" applyNumberFormat="1" applyFont="1" applyBorder="1"/>
    <xf numFmtId="3" fontId="17" fillId="0" borderId="13" xfId="0" applyNumberFormat="1" applyFont="1" applyFill="1" applyBorder="1" applyAlignment="1">
      <alignment horizontal="right"/>
    </xf>
    <xf numFmtId="10" fontId="36" fillId="0" borderId="47" xfId="2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17" fontId="15" fillId="0" borderId="53" xfId="0" applyNumberFormat="1" applyFont="1" applyBorder="1" applyAlignment="1">
      <alignment horizontal="right"/>
    </xf>
    <xf numFmtId="3" fontId="15" fillId="0" borderId="54" xfId="0" applyNumberFormat="1" applyFont="1" applyBorder="1"/>
    <xf numFmtId="0" fontId="1" fillId="0" borderId="16" xfId="0" applyFont="1" applyBorder="1" applyAlignment="1"/>
    <xf numFmtId="3" fontId="13" fillId="0" borderId="1" xfId="1" applyNumberFormat="1" applyFont="1" applyFill="1" applyBorder="1"/>
    <xf numFmtId="0" fontId="13" fillId="0" borderId="1" xfId="0" applyFont="1" applyBorder="1"/>
    <xf numFmtId="10" fontId="13" fillId="0" borderId="1" xfId="0" applyNumberFormat="1" applyFont="1" applyBorder="1"/>
    <xf numFmtId="4" fontId="13" fillId="0" borderId="1" xfId="0" applyNumberFormat="1" applyFont="1" applyFill="1" applyBorder="1" applyAlignment="1">
      <alignment horizontal="right"/>
    </xf>
    <xf numFmtId="4" fontId="13" fillId="0" borderId="1" xfId="0" applyNumberFormat="1" applyFont="1" applyBorder="1"/>
    <xf numFmtId="4" fontId="13" fillId="0" borderId="1" xfId="2" applyNumberFormat="1" applyFont="1" applyBorder="1"/>
    <xf numFmtId="4" fontId="13" fillId="0" borderId="1" xfId="0" quotePrefix="1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centerContinuous"/>
    </xf>
    <xf numFmtId="164" fontId="13" fillId="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2" fontId="0" fillId="0" borderId="1" xfId="0" applyNumberFormat="1" applyBorder="1"/>
    <xf numFmtId="4" fontId="15" fillId="0" borderId="1" xfId="0" applyNumberFormat="1" applyFont="1" applyFill="1" applyBorder="1" applyAlignment="1">
      <alignment horizontal="right"/>
    </xf>
    <xf numFmtId="4" fontId="13" fillId="0" borderId="29" xfId="0" applyNumberFormat="1" applyFont="1" applyFill="1" applyBorder="1" applyAlignment="1">
      <alignment horizontal="right"/>
    </xf>
    <xf numFmtId="0" fontId="0" fillId="0" borderId="29" xfId="0" applyBorder="1"/>
    <xf numFmtId="17" fontId="14" fillId="2" borderId="29" xfId="0" applyNumberFormat="1" applyFont="1" applyFill="1" applyBorder="1"/>
    <xf numFmtId="4" fontId="15" fillId="0" borderId="29" xfId="0" applyNumberFormat="1" applyFont="1" applyBorder="1" applyAlignment="1">
      <alignment horizontal="right"/>
    </xf>
    <xf numFmtId="10" fontId="13" fillId="0" borderId="29" xfId="0" applyNumberFormat="1" applyFont="1" applyBorder="1"/>
    <xf numFmtId="10" fontId="0" fillId="0" borderId="29" xfId="0" applyNumberFormat="1" applyBorder="1" applyAlignment="1">
      <alignment horizontal="centerContinuous"/>
    </xf>
    <xf numFmtId="167" fontId="15" fillId="0" borderId="1" xfId="1" applyNumberFormat="1" applyFont="1" applyBorder="1" applyAlignment="1" applyProtection="1">
      <alignment horizontal="center"/>
      <protection locked="0"/>
    </xf>
    <xf numFmtId="0" fontId="15" fillId="2" borderId="24" xfId="0" applyFont="1" applyFill="1" applyBorder="1" applyAlignment="1">
      <alignment horizontal="right"/>
    </xf>
    <xf numFmtId="0" fontId="14" fillId="2" borderId="42" xfId="0" applyFont="1" applyFill="1" applyBorder="1" applyAlignment="1">
      <alignment horizontal="right"/>
    </xf>
    <xf numFmtId="0" fontId="14" fillId="2" borderId="32" xfId="0" applyFont="1" applyFill="1" applyBorder="1"/>
    <xf numFmtId="0" fontId="14" fillId="2" borderId="32" xfId="0" applyFont="1" applyFill="1" applyBorder="1" applyAlignment="1">
      <alignment horizontal="right"/>
    </xf>
    <xf numFmtId="0" fontId="14" fillId="2" borderId="43" xfId="0" applyFont="1" applyFill="1" applyBorder="1"/>
    <xf numFmtId="0" fontId="13" fillId="2" borderId="17" xfId="0" applyFont="1" applyFill="1" applyBorder="1"/>
    <xf numFmtId="0" fontId="14" fillId="2" borderId="5" xfId="0" applyFont="1" applyFill="1" applyBorder="1" applyAlignment="1">
      <alignment horizontal="centerContinuous"/>
    </xf>
    <xf numFmtId="0" fontId="14" fillId="2" borderId="23" xfId="0" applyFont="1" applyFill="1" applyBorder="1" applyAlignment="1">
      <alignment horizontal="centerContinuous"/>
    </xf>
    <xf numFmtId="0" fontId="16" fillId="2" borderId="5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18" xfId="0" applyFont="1" applyFill="1" applyBorder="1"/>
    <xf numFmtId="0" fontId="14" fillId="2" borderId="13" xfId="0" quotePrefix="1" applyFont="1" applyFill="1" applyBorder="1" applyAlignment="1">
      <alignment horizontal="right"/>
    </xf>
    <xf numFmtId="0" fontId="14" fillId="2" borderId="13" xfId="0" applyFont="1" applyFill="1" applyBorder="1"/>
    <xf numFmtId="0" fontId="14" fillId="2" borderId="55" xfId="0" applyFont="1" applyFill="1" applyBorder="1"/>
    <xf numFmtId="0" fontId="14" fillId="2" borderId="56" xfId="0" applyFont="1" applyFill="1" applyBorder="1"/>
    <xf numFmtId="3" fontId="15" fillId="0" borderId="7" xfId="0" applyNumberFormat="1" applyFont="1" applyBorder="1"/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3" fontId="13" fillId="0" borderId="32" xfId="0" quotePrefix="1" applyNumberFormat="1" applyFont="1" applyFill="1" applyBorder="1" applyAlignment="1">
      <alignment horizontal="right"/>
    </xf>
    <xf numFmtId="3" fontId="13" fillId="0" borderId="43" xfId="0" quotePrefix="1" applyNumberFormat="1" applyFont="1" applyFill="1" applyBorder="1" applyAlignment="1">
      <alignment horizontal="right"/>
    </xf>
    <xf numFmtId="10" fontId="13" fillId="0" borderId="4" xfId="0" applyNumberFormat="1" applyFont="1" applyBorder="1" applyAlignment="1">
      <alignment horizontal="right"/>
    </xf>
    <xf numFmtId="3" fontId="13" fillId="0" borderId="1" xfId="0" applyNumberFormat="1" applyFont="1" applyFill="1" applyBorder="1"/>
    <xf numFmtId="10" fontId="13" fillId="0" borderId="1" xfId="0" applyNumberFormat="1" applyFont="1" applyFill="1" applyBorder="1" applyAlignment="1">
      <alignment horizontal="center"/>
    </xf>
    <xf numFmtId="3" fontId="13" fillId="0" borderId="4" xfId="0" applyNumberFormat="1" applyFont="1" applyBorder="1"/>
    <xf numFmtId="3" fontId="13" fillId="0" borderId="3" xfId="0" applyNumberFormat="1" applyFont="1" applyBorder="1"/>
    <xf numFmtId="17" fontId="14" fillId="2" borderId="34" xfId="0" applyNumberFormat="1" applyFont="1" applyFill="1" applyBorder="1"/>
    <xf numFmtId="3" fontId="13" fillId="0" borderId="5" xfId="0" applyNumberFormat="1" applyFont="1" applyFill="1" applyBorder="1"/>
    <xf numFmtId="0" fontId="13" fillId="0" borderId="4" xfId="0" applyFont="1" applyBorder="1"/>
    <xf numFmtId="3" fontId="13" fillId="0" borderId="3" xfId="0" quotePrefix="1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10" fontId="13" fillId="0" borderId="1" xfId="0" applyNumberFormat="1" applyFont="1" applyBorder="1" applyAlignment="1">
      <alignment horizontal="right"/>
    </xf>
    <xf numFmtId="0" fontId="13" fillId="0" borderId="5" xfId="0" applyFont="1" applyBorder="1"/>
    <xf numFmtId="0" fontId="13" fillId="0" borderId="5" xfId="0" applyFont="1" applyBorder="1" applyAlignment="1">
      <alignment horizontal="right"/>
    </xf>
    <xf numFmtId="3" fontId="13" fillId="0" borderId="26" xfId="0" applyNumberFormat="1" applyFont="1" applyFill="1" applyBorder="1" applyAlignment="1">
      <alignment horizontal="right"/>
    </xf>
    <xf numFmtId="0" fontId="13" fillId="0" borderId="44" xfId="0" applyFont="1" applyBorder="1" applyAlignment="1">
      <alignment horizontal="right"/>
    </xf>
    <xf numFmtId="17" fontId="14" fillId="2" borderId="48" xfId="0" applyNumberFormat="1" applyFont="1" applyFill="1" applyBorder="1"/>
    <xf numFmtId="3" fontId="13" fillId="0" borderId="46" xfId="0" applyNumberFormat="1" applyFont="1" applyFill="1" applyBorder="1" applyAlignment="1">
      <alignment horizontal="right"/>
    </xf>
    <xf numFmtId="10" fontId="13" fillId="0" borderId="29" xfId="0" applyNumberFormat="1" applyFont="1" applyBorder="1" applyAlignment="1">
      <alignment horizontal="right"/>
    </xf>
    <xf numFmtId="10" fontId="13" fillId="0" borderId="29" xfId="0" applyNumberFormat="1" applyFont="1" applyFill="1" applyBorder="1" applyAlignment="1">
      <alignment horizontal="center"/>
    </xf>
    <xf numFmtId="17" fontId="14" fillId="2" borderId="36" xfId="0" applyNumberFormat="1" applyFont="1" applyFill="1" applyBorder="1"/>
    <xf numFmtId="3" fontId="13" fillId="0" borderId="40" xfId="0" applyNumberFormat="1" applyFont="1" applyFill="1" applyBorder="1"/>
    <xf numFmtId="10" fontId="15" fillId="0" borderId="40" xfId="0" applyNumberFormat="1" applyFont="1" applyBorder="1" applyAlignment="1">
      <alignment horizontal="center"/>
    </xf>
    <xf numFmtId="1" fontId="15" fillId="0" borderId="40" xfId="0" applyNumberFormat="1" applyFont="1" applyBorder="1"/>
    <xf numFmtId="3" fontId="15" fillId="0" borderId="40" xfId="0" applyNumberFormat="1" applyFont="1" applyFill="1" applyBorder="1"/>
    <xf numFmtId="9" fontId="5" fillId="0" borderId="40" xfId="0" applyNumberFormat="1" applyFont="1" applyFill="1" applyBorder="1"/>
    <xf numFmtId="3" fontId="13" fillId="0" borderId="40" xfId="1" applyNumberFormat="1" applyFont="1" applyFill="1" applyBorder="1"/>
    <xf numFmtId="10" fontId="13" fillId="0" borderId="40" xfId="2" applyNumberFormat="1" applyFont="1" applyBorder="1"/>
    <xf numFmtId="9" fontId="14" fillId="2" borderId="31" xfId="2" applyFont="1" applyFill="1" applyBorder="1"/>
    <xf numFmtId="10" fontId="14" fillId="2" borderId="31" xfId="0" applyNumberFormat="1" applyFont="1" applyFill="1" applyBorder="1"/>
    <xf numFmtId="49" fontId="14" fillId="2" borderId="14" xfId="0" applyNumberFormat="1" applyFont="1" applyFill="1" applyBorder="1" applyAlignment="1">
      <alignment horizontal="centerContinuous" wrapText="1"/>
    </xf>
    <xf numFmtId="10" fontId="14" fillId="2" borderId="57" xfId="0" applyNumberFormat="1" applyFont="1" applyFill="1" applyBorder="1" applyAlignment="1">
      <alignment horizontal="centerContinuous" wrapText="1"/>
    </xf>
    <xf numFmtId="2" fontId="14" fillId="2" borderId="58" xfId="0" quotePrefix="1" applyNumberFormat="1" applyFont="1" applyFill="1" applyBorder="1" applyAlignment="1">
      <alignment horizontal="left"/>
    </xf>
    <xf numFmtId="3" fontId="0" fillId="0" borderId="5" xfId="0" applyNumberFormat="1" applyBorder="1" applyAlignment="1">
      <alignment horizontal="centerContinuous"/>
    </xf>
    <xf numFmtId="17" fontId="14" fillId="2" borderId="11" xfId="0" applyNumberFormat="1" applyFont="1" applyFill="1" applyBorder="1"/>
    <xf numFmtId="3" fontId="15" fillId="0" borderId="28" xfId="0" applyNumberFormat="1" applyFont="1" applyBorder="1" applyAlignment="1">
      <alignment horizontal="right"/>
    </xf>
    <xf numFmtId="3" fontId="13" fillId="0" borderId="28" xfId="0" applyNumberFormat="1" applyFont="1" applyFill="1" applyBorder="1"/>
    <xf numFmtId="0" fontId="13" fillId="0" borderId="25" xfId="0" applyFont="1" applyBorder="1" applyAlignment="1">
      <alignment horizontal="right"/>
    </xf>
    <xf numFmtId="3" fontId="0" fillId="0" borderId="29" xfId="0" applyNumberFormat="1" applyBorder="1"/>
    <xf numFmtId="3" fontId="13" fillId="0" borderId="29" xfId="0" applyNumberFormat="1" applyFont="1" applyBorder="1"/>
    <xf numFmtId="10" fontId="15" fillId="0" borderId="29" xfId="0" applyNumberFormat="1" applyFont="1" applyBorder="1"/>
    <xf numFmtId="0" fontId="14" fillId="2" borderId="5" xfId="0" applyFont="1" applyFill="1" applyBorder="1" applyAlignment="1">
      <alignment horizontal="left"/>
    </xf>
    <xf numFmtId="0" fontId="35" fillId="2" borderId="6" xfId="0" applyFont="1" applyFill="1" applyBorder="1"/>
    <xf numFmtId="2" fontId="35" fillId="2" borderId="7" xfId="0" applyNumberFormat="1" applyFont="1" applyFill="1" applyBorder="1" applyAlignment="1">
      <alignment horizontal="centerContinuous"/>
    </xf>
    <xf numFmtId="2" fontId="35" fillId="2" borderId="33" xfId="0" applyNumberFormat="1" applyFont="1" applyFill="1" applyBorder="1" applyAlignment="1">
      <alignment horizontal="centerContinuous"/>
    </xf>
    <xf numFmtId="0" fontId="39" fillId="0" borderId="0" xfId="0" applyFont="1"/>
    <xf numFmtId="0" fontId="35" fillId="2" borderId="8" xfId="0" applyFont="1" applyFill="1" applyBorder="1"/>
    <xf numFmtId="10" fontId="17" fillId="0" borderId="29" xfId="0" quotePrefix="1" applyNumberFormat="1" applyFont="1" applyBorder="1" applyAlignment="1">
      <alignment horizontal="right"/>
    </xf>
    <xf numFmtId="3" fontId="36" fillId="0" borderId="40" xfId="0" applyNumberFormat="1" applyFont="1" applyBorder="1" applyAlignment="1">
      <alignment horizontal="right"/>
    </xf>
    <xf numFmtId="10" fontId="17" fillId="0" borderId="40" xfId="2" applyNumberFormat="1" applyFont="1" applyBorder="1"/>
    <xf numFmtId="3" fontId="17" fillId="0" borderId="40" xfId="1" applyNumberFormat="1" applyFont="1" applyBorder="1" applyAlignment="1">
      <alignment horizontal="right"/>
    </xf>
    <xf numFmtId="3" fontId="17" fillId="0" borderId="40" xfId="0" applyNumberFormat="1" applyFont="1" applyBorder="1"/>
    <xf numFmtId="1" fontId="17" fillId="0" borderId="0" xfId="0" applyNumberFormat="1" applyFont="1" applyBorder="1"/>
    <xf numFmtId="0" fontId="35" fillId="2" borderId="24" xfId="0" applyFont="1" applyFill="1" applyBorder="1"/>
    <xf numFmtId="2" fontId="35" fillId="2" borderId="14" xfId="0" applyNumberFormat="1" applyFont="1" applyFill="1" applyBorder="1" applyAlignment="1"/>
    <xf numFmtId="0" fontId="36" fillId="2" borderId="57" xfId="0" applyFont="1" applyFill="1" applyBorder="1"/>
    <xf numFmtId="2" fontId="35" fillId="2" borderId="14" xfId="0" applyNumberFormat="1" applyFont="1" applyFill="1" applyBorder="1" applyAlignment="1">
      <alignment horizontal="centerContinuous"/>
    </xf>
    <xf numFmtId="0" fontId="35" fillId="2" borderId="14" xfId="0" applyFont="1" applyFill="1" applyBorder="1" applyAlignment="1">
      <alignment horizontal="left"/>
    </xf>
    <xf numFmtId="0" fontId="39" fillId="2" borderId="15" xfId="0" applyFont="1" applyFill="1" applyBorder="1"/>
    <xf numFmtId="0" fontId="35" fillId="2" borderId="17" xfId="0" applyFont="1" applyFill="1" applyBorder="1"/>
    <xf numFmtId="2" fontId="35" fillId="2" borderId="9" xfId="0" applyNumberFormat="1" applyFont="1" applyFill="1" applyBorder="1" applyAlignment="1">
      <alignment horizontal="center"/>
    </xf>
    <xf numFmtId="0" fontId="36" fillId="2" borderId="30" xfId="0" applyFont="1" applyFill="1" applyBorder="1"/>
    <xf numFmtId="2" fontId="35" fillId="2" borderId="9" xfId="0" applyNumberFormat="1" applyFont="1" applyFill="1" applyBorder="1" applyAlignment="1"/>
    <xf numFmtId="0" fontId="35" fillId="2" borderId="9" xfId="0" applyFont="1" applyFill="1" applyBorder="1"/>
    <xf numFmtId="0" fontId="39" fillId="2" borderId="27" xfId="0" applyFont="1" applyFill="1" applyBorder="1"/>
    <xf numFmtId="10" fontId="36" fillId="0" borderId="29" xfId="2" applyNumberFormat="1" applyFont="1" applyBorder="1" applyAlignment="1">
      <alignment horizontal="right"/>
    </xf>
    <xf numFmtId="10" fontId="36" fillId="0" borderId="40" xfId="2" applyNumberFormat="1" applyFont="1" applyBorder="1" applyAlignment="1">
      <alignment horizontal="right"/>
    </xf>
    <xf numFmtId="3" fontId="36" fillId="0" borderId="40" xfId="2" applyNumberFormat="1" applyFont="1" applyBorder="1"/>
    <xf numFmtId="3" fontId="17" fillId="0" borderId="40" xfId="0" applyNumberFormat="1" applyFont="1" applyBorder="1" applyAlignment="1">
      <alignment horizontal="right"/>
    </xf>
    <xf numFmtId="3" fontId="17" fillId="0" borderId="40" xfId="0" applyNumberFormat="1" applyFont="1" applyFill="1" applyBorder="1" applyAlignment="1">
      <alignment horizontal="right"/>
    </xf>
    <xf numFmtId="10" fontId="36" fillId="0" borderId="41" xfId="2" applyNumberFormat="1" applyFont="1" applyBorder="1" applyAlignment="1">
      <alignment horizontal="right"/>
    </xf>
    <xf numFmtId="0" fontId="36" fillId="0" borderId="0" xfId="0" applyFont="1" applyFill="1" applyBorder="1"/>
    <xf numFmtId="2" fontId="17" fillId="0" borderId="0" xfId="0" applyNumberFormat="1" applyFont="1" applyFill="1" applyBorder="1"/>
    <xf numFmtId="0" fontId="36" fillId="0" borderId="0" xfId="0" applyFont="1" applyFill="1"/>
    <xf numFmtId="0" fontId="39" fillId="0" borderId="0" xfId="0" applyFont="1" applyFill="1"/>
    <xf numFmtId="9" fontId="35" fillId="2" borderId="9" xfId="2" applyFont="1" applyFill="1" applyBorder="1"/>
    <xf numFmtId="2" fontId="35" fillId="2" borderId="59" xfId="0" quotePrefix="1" applyNumberFormat="1" applyFont="1" applyFill="1" applyBorder="1" applyAlignment="1">
      <alignment horizontal="left"/>
    </xf>
    <xf numFmtId="2" fontId="35" fillId="2" borderId="59" xfId="0" applyNumberFormat="1" applyFont="1" applyFill="1" applyBorder="1"/>
    <xf numFmtId="2" fontId="35" fillId="2" borderId="9" xfId="0" applyNumberFormat="1" applyFont="1" applyFill="1" applyBorder="1" applyAlignment="1">
      <alignment horizontal="centerContinuous"/>
    </xf>
    <xf numFmtId="0" fontId="36" fillId="2" borderId="57" xfId="0" applyFont="1" applyFill="1" applyBorder="1" applyAlignment="1">
      <alignment horizontal="centerContinuous"/>
    </xf>
    <xf numFmtId="0" fontId="36" fillId="2" borderId="30" xfId="0" applyFont="1" applyFill="1" applyBorder="1" applyAlignment="1">
      <alignment horizontal="centerContinuous"/>
    </xf>
    <xf numFmtId="9" fontId="35" fillId="2" borderId="29" xfId="2" applyFont="1" applyFill="1" applyBorder="1"/>
    <xf numFmtId="2" fontId="35" fillId="2" borderId="29" xfId="0" quotePrefix="1" applyNumberFormat="1" applyFont="1" applyFill="1" applyBorder="1" applyAlignment="1">
      <alignment horizontal="left"/>
    </xf>
    <xf numFmtId="2" fontId="35" fillId="2" borderId="29" xfId="0" applyNumberFormat="1" applyFont="1" applyFill="1" applyBorder="1"/>
    <xf numFmtId="2" fontId="35" fillId="2" borderId="35" xfId="0" quotePrefix="1" applyNumberFormat="1" applyFont="1" applyFill="1" applyBorder="1" applyAlignment="1">
      <alignment horizontal="left"/>
    </xf>
    <xf numFmtId="2" fontId="35" fillId="2" borderId="60" xfId="0" quotePrefix="1" applyNumberFormat="1" applyFont="1" applyFill="1" applyBorder="1" applyAlignment="1">
      <alignment horizontal="left"/>
    </xf>
    <xf numFmtId="2" fontId="17" fillId="0" borderId="1" xfId="0" quotePrefix="1" applyNumberFormat="1" applyFont="1" applyBorder="1" applyAlignment="1">
      <alignment horizontal="right"/>
    </xf>
    <xf numFmtId="2" fontId="17" fillId="0" borderId="2" xfId="0" quotePrefix="1" applyNumberFormat="1" applyFont="1" applyBorder="1" applyAlignment="1">
      <alignment horizontal="right"/>
    </xf>
    <xf numFmtId="0" fontId="35" fillId="2" borderId="25" xfId="0" applyFont="1" applyFill="1" applyBorder="1"/>
    <xf numFmtId="2" fontId="35" fillId="2" borderId="28" xfId="0" applyNumberFormat="1" applyFont="1" applyFill="1" applyBorder="1"/>
    <xf numFmtId="0" fontId="36" fillId="2" borderId="28" xfId="0" applyFont="1" applyFill="1" applyBorder="1"/>
    <xf numFmtId="2" fontId="35" fillId="2" borderId="26" xfId="0" quotePrefix="1" applyNumberFormat="1" applyFont="1" applyFill="1" applyBorder="1" applyAlignment="1">
      <alignment horizontal="left"/>
    </xf>
    <xf numFmtId="10" fontId="36" fillId="0" borderId="1" xfId="2" quotePrefix="1" applyNumberFormat="1" applyFont="1" applyBorder="1" applyAlignment="1">
      <alignment horizontal="right"/>
    </xf>
    <xf numFmtId="3" fontId="36" fillId="0" borderId="1" xfId="2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0" fontId="36" fillId="0" borderId="2" xfId="2" quotePrefix="1" applyNumberFormat="1" applyFont="1" applyBorder="1" applyAlignment="1">
      <alignment horizontal="right"/>
    </xf>
    <xf numFmtId="166" fontId="15" fillId="0" borderId="1" xfId="1" applyNumberFormat="1" applyFont="1" applyBorder="1" applyAlignment="1">
      <alignment horizontal="right"/>
    </xf>
    <xf numFmtId="17" fontId="15" fillId="0" borderId="53" xfId="0" applyNumberFormat="1" applyFont="1" applyFill="1" applyBorder="1" applyAlignment="1">
      <alignment horizontal="right"/>
    </xf>
    <xf numFmtId="3" fontId="13" fillId="0" borderId="54" xfId="0" applyNumberFormat="1" applyFont="1" applyFill="1" applyBorder="1"/>
    <xf numFmtId="10" fontId="17" fillId="0" borderId="1" xfId="2" applyNumberFormat="1" applyFont="1" applyBorder="1" applyAlignment="1">
      <alignment horizontal="right"/>
    </xf>
    <xf numFmtId="3" fontId="15" fillId="0" borderId="34" xfId="0" applyNumberFormat="1" applyFont="1" applyBorder="1"/>
    <xf numFmtId="3" fontId="0" fillId="2" borderId="4" xfId="0" applyNumberFormat="1" applyFill="1" applyBorder="1" applyAlignment="1">
      <alignment horizontal="centerContinuous"/>
    </xf>
    <xf numFmtId="3" fontId="14" fillId="2" borderId="23" xfId="0" quotePrefix="1" applyNumberFormat="1" applyFont="1" applyFill="1" applyBorder="1" applyAlignment="1">
      <alignment horizontal="left"/>
    </xf>
    <xf numFmtId="3" fontId="15" fillId="0" borderId="1" xfId="0" applyNumberFormat="1" applyFont="1" applyBorder="1" applyAlignment="1">
      <alignment horizontal="centerContinuous"/>
    </xf>
    <xf numFmtId="3" fontId="0" fillId="0" borderId="0" xfId="0" applyNumberFormat="1"/>
    <xf numFmtId="3" fontId="0" fillId="2" borderId="23" xfId="0" applyNumberFormat="1" applyFill="1" applyBorder="1" applyAlignment="1">
      <alignment horizontal="centerContinuous"/>
    </xf>
    <xf numFmtId="3" fontId="0" fillId="0" borderId="1" xfId="0" applyNumberFormat="1" applyBorder="1"/>
    <xf numFmtId="2" fontId="35" fillId="2" borderId="59" xfId="0" applyNumberFormat="1" applyFont="1" applyFill="1" applyBorder="1" applyAlignment="1">
      <alignment horizontal="centerContinuous"/>
    </xf>
    <xf numFmtId="2" fontId="35" fillId="2" borderId="23" xfId="0" applyNumberFormat="1" applyFont="1" applyFill="1" applyBorder="1" applyAlignment="1">
      <alignment horizontal="centerContinuous"/>
    </xf>
    <xf numFmtId="17" fontId="15" fillId="0" borderId="11" xfId="0" applyNumberFormat="1" applyFont="1" applyBorder="1" applyAlignment="1">
      <alignment horizontal="right"/>
    </xf>
    <xf numFmtId="166" fontId="15" fillId="0" borderId="28" xfId="1" applyNumberFormat="1" applyFont="1" applyBorder="1"/>
    <xf numFmtId="3" fontId="15" fillId="0" borderId="25" xfId="0" applyNumberFormat="1" applyFont="1" applyBorder="1"/>
    <xf numFmtId="0" fontId="41" fillId="0" borderId="0" xfId="0" applyFont="1"/>
    <xf numFmtId="0" fontId="42" fillId="0" borderId="0" xfId="0" applyFont="1"/>
    <xf numFmtId="0" fontId="42" fillId="0" borderId="0" xfId="0" applyFont="1" applyAlignment="1"/>
    <xf numFmtId="1" fontId="41" fillId="0" borderId="0" xfId="0" applyNumberFormat="1" applyFont="1"/>
    <xf numFmtId="3" fontId="0" fillId="0" borderId="23" xfId="0" applyNumberFormat="1" applyBorder="1"/>
    <xf numFmtId="10" fontId="15" fillId="0" borderId="23" xfId="0" applyNumberFormat="1" applyFont="1" applyBorder="1"/>
    <xf numFmtId="43" fontId="15" fillId="0" borderId="1" xfId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4" fontId="16" fillId="0" borderId="3" xfId="0" applyNumberFormat="1" applyFont="1" applyBorder="1"/>
    <xf numFmtId="167" fontId="15" fillId="0" borderId="1" xfId="1" applyNumberFormat="1" applyFont="1" applyBorder="1" applyAlignment="1">
      <alignment horizontal="right"/>
    </xf>
    <xf numFmtId="0" fontId="14" fillId="2" borderId="6" xfId="0" applyFont="1" applyFill="1" applyBorder="1" applyAlignment="1">
      <alignment horizontal="centerContinuous" wrapText="1"/>
    </xf>
    <xf numFmtId="0" fontId="14" fillId="2" borderId="8" xfId="0" applyFont="1" applyFill="1" applyBorder="1" applyAlignment="1">
      <alignment horizontal="centerContinuous" wrapText="1"/>
    </xf>
    <xf numFmtId="0" fontId="15" fillId="2" borderId="8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centerContinuous" wrapText="1"/>
    </xf>
    <xf numFmtId="0" fontId="19" fillId="2" borderId="28" xfId="0" applyFont="1" applyFill="1" applyBorder="1" applyAlignment="1">
      <alignment horizontal="center"/>
    </xf>
    <xf numFmtId="0" fontId="19" fillId="2" borderId="61" xfId="0" applyFont="1" applyFill="1" applyBorder="1" applyAlignment="1">
      <alignment horizontal="center"/>
    </xf>
    <xf numFmtId="0" fontId="15" fillId="2" borderId="8" xfId="0" applyFont="1" applyFill="1" applyBorder="1"/>
    <xf numFmtId="4" fontId="16" fillId="0" borderId="0" xfId="0" applyNumberFormat="1" applyFont="1" applyBorder="1"/>
    <xf numFmtId="13" fontId="3" fillId="0" borderId="0" xfId="0" applyNumberFormat="1" applyFont="1" applyBorder="1" applyAlignment="1"/>
    <xf numFmtId="0" fontId="0" fillId="0" borderId="26" xfId="0" applyBorder="1" applyAlignment="1"/>
    <xf numFmtId="0" fontId="1" fillId="0" borderId="17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58" xfId="0" applyBorder="1" applyAlignment="1"/>
    <xf numFmtId="164" fontId="0" fillId="0" borderId="55" xfId="0" applyNumberFormat="1" applyBorder="1" applyAlignment="1">
      <alignment horizontal="centerContinuous"/>
    </xf>
    <xf numFmtId="10" fontId="0" fillId="0" borderId="37" xfId="0" applyNumberFormat="1" applyBorder="1" applyAlignment="1">
      <alignment horizontal="centerContinuous"/>
    </xf>
    <xf numFmtId="0" fontId="0" fillId="0" borderId="56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" fontId="0" fillId="0" borderId="62" xfId="0" applyNumberFormat="1" applyBorder="1" applyAlignment="1">
      <alignment horizontal="centerContinuous"/>
    </xf>
    <xf numFmtId="0" fontId="14" fillId="2" borderId="7" xfId="0" applyFont="1" applyFill="1" applyBorder="1" applyAlignment="1">
      <alignment horizontal="left" indent="7"/>
    </xf>
    <xf numFmtId="0" fontId="14" fillId="2" borderId="7" xfId="0" applyFont="1" applyFill="1" applyBorder="1" applyAlignment="1">
      <alignment horizontal="left" indent="6"/>
    </xf>
    <xf numFmtId="167" fontId="15" fillId="0" borderId="44" xfId="1" applyNumberFormat="1" applyFont="1" applyBorder="1" applyAlignment="1">
      <alignment horizontal="right"/>
    </xf>
    <xf numFmtId="0" fontId="16" fillId="2" borderId="53" xfId="0" applyFont="1" applyFill="1" applyBorder="1"/>
    <xf numFmtId="167" fontId="16" fillId="0" borderId="54" xfId="1" applyNumberFormat="1" applyFont="1" applyBorder="1" applyAlignment="1">
      <alignment horizontal="right"/>
    </xf>
    <xf numFmtId="0" fontId="26" fillId="0" borderId="0" xfId="0" applyFont="1"/>
    <xf numFmtId="41" fontId="15" fillId="0" borderId="1" xfId="0" applyNumberFormat="1" applyFont="1" applyBorder="1" applyAlignment="1">
      <alignment horizontal="right"/>
    </xf>
    <xf numFmtId="0" fontId="0" fillId="0" borderId="5" xfId="0" applyBorder="1"/>
    <xf numFmtId="3" fontId="16" fillId="0" borderId="60" xfId="0" applyNumberFormat="1" applyFont="1" applyBorder="1"/>
    <xf numFmtId="0" fontId="14" fillId="2" borderId="31" xfId="0" quotePrefix="1" applyFont="1" applyFill="1" applyBorder="1" applyAlignment="1">
      <alignment horizontal="centerContinuous"/>
    </xf>
    <xf numFmtId="0" fontId="14" fillId="2" borderId="59" xfId="0" quotePrefix="1" applyFont="1" applyFill="1" applyBorder="1" applyAlignment="1">
      <alignment horizontal="centerContinuous"/>
    </xf>
    <xf numFmtId="0" fontId="1" fillId="0" borderId="34" xfId="0" applyFont="1" applyBorder="1" applyAlignment="1">
      <alignment horizontal="left"/>
    </xf>
    <xf numFmtId="164" fontId="15" fillId="0" borderId="1" xfId="1" applyNumberFormat="1" applyFont="1" applyBorder="1" applyAlignment="1">
      <alignment horizontal="center"/>
    </xf>
    <xf numFmtId="1" fontId="15" fillId="0" borderId="4" xfId="0" applyNumberFormat="1" applyFont="1" applyBorder="1"/>
    <xf numFmtId="10" fontId="36" fillId="0" borderId="0" xfId="2" applyNumberFormat="1" applyFont="1" applyBorder="1" applyAlignment="1">
      <alignment horizontal="right"/>
    </xf>
    <xf numFmtId="1" fontId="36" fillId="0" borderId="0" xfId="2" applyNumberFormat="1" applyFont="1" applyBorder="1"/>
    <xf numFmtId="3" fontId="36" fillId="0" borderId="0" xfId="2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7" fontId="35" fillId="0" borderId="0" xfId="0" applyNumberFormat="1" applyFont="1" applyFill="1" applyBorder="1" applyAlignment="1">
      <alignment horizontal="right"/>
    </xf>
    <xf numFmtId="3" fontId="17" fillId="0" borderId="29" xfId="1" applyNumberFormat="1" applyFont="1" applyBorder="1" applyAlignment="1">
      <alignment horizontal="right"/>
    </xf>
    <xf numFmtId="3" fontId="17" fillId="0" borderId="29" xfId="0" applyNumberFormat="1" applyFont="1" applyBorder="1"/>
    <xf numFmtId="10" fontId="17" fillId="0" borderId="60" xfId="0" quotePrefix="1" applyNumberFormat="1" applyFont="1" applyBorder="1" applyAlignment="1">
      <alignment horizontal="right"/>
    </xf>
    <xf numFmtId="17" fontId="35" fillId="2" borderId="36" xfId="0" applyNumberFormat="1" applyFont="1" applyFill="1" applyBorder="1" applyAlignment="1">
      <alignment horizontal="right"/>
    </xf>
    <xf numFmtId="2" fontId="35" fillId="0" borderId="1" xfId="0" applyNumberFormat="1" applyFont="1" applyFill="1" applyBorder="1"/>
    <xf numFmtId="3" fontId="17" fillId="0" borderId="1" xfId="2" applyNumberFormat="1" applyFont="1" applyFill="1" applyBorder="1"/>
    <xf numFmtId="3" fontId="17" fillId="0" borderId="13" xfId="2" applyNumberFormat="1" applyFont="1" applyFill="1" applyBorder="1"/>
    <xf numFmtId="3" fontId="17" fillId="0" borderId="13" xfId="0" applyNumberFormat="1" applyFont="1" applyFill="1" applyBorder="1"/>
    <xf numFmtId="3" fontId="17" fillId="0" borderId="40" xfId="2" applyNumberFormat="1" applyFont="1" applyFill="1" applyBorder="1"/>
    <xf numFmtId="3" fontId="17" fillId="0" borderId="40" xfId="0" applyNumberFormat="1" applyFont="1" applyFill="1" applyBorder="1"/>
    <xf numFmtId="2" fontId="35" fillId="0" borderId="40" xfId="0" applyNumberFormat="1" applyFont="1" applyFill="1" applyBorder="1"/>
    <xf numFmtId="9" fontId="35" fillId="2" borderId="13" xfId="2" applyFont="1" applyFill="1" applyBorder="1"/>
    <xf numFmtId="0" fontId="35" fillId="2" borderId="13" xfId="0" applyFont="1" applyFill="1" applyBorder="1"/>
    <xf numFmtId="2" fontId="35" fillId="2" borderId="13" xfId="0" applyNumberFormat="1" applyFont="1" applyFill="1" applyBorder="1"/>
    <xf numFmtId="0" fontId="36" fillId="2" borderId="13" xfId="0" applyFont="1" applyFill="1" applyBorder="1"/>
    <xf numFmtId="3" fontId="17" fillId="0" borderId="28" xfId="0" applyNumberFormat="1" applyFont="1" applyBorder="1"/>
    <xf numFmtId="3" fontId="36" fillId="0" borderId="40" xfId="0" applyNumberFormat="1" applyFont="1" applyFill="1" applyBorder="1"/>
    <xf numFmtId="3" fontId="36" fillId="0" borderId="1" xfId="0" applyNumberFormat="1" applyFont="1" applyFill="1" applyBorder="1"/>
    <xf numFmtId="1" fontId="15" fillId="0" borderId="48" xfId="2" applyNumberFormat="1" applyFont="1" applyFill="1" applyBorder="1"/>
    <xf numFmtId="0" fontId="13" fillId="0" borderId="60" xfId="0" applyFont="1" applyBorder="1"/>
    <xf numFmtId="0" fontId="13" fillId="0" borderId="26" xfId="0" applyFont="1" applyBorder="1"/>
    <xf numFmtId="3" fontId="36" fillId="0" borderId="29" xfId="2" applyNumberFormat="1" applyFont="1" applyBorder="1"/>
    <xf numFmtId="2" fontId="35" fillId="2" borderId="63" xfId="0" applyNumberFormat="1" applyFont="1" applyFill="1" applyBorder="1" applyAlignment="1"/>
    <xf numFmtId="0" fontId="35" fillId="2" borderId="64" xfId="0" applyFont="1" applyFill="1" applyBorder="1" applyAlignment="1">
      <alignment horizontal="center"/>
    </xf>
    <xf numFmtId="2" fontId="35" fillId="2" borderId="58" xfId="0" applyNumberFormat="1" applyFont="1" applyFill="1" applyBorder="1"/>
    <xf numFmtId="0" fontId="35" fillId="2" borderId="65" xfId="0" applyFont="1" applyFill="1" applyBorder="1"/>
    <xf numFmtId="3" fontId="36" fillId="0" borderId="42" xfId="1" applyNumberFormat="1" applyFont="1" applyFill="1" applyBorder="1" applyAlignment="1"/>
    <xf numFmtId="10" fontId="36" fillId="0" borderId="66" xfId="2" applyNumberFormat="1" applyFont="1" applyBorder="1" applyAlignment="1"/>
    <xf numFmtId="3" fontId="36" fillId="0" borderId="5" xfId="1" applyNumberFormat="1" applyFont="1" applyFill="1" applyBorder="1" applyAlignment="1"/>
    <xf numFmtId="10" fontId="36" fillId="0" borderId="23" xfId="2" applyNumberFormat="1" applyFont="1" applyBorder="1" applyAlignment="1"/>
    <xf numFmtId="10" fontId="36" fillId="0" borderId="45" xfId="2" applyNumberFormat="1" applyFont="1" applyBorder="1" applyAlignment="1"/>
    <xf numFmtId="10" fontId="36" fillId="0" borderId="30" xfId="2" applyNumberFormat="1" applyFont="1" applyBorder="1" applyAlignment="1"/>
    <xf numFmtId="10" fontId="36" fillId="0" borderId="40" xfId="2" applyNumberFormat="1" applyFont="1" applyBorder="1"/>
    <xf numFmtId="0" fontId="35" fillId="2" borderId="18" xfId="0" applyFont="1" applyFill="1" applyBorder="1"/>
    <xf numFmtId="3" fontId="36" fillId="0" borderId="13" xfId="0" applyNumberFormat="1" applyFont="1" applyBorder="1"/>
    <xf numFmtId="1" fontId="17" fillId="0" borderId="13" xfId="0" applyNumberFormat="1" applyFont="1" applyBorder="1"/>
    <xf numFmtId="10" fontId="17" fillId="0" borderId="13" xfId="0" applyNumberFormat="1" applyFont="1" applyBorder="1" applyAlignment="1">
      <alignment horizontal="right"/>
    </xf>
    <xf numFmtId="1" fontId="36" fillId="0" borderId="13" xfId="2" applyNumberFormat="1" applyFont="1" applyBorder="1"/>
    <xf numFmtId="0" fontId="19" fillId="2" borderId="6" xfId="0" applyFont="1" applyFill="1" applyBorder="1" applyAlignment="1">
      <alignment horizontal="centerContinuous" wrapText="1"/>
    </xf>
    <xf numFmtId="0" fontId="19" fillId="2" borderId="7" xfId="0" quotePrefix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Continuous" wrapText="1"/>
    </xf>
    <xf numFmtId="0" fontId="19" fillId="2" borderId="2" xfId="0" applyFont="1" applyFill="1" applyBorder="1" applyAlignment="1">
      <alignment horizontal="center"/>
    </xf>
    <xf numFmtId="17" fontId="35" fillId="2" borderId="48" xfId="0" applyNumberFormat="1" applyFont="1" applyFill="1" applyBorder="1"/>
    <xf numFmtId="3" fontId="17" fillId="0" borderId="29" xfId="2" applyNumberFormat="1" applyFont="1" applyFill="1" applyBorder="1"/>
    <xf numFmtId="3" fontId="17" fillId="0" borderId="29" xfId="0" applyNumberFormat="1" applyFont="1" applyFill="1" applyBorder="1"/>
    <xf numFmtId="2" fontId="35" fillId="0" borderId="29" xfId="0" applyNumberFormat="1" applyFont="1" applyFill="1" applyBorder="1"/>
    <xf numFmtId="3" fontId="36" fillId="0" borderId="29" xfId="0" applyNumberFormat="1" applyFont="1" applyFill="1" applyBorder="1"/>
    <xf numFmtId="10" fontId="36" fillId="0" borderId="60" xfId="2" applyNumberFormat="1" applyFont="1" applyBorder="1" applyAlignment="1">
      <alignment horizontal="right"/>
    </xf>
    <xf numFmtId="10" fontId="17" fillId="0" borderId="40" xfId="0" applyNumberFormat="1" applyFont="1" applyBorder="1" applyAlignment="1">
      <alignment horizontal="right"/>
    </xf>
    <xf numFmtId="10" fontId="17" fillId="0" borderId="33" xfId="0" applyNumberFormat="1" applyFont="1" applyBorder="1" applyAlignment="1">
      <alignment horizontal="right"/>
    </xf>
    <xf numFmtId="3" fontId="15" fillId="0" borderId="51" xfId="0" applyNumberFormat="1" applyFont="1" applyBorder="1"/>
    <xf numFmtId="10" fontId="36" fillId="0" borderId="28" xfId="2" applyNumberFormat="1" applyFont="1" applyBorder="1" applyAlignment="1">
      <alignment horizontal="right"/>
    </xf>
    <xf numFmtId="3" fontId="36" fillId="0" borderId="28" xfId="2" applyNumberFormat="1" applyFont="1" applyBorder="1"/>
    <xf numFmtId="3" fontId="36" fillId="0" borderId="44" xfId="1" applyNumberFormat="1" applyFont="1" applyFill="1" applyBorder="1" applyAlignment="1"/>
    <xf numFmtId="10" fontId="36" fillId="0" borderId="35" xfId="2" applyNumberFormat="1" applyFont="1" applyBorder="1" applyAlignment="1"/>
    <xf numFmtId="3" fontId="17" fillId="0" borderId="28" xfId="0" applyNumberFormat="1" applyFont="1" applyFill="1" applyBorder="1" applyAlignment="1">
      <alignment horizontal="right"/>
    </xf>
    <xf numFmtId="10" fontId="17" fillId="0" borderId="60" xfId="2" applyNumberFormat="1" applyFont="1" applyFill="1" applyBorder="1"/>
    <xf numFmtId="3" fontId="36" fillId="0" borderId="28" xfId="0" applyNumberFormat="1" applyFont="1" applyBorder="1" applyAlignment="1">
      <alignment horizontal="right"/>
    </xf>
    <xf numFmtId="10" fontId="17" fillId="0" borderId="28" xfId="2" applyNumberFormat="1" applyFont="1" applyBorder="1"/>
    <xf numFmtId="10" fontId="17" fillId="0" borderId="61" xfId="0" quotePrefix="1" applyNumberFormat="1" applyFont="1" applyBorder="1" applyAlignment="1">
      <alignment horizontal="right"/>
    </xf>
    <xf numFmtId="3" fontId="17" fillId="0" borderId="28" xfId="0" applyNumberFormat="1" applyFont="1" applyBorder="1" applyAlignment="1">
      <alignment horizontal="right"/>
    </xf>
    <xf numFmtId="17" fontId="35" fillId="2" borderId="11" xfId="0" applyNumberFormat="1" applyFont="1" applyFill="1" applyBorder="1" applyAlignment="1">
      <alignment horizontal="right"/>
    </xf>
    <xf numFmtId="3" fontId="36" fillId="0" borderId="29" xfId="0" applyNumberFormat="1" applyFont="1" applyBorder="1"/>
    <xf numFmtId="1" fontId="17" fillId="0" borderId="29" xfId="0" applyNumberFormat="1" applyFont="1" applyBorder="1"/>
    <xf numFmtId="10" fontId="17" fillId="0" borderId="29" xfId="0" applyNumberFormat="1" applyFont="1" applyBorder="1" applyAlignment="1">
      <alignment horizontal="right"/>
    </xf>
    <xf numFmtId="1" fontId="36" fillId="0" borderId="29" xfId="2" applyNumberFormat="1" applyFont="1" applyBorder="1"/>
    <xf numFmtId="3" fontId="36" fillId="0" borderId="28" xfId="2" applyNumberFormat="1" applyFont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10" fontId="36" fillId="0" borderId="61" xfId="2" applyNumberFormat="1" applyFont="1" applyBorder="1" applyAlignment="1">
      <alignment horizontal="right"/>
    </xf>
    <xf numFmtId="0" fontId="17" fillId="0" borderId="13" xfId="0" applyFont="1" applyFill="1" applyBorder="1" applyAlignment="1">
      <alignment horizontal="right"/>
    </xf>
    <xf numFmtId="170" fontId="15" fillId="0" borderId="1" xfId="0" applyNumberFormat="1" applyFont="1" applyBorder="1" applyAlignment="1">
      <alignment horizontal="right"/>
    </xf>
    <xf numFmtId="3" fontId="15" fillId="0" borderId="1" xfId="1" applyNumberFormat="1" applyFont="1" applyBorder="1" applyAlignment="1">
      <alignment horizontal="center"/>
    </xf>
    <xf numFmtId="173" fontId="15" fillId="0" borderId="1" xfId="1" applyNumberFormat="1" applyFont="1" applyBorder="1" applyAlignment="1">
      <alignment horizontal="center"/>
    </xf>
    <xf numFmtId="174" fontId="15" fillId="0" borderId="1" xfId="1" applyNumberFormat="1" applyFont="1" applyBorder="1" applyAlignment="1">
      <alignment horizontal="center"/>
    </xf>
    <xf numFmtId="178" fontId="15" fillId="0" borderId="67" xfId="1" applyNumberFormat="1" applyFont="1" applyBorder="1"/>
    <xf numFmtId="178" fontId="13" fillId="0" borderId="67" xfId="0" applyNumberFormat="1" applyFont="1" applyFill="1" applyBorder="1" applyAlignment="1">
      <alignment horizontal="right"/>
    </xf>
    <xf numFmtId="166" fontId="15" fillId="0" borderId="40" xfId="0" applyNumberFormat="1" applyFont="1" applyBorder="1"/>
    <xf numFmtId="166" fontId="15" fillId="0" borderId="40" xfId="1" applyNumberFormat="1" applyFont="1" applyBorder="1"/>
    <xf numFmtId="175" fontId="15" fillId="0" borderId="21" xfId="1" applyNumberFormat="1" applyFont="1" applyBorder="1"/>
    <xf numFmtId="175" fontId="13" fillId="0" borderId="21" xfId="0" applyNumberFormat="1" applyFont="1" applyFill="1" applyBorder="1" applyAlignment="1">
      <alignment horizontal="right"/>
    </xf>
    <xf numFmtId="0" fontId="15" fillId="0" borderId="29" xfId="0" applyFont="1" applyBorder="1"/>
    <xf numFmtId="167" fontId="15" fillId="0" borderId="29" xfId="1" applyNumberFormat="1" applyFont="1" applyBorder="1" applyAlignment="1" applyProtection="1">
      <alignment horizontal="center"/>
      <protection locked="0"/>
    </xf>
    <xf numFmtId="167" fontId="15" fillId="0" borderId="29" xfId="0" applyNumberFormat="1" applyFont="1" applyBorder="1" applyAlignment="1">
      <alignment horizontal="center"/>
    </xf>
    <xf numFmtId="178" fontId="15" fillId="0" borderId="13" xfId="1" applyNumberFormat="1" applyFont="1" applyBorder="1"/>
    <xf numFmtId="174" fontId="15" fillId="0" borderId="13" xfId="1" applyNumberFormat="1" applyFont="1" applyBorder="1" applyAlignment="1">
      <alignment horizontal="center"/>
    </xf>
    <xf numFmtId="180" fontId="15" fillId="0" borderId="29" xfId="0" applyNumberFormat="1" applyFont="1" applyBorder="1" applyAlignment="1">
      <alignment horizontal="right"/>
    </xf>
    <xf numFmtId="174" fontId="15" fillId="0" borderId="3" xfId="1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right"/>
    </xf>
    <xf numFmtId="2" fontId="25" fillId="0" borderId="4" xfId="0" applyNumberFormat="1" applyFont="1" applyBorder="1" applyAlignment="1">
      <alignment horizontal="centerContinuous"/>
    </xf>
    <xf numFmtId="164" fontId="25" fillId="0" borderId="4" xfId="0" applyNumberFormat="1" applyFont="1" applyBorder="1" applyAlignment="1">
      <alignment horizontal="centerContinuous"/>
    </xf>
    <xf numFmtId="4" fontId="25" fillId="0" borderId="5" xfId="1" applyNumberFormat="1" applyFont="1" applyBorder="1" applyAlignment="1">
      <alignment horizontal="centerContinuous"/>
    </xf>
    <xf numFmtId="3" fontId="25" fillId="0" borderId="55" xfId="0" applyNumberFormat="1" applyFont="1" applyBorder="1" applyAlignment="1">
      <alignment horizontal="centerContinuous"/>
    </xf>
    <xf numFmtId="177" fontId="15" fillId="0" borderId="67" xfId="1" applyNumberFormat="1" applyFont="1" applyBorder="1" applyAlignment="1">
      <alignment horizontal="center"/>
    </xf>
    <xf numFmtId="0" fontId="15" fillId="0" borderId="46" xfId="0" applyFont="1" applyBorder="1"/>
    <xf numFmtId="175" fontId="15" fillId="0" borderId="63" xfId="1" applyNumberFormat="1" applyFont="1" applyBorder="1"/>
    <xf numFmtId="187" fontId="15" fillId="0" borderId="1" xfId="1" applyNumberFormat="1" applyFont="1" applyBorder="1"/>
    <xf numFmtId="182" fontId="15" fillId="0" borderId="1" xfId="0" applyNumberFormat="1" applyFont="1" applyBorder="1" applyAlignment="1"/>
    <xf numFmtId="192" fontId="15" fillId="0" borderId="1" xfId="0" applyNumberFormat="1" applyFont="1" applyBorder="1" applyAlignment="1"/>
    <xf numFmtId="0" fontId="25" fillId="0" borderId="23" xfId="0" applyFont="1" applyBorder="1" applyAlignment="1">
      <alignment horizontal="left"/>
    </xf>
    <xf numFmtId="199" fontId="25" fillId="0" borderId="4" xfId="1" applyNumberFormat="1" applyFont="1" applyBorder="1" applyAlignment="1">
      <alignment horizontal="left"/>
    </xf>
    <xf numFmtId="166" fontId="15" fillId="0" borderId="29" xfId="1" applyNumberFormat="1" applyFont="1" applyBorder="1" applyAlignment="1">
      <alignment horizontal="right"/>
    </xf>
    <xf numFmtId="166" fontId="15" fillId="0" borderId="67" xfId="1" applyNumberFormat="1" applyFont="1" applyBorder="1" applyAlignment="1">
      <alignment horizontal="right"/>
    </xf>
    <xf numFmtId="200" fontId="15" fillId="0" borderId="1" xfId="1" applyNumberFormat="1" applyFont="1" applyBorder="1"/>
    <xf numFmtId="202" fontId="15" fillId="0" borderId="1" xfId="1" applyNumberFormat="1" applyFont="1" applyBorder="1" applyAlignment="1">
      <alignment horizontal="center"/>
    </xf>
    <xf numFmtId="203" fontId="15" fillId="0" borderId="2" xfId="0" applyNumberFormat="1" applyFont="1" applyBorder="1" applyAlignment="1">
      <alignment horizontal="right"/>
    </xf>
    <xf numFmtId="205" fontId="15" fillId="0" borderId="2" xfId="1" applyNumberFormat="1" applyFont="1" applyBorder="1"/>
    <xf numFmtId="0" fontId="15" fillId="0" borderId="3" xfId="0" applyFont="1" applyBorder="1"/>
    <xf numFmtId="0" fontId="16" fillId="2" borderId="18" xfId="0" applyFont="1" applyFill="1" applyBorder="1"/>
    <xf numFmtId="3" fontId="16" fillId="0" borderId="13" xfId="0" applyNumberFormat="1" applyFont="1" applyBorder="1" applyAlignment="1">
      <alignment horizontal="center"/>
    </xf>
    <xf numFmtId="3" fontId="15" fillId="0" borderId="65" xfId="0" applyNumberFormat="1" applyFont="1" applyBorder="1"/>
    <xf numFmtId="3" fontId="14" fillId="0" borderId="63" xfId="1" applyNumberFormat="1" applyFont="1" applyBorder="1"/>
    <xf numFmtId="49" fontId="15" fillId="2" borderId="8" xfId="0" applyNumberFormat="1" applyFont="1" applyFill="1" applyBorder="1" applyAlignment="1">
      <alignment horizontal="left"/>
    </xf>
    <xf numFmtId="4" fontId="16" fillId="0" borderId="2" xfId="0" applyNumberFormat="1" applyFont="1" applyBorder="1"/>
    <xf numFmtId="0" fontId="16" fillId="0" borderId="64" xfId="0" applyFont="1" applyBorder="1"/>
    <xf numFmtId="0" fontId="0" fillId="0" borderId="55" xfId="0" applyBorder="1"/>
    <xf numFmtId="0" fontId="15" fillId="0" borderId="68" xfId="0" applyFont="1" applyBorder="1"/>
    <xf numFmtId="0" fontId="15" fillId="0" borderId="47" xfId="0" applyFont="1" applyBorder="1"/>
    <xf numFmtId="178" fontId="15" fillId="0" borderId="29" xfId="1" applyNumberFormat="1" applyFont="1" applyBorder="1"/>
    <xf numFmtId="177" fontId="15" fillId="0" borderId="29" xfId="1" applyNumberFormat="1" applyFont="1" applyBorder="1" applyAlignment="1">
      <alignment horizontal="center"/>
    </xf>
    <xf numFmtId="3" fontId="15" fillId="0" borderId="44" xfId="0" applyNumberFormat="1" applyFont="1" applyBorder="1"/>
    <xf numFmtId="175" fontId="15" fillId="0" borderId="46" xfId="1" applyNumberFormat="1" applyFont="1" applyBorder="1"/>
    <xf numFmtId="3" fontId="36" fillId="0" borderId="29" xfId="2" applyNumberFormat="1" applyFont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177" fontId="15" fillId="0" borderId="1" xfId="1" applyNumberFormat="1" applyFont="1" applyBorder="1" applyAlignment="1">
      <alignment horizontal="center"/>
    </xf>
    <xf numFmtId="177" fontId="15" fillId="0" borderId="13" xfId="1" applyNumberFormat="1" applyFont="1" applyBorder="1" applyAlignment="1">
      <alignment horizontal="center"/>
    </xf>
    <xf numFmtId="166" fontId="15" fillId="0" borderId="3" xfId="0" applyNumberFormat="1" applyFont="1" applyBorder="1"/>
    <xf numFmtId="166" fontId="15" fillId="0" borderId="29" xfId="0" applyNumberFormat="1" applyFont="1" applyBorder="1"/>
    <xf numFmtId="178" fontId="13" fillId="0" borderId="13" xfId="0" applyNumberFormat="1" applyFont="1" applyFill="1" applyBorder="1" applyAlignment="1">
      <alignment horizontal="right"/>
    </xf>
    <xf numFmtId="3" fontId="15" fillId="0" borderId="46" xfId="0" applyNumberFormat="1" applyFont="1" applyBorder="1"/>
    <xf numFmtId="175" fontId="13" fillId="0" borderId="63" xfId="0" applyNumberFormat="1" applyFont="1" applyFill="1" applyBorder="1" applyAlignment="1">
      <alignment horizontal="right"/>
    </xf>
    <xf numFmtId="17" fontId="15" fillId="0" borderId="18" xfId="0" applyNumberFormat="1" applyFont="1" applyBorder="1" applyAlignment="1">
      <alignment horizontal="right"/>
    </xf>
    <xf numFmtId="187" fontId="15" fillId="0" borderId="13" xfId="1" applyNumberFormat="1" applyFont="1" applyBorder="1"/>
    <xf numFmtId="189" fontId="15" fillId="0" borderId="47" xfId="1" applyNumberFormat="1" applyFont="1" applyBorder="1"/>
    <xf numFmtId="164" fontId="23" fillId="0" borderId="1" xfId="1" applyNumberFormat="1" applyFont="1" applyBorder="1" applyAlignment="1">
      <alignment horizontal="center"/>
    </xf>
    <xf numFmtId="170" fontId="15" fillId="0" borderId="29" xfId="0" applyNumberFormat="1" applyFont="1" applyBorder="1" applyAlignment="1">
      <alignment horizontal="right"/>
    </xf>
    <xf numFmtId="192" fontId="15" fillId="0" borderId="29" xfId="0" applyNumberFormat="1" applyFont="1" applyBorder="1" applyAlignment="1"/>
    <xf numFmtId="203" fontId="15" fillId="0" borderId="60" xfId="0" applyNumberFormat="1" applyFont="1" applyBorder="1" applyAlignment="1">
      <alignment horizontal="right"/>
    </xf>
    <xf numFmtId="174" fontId="15" fillId="0" borderId="46" xfId="1" applyNumberFormat="1" applyFont="1" applyBorder="1" applyAlignment="1">
      <alignment horizontal="center"/>
    </xf>
    <xf numFmtId="10" fontId="17" fillId="0" borderId="13" xfId="2" applyNumberFormat="1" applyFont="1" applyBorder="1" applyAlignment="1">
      <alignment horizontal="right"/>
    </xf>
    <xf numFmtId="10" fontId="17" fillId="0" borderId="47" xfId="2" applyNumberFormat="1" applyFont="1" applyBorder="1" applyAlignment="1">
      <alignment horizontal="right"/>
    </xf>
    <xf numFmtId="3" fontId="17" fillId="0" borderId="5" xfId="1" applyNumberFormat="1" applyFont="1" applyFill="1" applyBorder="1" applyAlignment="1"/>
    <xf numFmtId="43" fontId="15" fillId="0" borderId="1" xfId="1" applyFont="1" applyBorder="1" applyAlignment="1">
      <alignment horizontal="center"/>
    </xf>
    <xf numFmtId="182" fontId="15" fillId="0" borderId="29" xfId="0" applyNumberFormat="1" applyFont="1" applyBorder="1" applyAlignment="1"/>
    <xf numFmtId="3" fontId="15" fillId="0" borderId="13" xfId="0" applyNumberFormat="1" applyFont="1" applyBorder="1"/>
    <xf numFmtId="10" fontId="15" fillId="0" borderId="13" xfId="0" applyNumberFormat="1" applyFont="1" applyBorder="1"/>
    <xf numFmtId="1" fontId="15" fillId="0" borderId="13" xfId="0" applyNumberFormat="1" applyFont="1" applyBorder="1"/>
    <xf numFmtId="10" fontId="15" fillId="0" borderId="13" xfId="2" applyNumberFormat="1" applyFont="1" applyBorder="1"/>
    <xf numFmtId="9" fontId="15" fillId="0" borderId="13" xfId="2" applyNumberFormat="1" applyFont="1" applyFill="1" applyBorder="1"/>
    <xf numFmtId="17" fontId="14" fillId="2" borderId="18" xfId="0" applyNumberFormat="1" applyFont="1" applyFill="1" applyBorder="1"/>
    <xf numFmtId="10" fontId="13" fillId="0" borderId="13" xfId="0" applyNumberFormat="1" applyFont="1" applyBorder="1" applyAlignment="1">
      <alignment horizontal="right"/>
    </xf>
    <xf numFmtId="3" fontId="13" fillId="0" borderId="13" xfId="0" applyNumberFormat="1" applyFont="1" applyFill="1" applyBorder="1"/>
    <xf numFmtId="10" fontId="13" fillId="0" borderId="13" xfId="0" applyNumberFormat="1" applyFont="1" applyFill="1" applyBorder="1" applyAlignment="1">
      <alignment horizontal="center"/>
    </xf>
    <xf numFmtId="0" fontId="0" fillId="0" borderId="65" xfId="0" applyBorder="1"/>
    <xf numFmtId="3" fontId="13" fillId="0" borderId="63" xfId="0" applyNumberFormat="1" applyFont="1" applyFill="1" applyBorder="1" applyAlignment="1">
      <alignment horizontal="right"/>
    </xf>
    <xf numFmtId="10" fontId="17" fillId="0" borderId="29" xfId="2" applyNumberFormat="1" applyFont="1" applyBorder="1" applyAlignment="1">
      <alignment horizontal="right"/>
    </xf>
    <xf numFmtId="10" fontId="17" fillId="0" borderId="60" xfId="2" applyNumberFormat="1" applyFont="1" applyBorder="1" applyAlignment="1">
      <alignment horizontal="right"/>
    </xf>
    <xf numFmtId="3" fontId="17" fillId="0" borderId="9" xfId="1" applyNumberFormat="1" applyFont="1" applyFill="1" applyBorder="1" applyAlignment="1"/>
    <xf numFmtId="1" fontId="17" fillId="0" borderId="44" xfId="0" applyNumberFormat="1" applyFont="1" applyBorder="1" applyAlignment="1">
      <alignment horizontal="right"/>
    </xf>
    <xf numFmtId="3" fontId="17" fillId="0" borderId="44" xfId="1" applyNumberFormat="1" applyFont="1" applyBorder="1"/>
    <xf numFmtId="10" fontId="36" fillId="0" borderId="29" xfId="2" applyNumberFormat="1" applyFont="1" applyBorder="1"/>
    <xf numFmtId="3" fontId="37" fillId="0" borderId="44" xfId="0" applyNumberFormat="1" applyFont="1" applyBorder="1"/>
    <xf numFmtId="3" fontId="17" fillId="0" borderId="58" xfId="0" applyNumberFormat="1" applyFont="1" applyBorder="1"/>
    <xf numFmtId="3" fontId="17" fillId="0" borderId="25" xfId="1" applyNumberFormat="1" applyFont="1" applyFill="1" applyBorder="1" applyAlignment="1"/>
    <xf numFmtId="10" fontId="17" fillId="0" borderId="60" xfId="0" applyNumberFormat="1" applyFont="1" applyBorder="1" applyAlignment="1">
      <alignment horizontal="right"/>
    </xf>
    <xf numFmtId="3" fontId="17" fillId="0" borderId="45" xfId="0" applyNumberFormat="1" applyFont="1" applyBorder="1"/>
    <xf numFmtId="3" fontId="15" fillId="0" borderId="29" xfId="0" applyNumberFormat="1" applyFont="1" applyBorder="1"/>
    <xf numFmtId="1" fontId="15" fillId="0" borderId="29" xfId="0" applyNumberFormat="1" applyFont="1" applyBorder="1"/>
    <xf numFmtId="9" fontId="15" fillId="0" borderId="29" xfId="2" applyNumberFormat="1" applyFont="1" applyFill="1" applyBorder="1"/>
    <xf numFmtId="3" fontId="13" fillId="0" borderId="29" xfId="0" applyNumberFormat="1" applyFont="1" applyFill="1" applyBorder="1"/>
    <xf numFmtId="0" fontId="0" fillId="0" borderId="44" xfId="0" applyBorder="1"/>
    <xf numFmtId="0" fontId="45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quotePrefix="1" applyFont="1" applyAlignment="1">
      <alignment horizontal="left"/>
    </xf>
    <xf numFmtId="164" fontId="24" fillId="0" borderId="0" xfId="1" applyNumberFormat="1" applyFont="1" applyBorder="1" applyAlignment="1">
      <alignment horizontal="left"/>
    </xf>
    <xf numFmtId="0" fontId="11" fillId="3" borderId="29" xfId="0" applyFont="1" applyFill="1" applyBorder="1" applyAlignment="1">
      <alignment horizontal="centerContinuous" wrapText="1"/>
    </xf>
    <xf numFmtId="0" fontId="11" fillId="3" borderId="29" xfId="0" quotePrefix="1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47" fillId="0" borderId="0" xfId="0" applyFont="1"/>
    <xf numFmtId="0" fontId="11" fillId="3" borderId="40" xfId="0" applyFont="1" applyFill="1" applyBorder="1" applyAlignment="1">
      <alignment horizontal="centerContinuous" wrapText="1"/>
    </xf>
    <xf numFmtId="0" fontId="11" fillId="3" borderId="40" xfId="0" applyFont="1" applyFill="1" applyBorder="1" applyAlignment="1">
      <alignment horizontal="center"/>
    </xf>
    <xf numFmtId="0" fontId="47" fillId="0" borderId="1" xfId="0" quotePrefix="1" applyFont="1" applyBorder="1" applyAlignment="1">
      <alignment horizontal="left"/>
    </xf>
    <xf numFmtId="0" fontId="47" fillId="0" borderId="1" xfId="0" applyFont="1" applyBorder="1"/>
    <xf numFmtId="164" fontId="47" fillId="0" borderId="1" xfId="1" applyNumberFormat="1" applyFont="1" applyBorder="1" applyAlignment="1">
      <alignment horizontal="centerContinuous"/>
    </xf>
    <xf numFmtId="186" fontId="15" fillId="0" borderId="1" xfId="1" applyNumberFormat="1" applyFont="1" applyBorder="1" applyAlignment="1">
      <alignment horizontal="center"/>
    </xf>
    <xf numFmtId="188" fontId="15" fillId="0" borderId="1" xfId="1" applyNumberFormat="1" applyFont="1" applyBorder="1" applyAlignment="1">
      <alignment horizontal="center"/>
    </xf>
    <xf numFmtId="172" fontId="15" fillId="0" borderId="1" xfId="1" applyNumberFormat="1" applyFont="1" applyBorder="1" applyAlignment="1">
      <alignment horizontal="center"/>
    </xf>
    <xf numFmtId="2" fontId="47" fillId="0" borderId="1" xfId="1" applyNumberFormat="1" applyFont="1" applyBorder="1" applyAlignment="1">
      <alignment horizontal="centerContinuous"/>
    </xf>
    <xf numFmtId="4" fontId="47" fillId="0" borderId="1" xfId="1" applyNumberFormat="1" applyFont="1" applyBorder="1" applyAlignment="1">
      <alignment horizontal="centerContinuous"/>
    </xf>
    <xf numFmtId="0" fontId="50" fillId="0" borderId="1" xfId="0" quotePrefix="1" applyFont="1" applyBorder="1" applyAlignment="1">
      <alignment horizontal="left"/>
    </xf>
    <xf numFmtId="0" fontId="50" fillId="0" borderId="1" xfId="0" applyFont="1" applyBorder="1"/>
    <xf numFmtId="0" fontId="50" fillId="0" borderId="0" xfId="0" applyFont="1" applyBorder="1"/>
    <xf numFmtId="0" fontId="47" fillId="0" borderId="0" xfId="0" applyFont="1" applyBorder="1"/>
    <xf numFmtId="4" fontId="50" fillId="0" borderId="0" xfId="0" applyNumberFormat="1" applyFont="1" applyBorder="1" applyAlignment="1">
      <alignment horizontal="right"/>
    </xf>
    <xf numFmtId="0" fontId="11" fillId="3" borderId="1" xfId="0" applyFont="1" applyFill="1" applyBorder="1" applyAlignment="1">
      <alignment horizontal="centerContinuous"/>
    </xf>
    <xf numFmtId="0" fontId="11" fillId="3" borderId="1" xfId="0" applyFont="1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3" fontId="47" fillId="0" borderId="1" xfId="1" applyNumberFormat="1" applyFont="1" applyBorder="1" applyAlignment="1">
      <alignment horizontal="center"/>
    </xf>
    <xf numFmtId="185" fontId="15" fillId="0" borderId="1" xfId="1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Continuous"/>
    </xf>
    <xf numFmtId="3" fontId="50" fillId="0" borderId="1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Continuous"/>
    </xf>
    <xf numFmtId="3" fontId="50" fillId="0" borderId="0" xfId="0" applyNumberFormat="1" applyFont="1" applyBorder="1" applyAlignment="1">
      <alignment horizontal="center"/>
    </xf>
    <xf numFmtId="0" fontId="43" fillId="0" borderId="0" xfId="0" applyFont="1"/>
    <xf numFmtId="3" fontId="51" fillId="0" borderId="0" xfId="0" applyNumberFormat="1" applyFont="1" applyBorder="1" applyAlignment="1">
      <alignment horizontal="centerContinuous"/>
    </xf>
    <xf numFmtId="164" fontId="43" fillId="0" borderId="0" xfId="1" applyNumberFormat="1" applyFont="1" applyBorder="1" applyAlignment="1">
      <alignment horizontal="left"/>
    </xf>
    <xf numFmtId="0" fontId="52" fillId="0" borderId="0" xfId="0" applyFont="1"/>
    <xf numFmtId="0" fontId="51" fillId="0" borderId="0" xfId="0" applyFont="1" applyBorder="1"/>
    <xf numFmtId="41" fontId="47" fillId="0" borderId="1" xfId="0" applyNumberFormat="1" applyFont="1" applyBorder="1" applyAlignment="1">
      <alignment horizontal="centerContinuous"/>
    </xf>
    <xf numFmtId="181" fontId="47" fillId="0" borderId="1" xfId="0" applyNumberFormat="1" applyFont="1" applyBorder="1" applyAlignment="1">
      <alignment horizontal="centerContinuous"/>
    </xf>
    <xf numFmtId="207" fontId="47" fillId="0" borderId="1" xfId="0" applyNumberFormat="1" applyFont="1" applyBorder="1" applyAlignment="1">
      <alignment horizontal="centerContinuous"/>
    </xf>
    <xf numFmtId="179" fontId="47" fillId="0" borderId="1" xfId="0" applyNumberFormat="1" applyFont="1" applyBorder="1" applyAlignment="1">
      <alignment horizontal="centerContinuous"/>
    </xf>
    <xf numFmtId="3" fontId="47" fillId="0" borderId="1" xfId="0" applyNumberFormat="1" applyFont="1" applyBorder="1" applyAlignment="1">
      <alignment horizontal="center"/>
    </xf>
    <xf numFmtId="183" fontId="47" fillId="0" borderId="1" xfId="0" applyNumberFormat="1" applyFont="1" applyBorder="1" applyAlignment="1">
      <alignment horizontal="centerContinuous"/>
    </xf>
    <xf numFmtId="170" fontId="47" fillId="0" borderId="1" xfId="0" applyNumberFormat="1" applyFont="1" applyBorder="1" applyAlignment="1">
      <alignment horizontal="centerContinuous"/>
    </xf>
    <xf numFmtId="204" fontId="47" fillId="0" borderId="1" xfId="0" applyNumberFormat="1" applyFont="1" applyBorder="1" applyAlignment="1">
      <alignment horizontal="centerContinuous"/>
    </xf>
    <xf numFmtId="198" fontId="47" fillId="0" borderId="1" xfId="0" applyNumberFormat="1" applyFont="1" applyBorder="1" applyAlignment="1">
      <alignment horizontal="centerContinuous"/>
    </xf>
    <xf numFmtId="197" fontId="47" fillId="0" borderId="1" xfId="0" applyNumberFormat="1" applyFont="1" applyBorder="1" applyAlignment="1">
      <alignment horizontal="centerContinuous"/>
    </xf>
    <xf numFmtId="201" fontId="47" fillId="0" borderId="1" xfId="0" applyNumberFormat="1" applyFont="1" applyBorder="1" applyAlignment="1">
      <alignment horizontal="centerContinuous"/>
    </xf>
    <xf numFmtId="198" fontId="50" fillId="0" borderId="1" xfId="0" applyNumberFormat="1" applyFont="1" applyBorder="1" applyAlignment="1">
      <alignment horizontal="centerContinuous"/>
    </xf>
    <xf numFmtId="197" fontId="50" fillId="0" borderId="1" xfId="0" applyNumberFormat="1" applyFont="1" applyBorder="1" applyAlignment="1">
      <alignment horizontal="centerContinuous"/>
    </xf>
    <xf numFmtId="0" fontId="53" fillId="0" borderId="0" xfId="0" quotePrefix="1" applyFont="1" applyAlignment="1">
      <alignment horizontal="left"/>
    </xf>
    <xf numFmtId="0" fontId="53" fillId="0" borderId="0" xfId="0" applyFont="1"/>
    <xf numFmtId="0" fontId="54" fillId="0" borderId="0" xfId="0" applyFont="1"/>
    <xf numFmtId="17" fontId="55" fillId="0" borderId="8" xfId="0" applyNumberFormat="1" applyFont="1" applyBorder="1" applyAlignment="1">
      <alignment horizontal="left"/>
    </xf>
    <xf numFmtId="0" fontId="47" fillId="0" borderId="29" xfId="0" applyFont="1" applyBorder="1"/>
    <xf numFmtId="0" fontId="47" fillId="0" borderId="2" xfId="0" applyFont="1" applyBorder="1"/>
    <xf numFmtId="183" fontId="47" fillId="0" borderId="8" xfId="0" applyNumberFormat="1" applyFont="1" applyBorder="1" applyAlignment="1">
      <alignment horizontal="centerContinuous"/>
    </xf>
    <xf numFmtId="17" fontId="47" fillId="0" borderId="53" xfId="0" applyNumberFormat="1" applyFont="1" applyBorder="1" applyAlignment="1">
      <alignment horizontal="right"/>
    </xf>
    <xf numFmtId="17" fontId="55" fillId="0" borderId="6" xfId="0" applyNumberFormat="1" applyFont="1" applyBorder="1" applyAlignment="1">
      <alignment horizontal="left"/>
    </xf>
    <xf numFmtId="3" fontId="47" fillId="0" borderId="38" xfId="1" applyNumberFormat="1" applyFont="1" applyBorder="1"/>
    <xf numFmtId="1" fontId="47" fillId="0" borderId="7" xfId="0" applyNumberFormat="1" applyFont="1" applyBorder="1"/>
    <xf numFmtId="1" fontId="47" fillId="0" borderId="38" xfId="0" applyNumberFormat="1" applyFont="1" applyBorder="1"/>
    <xf numFmtId="3" fontId="47" fillId="0" borderId="39" xfId="1" applyNumberFormat="1" applyFont="1" applyBorder="1"/>
    <xf numFmtId="17" fontId="50" fillId="0" borderId="18" xfId="0" applyNumberFormat="1" applyFont="1" applyBorder="1" applyAlignment="1">
      <alignment horizontal="left"/>
    </xf>
    <xf numFmtId="0" fontId="56" fillId="0" borderId="0" xfId="0" applyFont="1"/>
    <xf numFmtId="9" fontId="47" fillId="0" borderId="0" xfId="2" applyFont="1"/>
    <xf numFmtId="0" fontId="50" fillId="0" borderId="8" xfId="0" applyFont="1" applyBorder="1" applyAlignment="1">
      <alignment horizontal="left"/>
    </xf>
    <xf numFmtId="169" fontId="47" fillId="0" borderId="1" xfId="0" applyNumberFormat="1" applyFont="1" applyBorder="1" applyAlignment="1">
      <alignment horizontal="right"/>
    </xf>
    <xf numFmtId="206" fontId="47" fillId="0" borderId="2" xfId="0" applyNumberFormat="1" applyFont="1" applyBorder="1" applyAlignment="1">
      <alignment horizontal="centerContinuous"/>
    </xf>
    <xf numFmtId="17" fontId="50" fillId="0" borderId="8" xfId="0" applyNumberFormat="1" applyFont="1" applyBorder="1" applyAlignment="1">
      <alignment horizontal="left"/>
    </xf>
    <xf numFmtId="165" fontId="47" fillId="0" borderId="1" xfId="0" applyNumberFormat="1" applyFont="1" applyBorder="1" applyAlignment="1">
      <alignment horizontal="right"/>
    </xf>
    <xf numFmtId="164" fontId="47" fillId="0" borderId="1" xfId="0" applyNumberFormat="1" applyFont="1" applyBorder="1" applyAlignment="1">
      <alignment horizontal="right"/>
    </xf>
    <xf numFmtId="167" fontId="47" fillId="0" borderId="1" xfId="1" applyNumberFormat="1" applyFont="1" applyBorder="1" applyAlignment="1">
      <alignment horizontal="right"/>
    </xf>
    <xf numFmtId="164" fontId="50" fillId="0" borderId="2" xfId="0" applyNumberFormat="1" applyFont="1" applyBorder="1"/>
    <xf numFmtId="183" fontId="47" fillId="0" borderId="18" xfId="0" applyNumberFormat="1" applyFont="1" applyBorder="1" applyAlignment="1">
      <alignment horizontal="centerContinuous"/>
    </xf>
    <xf numFmtId="167" fontId="47" fillId="0" borderId="69" xfId="1" applyNumberFormat="1" applyFont="1" applyBorder="1" applyAlignment="1">
      <alignment horizontal="right"/>
    </xf>
    <xf numFmtId="194" fontId="47" fillId="0" borderId="47" xfId="0" applyNumberFormat="1" applyFont="1" applyBorder="1" applyAlignment="1">
      <alignment horizontal="centerContinuous"/>
    </xf>
    <xf numFmtId="0" fontId="57" fillId="0" borderId="0" xfId="0" applyFont="1"/>
    <xf numFmtId="0" fontId="57" fillId="0" borderId="17" xfId="0" applyFont="1" applyBorder="1"/>
    <xf numFmtId="0" fontId="47" fillId="3" borderId="24" xfId="0" applyNumberFormat="1" applyFont="1" applyFill="1" applyBorder="1" applyAlignment="1">
      <alignment horizontal="right"/>
    </xf>
    <xf numFmtId="167" fontId="47" fillId="3" borderId="31" xfId="1" applyNumberFormat="1" applyFont="1" applyFill="1" applyBorder="1" applyAlignment="1">
      <alignment horizontal="right"/>
    </xf>
    <xf numFmtId="167" fontId="50" fillId="3" borderId="38" xfId="1" applyNumberFormat="1" applyFont="1" applyFill="1" applyBorder="1" applyAlignment="1">
      <alignment horizontal="center"/>
    </xf>
    <xf numFmtId="0" fontId="50" fillId="3" borderId="33" xfId="0" applyFont="1" applyFill="1" applyBorder="1" applyAlignment="1">
      <alignment horizontal="center"/>
    </xf>
    <xf numFmtId="0" fontId="57" fillId="0" borderId="0" xfId="0" applyFont="1" applyBorder="1"/>
    <xf numFmtId="0" fontId="50" fillId="0" borderId="34" xfId="0" applyNumberFormat="1" applyFont="1" applyBorder="1" applyAlignment="1">
      <alignment horizontal="left"/>
    </xf>
    <xf numFmtId="167" fontId="47" fillId="0" borderId="4" xfId="1" applyNumberFormat="1" applyFont="1" applyBorder="1" applyAlignment="1">
      <alignment horizontal="right"/>
    </xf>
    <xf numFmtId="166" fontId="47" fillId="0" borderId="1" xfId="1" applyNumberFormat="1" applyFont="1" applyBorder="1" applyAlignment="1">
      <alignment horizontal="center"/>
    </xf>
    <xf numFmtId="166" fontId="47" fillId="0" borderId="2" xfId="1" applyNumberFormat="1" applyFont="1" applyBorder="1" applyAlignment="1">
      <alignment horizontal="center"/>
    </xf>
    <xf numFmtId="0" fontId="50" fillId="0" borderId="17" xfId="0" applyFont="1" applyBorder="1" applyAlignment="1">
      <alignment vertical="center" wrapText="1"/>
    </xf>
    <xf numFmtId="3" fontId="47" fillId="0" borderId="25" xfId="0" applyNumberFormat="1" applyFont="1" applyBorder="1" applyAlignment="1">
      <alignment horizontal="centerContinuous" wrapText="1"/>
    </xf>
    <xf numFmtId="0" fontId="50" fillId="0" borderId="0" xfId="0" applyFont="1" applyBorder="1" applyAlignment="1">
      <alignment vertical="center" wrapText="1"/>
    </xf>
    <xf numFmtId="13" fontId="56" fillId="0" borderId="61" xfId="0" applyNumberFormat="1" applyFont="1" applyBorder="1" applyAlignment="1"/>
    <xf numFmtId="166" fontId="47" fillId="0" borderId="9" xfId="1" applyNumberFormat="1" applyFont="1" applyBorder="1" applyAlignment="1">
      <alignment horizontal="center"/>
    </xf>
    <xf numFmtId="166" fontId="47" fillId="0" borderId="5" xfId="1" applyNumberFormat="1" applyFont="1" applyBorder="1" applyAlignment="1">
      <alignment horizontal="center"/>
    </xf>
    <xf numFmtId="166" fontId="47" fillId="2" borderId="2" xfId="1" applyNumberFormat="1" applyFont="1" applyFill="1" applyBorder="1" applyAlignment="1">
      <alignment horizontal="center"/>
    </xf>
    <xf numFmtId="167" fontId="47" fillId="0" borderId="5" xfId="1" applyNumberFormat="1" applyFont="1" applyBorder="1" applyAlignment="1">
      <alignment horizontal="center"/>
    </xf>
    <xf numFmtId="167" fontId="47" fillId="0" borderId="0" xfId="1" applyNumberFormat="1" applyFont="1" applyBorder="1" applyAlignment="1">
      <alignment horizontal="right"/>
    </xf>
    <xf numFmtId="0" fontId="0" fillId="0" borderId="0" xfId="0" applyAlignment="1">
      <alignment horizontal="fill"/>
    </xf>
    <xf numFmtId="43" fontId="47" fillId="0" borderId="5" xfId="1" applyNumberFormat="1" applyFont="1" applyBorder="1" applyAlignment="1">
      <alignment horizontal="center"/>
    </xf>
    <xf numFmtId="0" fontId="50" fillId="0" borderId="64" xfId="0" applyNumberFormat="1" applyFont="1" applyBorder="1" applyAlignment="1">
      <alignment horizontal="left"/>
    </xf>
    <xf numFmtId="167" fontId="47" fillId="0" borderId="68" xfId="1" applyNumberFormat="1" applyFont="1" applyBorder="1" applyAlignment="1">
      <alignment horizontal="right"/>
    </xf>
    <xf numFmtId="43" fontId="47" fillId="0" borderId="65" xfId="1" applyNumberFormat="1" applyFont="1" applyBorder="1" applyAlignment="1">
      <alignment horizontal="center"/>
    </xf>
    <xf numFmtId="166" fontId="47" fillId="2" borderId="47" xfId="1" applyNumberFormat="1" applyFont="1" applyFill="1" applyBorder="1" applyAlignment="1">
      <alignment horizontal="center"/>
    </xf>
    <xf numFmtId="0" fontId="47" fillId="0" borderId="0" xfId="0" applyNumberFormat="1" applyFont="1" applyBorder="1" applyAlignment="1">
      <alignment horizontal="right"/>
    </xf>
    <xf numFmtId="167" fontId="47" fillId="0" borderId="0" xfId="1" applyNumberFormat="1" applyFont="1" applyBorder="1" applyAlignment="1">
      <alignment horizontal="center"/>
    </xf>
    <xf numFmtId="0" fontId="58" fillId="0" borderId="0" xfId="0" applyFont="1"/>
    <xf numFmtId="0" fontId="59" fillId="0" borderId="0" xfId="0" applyFont="1"/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60" fillId="0" borderId="0" xfId="0" applyFont="1"/>
    <xf numFmtId="166" fontId="15" fillId="0" borderId="29" xfId="0" applyNumberFormat="1" applyFont="1" applyBorder="1" applyAlignment="1">
      <alignment horizontal="right"/>
    </xf>
    <xf numFmtId="166" fontId="16" fillId="0" borderId="46" xfId="0" applyNumberFormat="1" applyFont="1" applyBorder="1"/>
    <xf numFmtId="167" fontId="47" fillId="0" borderId="70" xfId="1" applyNumberFormat="1" applyFont="1" applyBorder="1" applyAlignment="1">
      <alignment horizontal="right"/>
    </xf>
    <xf numFmtId="166" fontId="47" fillId="0" borderId="60" xfId="1" applyNumberFormat="1" applyFont="1" applyBorder="1" applyAlignment="1">
      <alignment horizontal="center"/>
    </xf>
    <xf numFmtId="198" fontId="50" fillId="0" borderId="0" xfId="0" applyNumberFormat="1" applyFont="1" applyBorder="1" applyAlignment="1">
      <alignment horizontal="centerContinuous"/>
    </xf>
    <xf numFmtId="197" fontId="50" fillId="0" borderId="0" xfId="0" applyNumberFormat="1" applyFont="1" applyBorder="1" applyAlignment="1">
      <alignment horizontal="centerContinuous"/>
    </xf>
    <xf numFmtId="3" fontId="50" fillId="0" borderId="1" xfId="1" applyNumberFormat="1" applyFont="1" applyBorder="1" applyAlignment="1">
      <alignment horizontal="center"/>
    </xf>
    <xf numFmtId="0" fontId="11" fillId="3" borderId="10" xfId="0" applyFont="1" applyFill="1" applyBorder="1" applyAlignment="1">
      <alignment horizontal="centerContinuous" wrapText="1"/>
    </xf>
    <xf numFmtId="0" fontId="11" fillId="3" borderId="7" xfId="0" applyFont="1" applyFill="1" applyBorder="1" applyAlignment="1">
      <alignment horizontal="centerContinuous"/>
    </xf>
    <xf numFmtId="0" fontId="11" fillId="3" borderId="33" xfId="0" applyFont="1" applyFill="1" applyBorder="1" applyAlignment="1">
      <alignment horizontal="centerContinuous"/>
    </xf>
    <xf numFmtId="0" fontId="11" fillId="3" borderId="11" xfId="0" applyFont="1" applyFill="1" applyBorder="1" applyAlignment="1">
      <alignment horizontal="centerContinuous" wrapText="1"/>
    </xf>
    <xf numFmtId="0" fontId="11" fillId="3" borderId="2" xfId="0" applyFont="1" applyFill="1" applyBorder="1" applyAlignment="1">
      <alignment horizontal="center"/>
    </xf>
    <xf numFmtId="0" fontId="11" fillId="3" borderId="38" xfId="0" quotePrefix="1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Continuous" wrapText="1"/>
    </xf>
    <xf numFmtId="0" fontId="11" fillId="3" borderId="41" xfId="0" applyFont="1" applyFill="1" applyBorder="1" applyAlignment="1">
      <alignment horizontal="center"/>
    </xf>
    <xf numFmtId="1" fontId="15" fillId="0" borderId="16" xfId="2" applyNumberFormat="1" applyFont="1" applyFill="1" applyBorder="1"/>
    <xf numFmtId="0" fontId="3" fillId="3" borderId="71" xfId="0" applyFont="1" applyFill="1" applyBorder="1"/>
    <xf numFmtId="3" fontId="15" fillId="3" borderId="32" xfId="0" applyNumberFormat="1" applyFont="1" applyFill="1" applyBorder="1"/>
    <xf numFmtId="0" fontId="15" fillId="3" borderId="43" xfId="0" applyFont="1" applyFill="1" applyBorder="1"/>
    <xf numFmtId="17" fontId="14" fillId="3" borderId="17" xfId="0" applyNumberFormat="1" applyFont="1" applyFill="1" applyBorder="1"/>
    <xf numFmtId="3" fontId="15" fillId="3" borderId="0" xfId="0" applyNumberFormat="1" applyFont="1" applyFill="1" applyBorder="1"/>
    <xf numFmtId="0" fontId="20" fillId="3" borderId="26" xfId="0" applyFont="1" applyFill="1" applyBorder="1"/>
    <xf numFmtId="17" fontId="14" fillId="3" borderId="20" xfId="0" applyNumberFormat="1" applyFont="1" applyFill="1" applyBorder="1"/>
    <xf numFmtId="3" fontId="15" fillId="3" borderId="22" xfId="0" applyNumberFormat="1" applyFont="1" applyFill="1" applyBorder="1"/>
    <xf numFmtId="0" fontId="15" fillId="3" borderId="21" xfId="0" applyFont="1" applyFill="1" applyBorder="1"/>
    <xf numFmtId="9" fontId="20" fillId="3" borderId="6" xfId="2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2" fontId="20" fillId="3" borderId="24" xfId="0" applyNumberFormat="1" applyFont="1" applyFill="1" applyBorder="1" applyAlignment="1"/>
    <xf numFmtId="0" fontId="13" fillId="3" borderId="15" xfId="0" applyFont="1" applyFill="1" applyBorder="1"/>
    <xf numFmtId="164" fontId="14" fillId="0" borderId="63" xfId="1" applyNumberFormat="1" applyFont="1" applyBorder="1"/>
    <xf numFmtId="43" fontId="15" fillId="0" borderId="13" xfId="1" applyFont="1" applyBorder="1" applyAlignment="1">
      <alignment horizontal="center"/>
    </xf>
    <xf numFmtId="4" fontId="15" fillId="0" borderId="13" xfId="1" applyNumberFormat="1" applyFont="1" applyBorder="1" applyAlignment="1">
      <alignment horizontal="centerContinuous"/>
    </xf>
    <xf numFmtId="208" fontId="15" fillId="2" borderId="8" xfId="0" applyNumberFormat="1" applyFont="1" applyFill="1" applyBorder="1" applyAlignment="1">
      <alignment horizontal="right"/>
    </xf>
    <xf numFmtId="208" fontId="15" fillId="2" borderId="48" xfId="0" applyNumberFormat="1" applyFont="1" applyFill="1" applyBorder="1" applyAlignment="1">
      <alignment horizontal="right"/>
    </xf>
    <xf numFmtId="208" fontId="15" fillId="2" borderId="11" xfId="0" applyNumberFormat="1" applyFont="1" applyFill="1" applyBorder="1" applyAlignment="1">
      <alignment horizontal="right"/>
    </xf>
    <xf numFmtId="208" fontId="15" fillId="2" borderId="18" xfId="0" applyNumberFormat="1" applyFont="1" applyFill="1" applyBorder="1" applyAlignment="1">
      <alignment horizontal="right"/>
    </xf>
    <xf numFmtId="208" fontId="47" fillId="0" borderId="1" xfId="0" applyNumberFormat="1" applyFont="1" applyBorder="1"/>
    <xf numFmtId="208" fontId="47" fillId="0" borderId="1" xfId="0" applyNumberFormat="1" applyFont="1" applyFill="1" applyBorder="1" applyAlignment="1">
      <alignment horizontal="right"/>
    </xf>
    <xf numFmtId="208" fontId="47" fillId="0" borderId="5" xfId="0" applyNumberFormat="1" applyFont="1" applyFill="1" applyBorder="1" applyAlignment="1">
      <alignment horizontal="right"/>
    </xf>
    <xf numFmtId="209" fontId="47" fillId="0" borderId="1" xfId="1" applyNumberFormat="1" applyFont="1" applyBorder="1" applyAlignment="1">
      <alignment horizontal="center"/>
    </xf>
    <xf numFmtId="210" fontId="47" fillId="0" borderId="1" xfId="1" applyNumberFormat="1" applyFont="1" applyBorder="1" applyAlignment="1">
      <alignment horizontal="center"/>
    </xf>
    <xf numFmtId="211" fontId="47" fillId="0" borderId="1" xfId="1" applyNumberFormat="1" applyFont="1" applyBorder="1" applyAlignment="1">
      <alignment horizontal="center"/>
    </xf>
    <xf numFmtId="212" fontId="47" fillId="0" borderId="1" xfId="0" applyNumberFormat="1" applyFont="1" applyBorder="1" applyAlignment="1">
      <alignment horizontal="centerContinuous"/>
    </xf>
    <xf numFmtId="193" fontId="47" fillId="0" borderId="1" xfId="0" applyNumberFormat="1" applyFont="1" applyBorder="1" applyAlignment="1">
      <alignment horizontal="centerContinuous"/>
    </xf>
    <xf numFmtId="0" fontId="47" fillId="0" borderId="0" xfId="0" applyNumberFormat="1" applyFont="1"/>
    <xf numFmtId="213" fontId="47" fillId="0" borderId="1" xfId="1" applyNumberFormat="1" applyFont="1" applyBorder="1" applyAlignment="1">
      <alignment horizontal="center"/>
    </xf>
    <xf numFmtId="214" fontId="47" fillId="0" borderId="1" xfId="0" applyNumberFormat="1" applyFont="1" applyBorder="1" applyAlignment="1">
      <alignment horizontal="centerContinuous"/>
    </xf>
    <xf numFmtId="193" fontId="47" fillId="0" borderId="29" xfId="0" applyNumberFormat="1" applyFont="1" applyBorder="1" applyAlignment="1">
      <alignment horizontal="centerContinuous"/>
    </xf>
    <xf numFmtId="212" fontId="47" fillId="0" borderId="29" xfId="0" applyNumberFormat="1" applyFont="1" applyBorder="1" applyAlignment="1">
      <alignment horizontal="centerContinuous"/>
    </xf>
    <xf numFmtId="193" fontId="47" fillId="0" borderId="67" xfId="0" applyNumberFormat="1" applyFont="1" applyBorder="1" applyAlignment="1">
      <alignment horizontal="centerContinuous"/>
    </xf>
    <xf numFmtId="212" fontId="47" fillId="0" borderId="67" xfId="0" applyNumberFormat="1" applyFont="1" applyBorder="1" applyAlignment="1">
      <alignment horizontal="centerContinuous"/>
    </xf>
    <xf numFmtId="214" fontId="47" fillId="0" borderId="29" xfId="0" applyNumberFormat="1" applyFont="1" applyBorder="1" applyAlignment="1">
      <alignment horizontal="centerContinuous"/>
    </xf>
    <xf numFmtId="214" fontId="47" fillId="0" borderId="67" xfId="0" applyNumberFormat="1" applyFont="1" applyBorder="1" applyAlignment="1">
      <alignment horizontal="centerContinuous"/>
    </xf>
    <xf numFmtId="212" fontId="47" fillId="0" borderId="72" xfId="0" applyNumberFormat="1" applyFont="1" applyBorder="1" applyAlignment="1">
      <alignment horizontal="centerContinuous"/>
    </xf>
    <xf numFmtId="212" fontId="47" fillId="0" borderId="2" xfId="0" applyNumberFormat="1" applyFont="1" applyBorder="1" applyAlignment="1">
      <alignment horizontal="centerContinuous"/>
    </xf>
    <xf numFmtId="212" fontId="47" fillId="0" borderId="47" xfId="0" applyNumberFormat="1" applyFont="1" applyBorder="1" applyAlignment="1">
      <alignment horizontal="centerContinuous"/>
    </xf>
    <xf numFmtId="3" fontId="16" fillId="0" borderId="13" xfId="1" applyNumberFormat="1" applyFont="1" applyBorder="1" applyAlignment="1">
      <alignment horizontal="center"/>
    </xf>
    <xf numFmtId="216" fontId="15" fillId="0" borderId="1" xfId="0" applyNumberFormat="1" applyFont="1" applyBorder="1" applyAlignment="1">
      <alignment horizontal="centerContinuous"/>
    </xf>
    <xf numFmtId="0" fontId="62" fillId="0" borderId="0" xfId="0" applyFont="1"/>
    <xf numFmtId="4" fontId="47" fillId="0" borderId="1" xfId="0" applyNumberFormat="1" applyFont="1" applyBorder="1" applyAlignment="1">
      <alignment horizontal="center"/>
    </xf>
    <xf numFmtId="3" fontId="17" fillId="0" borderId="44" xfId="1" applyNumberFormat="1" applyFont="1" applyFill="1" applyBorder="1" applyAlignment="1"/>
    <xf numFmtId="3" fontId="36" fillId="0" borderId="13" xfId="0" applyNumberFormat="1" applyFont="1" applyFill="1" applyBorder="1"/>
    <xf numFmtId="0" fontId="35" fillId="2" borderId="48" xfId="0" applyFont="1" applyFill="1" applyBorder="1"/>
    <xf numFmtId="0" fontId="0" fillId="0" borderId="61" xfId="0" applyBorder="1"/>
    <xf numFmtId="2" fontId="35" fillId="0" borderId="58" xfId="0" applyNumberFormat="1" applyFont="1" applyFill="1" applyBorder="1"/>
    <xf numFmtId="0" fontId="5" fillId="0" borderId="0" xfId="0" applyNumberFormat="1" applyFont="1"/>
    <xf numFmtId="215" fontId="16" fillId="0" borderId="13" xfId="1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centerContinuous"/>
    </xf>
    <xf numFmtId="3" fontId="25" fillId="0" borderId="23" xfId="0" applyNumberFormat="1" applyFont="1" applyBorder="1" applyAlignment="1">
      <alignment horizontal="left"/>
    </xf>
    <xf numFmtId="4" fontId="15" fillId="0" borderId="13" xfId="1" applyNumberFormat="1" applyFont="1" applyBorder="1" applyAlignment="1">
      <alignment horizontal="center"/>
    </xf>
    <xf numFmtId="0" fontId="47" fillId="0" borderId="1" xfId="0" applyFont="1" applyBorder="1" applyAlignment="1">
      <alignment horizontal="centerContinuous"/>
    </xf>
    <xf numFmtId="17" fontId="35" fillId="2" borderId="10" xfId="0" applyNumberFormat="1" applyFont="1" applyFill="1" applyBorder="1"/>
    <xf numFmtId="3" fontId="36" fillId="0" borderId="38" xfId="1" applyNumberFormat="1" applyFont="1" applyBorder="1"/>
    <xf numFmtId="10" fontId="17" fillId="0" borderId="38" xfId="2" applyNumberFormat="1" applyFont="1" applyBorder="1" applyAlignment="1">
      <alignment horizontal="right"/>
    </xf>
    <xf numFmtId="1" fontId="17" fillId="0" borderId="38" xfId="0" applyNumberFormat="1" applyFont="1" applyBorder="1"/>
    <xf numFmtId="3" fontId="37" fillId="0" borderId="14" xfId="0" applyNumberFormat="1" applyFont="1" applyBorder="1"/>
    <xf numFmtId="3" fontId="17" fillId="0" borderId="14" xfId="0" applyNumberFormat="1" applyFont="1" applyBorder="1"/>
    <xf numFmtId="2" fontId="17" fillId="0" borderId="39" xfId="0" applyNumberFormat="1" applyFont="1" applyBorder="1" applyAlignment="1">
      <alignment horizontal="right"/>
    </xf>
    <xf numFmtId="17" fontId="35" fillId="2" borderId="18" xfId="0" applyNumberFormat="1" applyFont="1" applyFill="1" applyBorder="1"/>
    <xf numFmtId="3" fontId="36" fillId="0" borderId="13" xfId="1" applyNumberFormat="1" applyFont="1" applyBorder="1"/>
    <xf numFmtId="3" fontId="37" fillId="0" borderId="65" xfId="0" applyNumberFormat="1" applyFont="1" applyBorder="1"/>
    <xf numFmtId="3" fontId="17" fillId="0" borderId="65" xfId="0" applyNumberFormat="1" applyFont="1" applyBorder="1"/>
    <xf numFmtId="3" fontId="17" fillId="0" borderId="14" xfId="0" applyNumberFormat="1" applyFont="1" applyFill="1" applyBorder="1"/>
    <xf numFmtId="2" fontId="35" fillId="0" borderId="45" xfId="0" applyNumberFormat="1" applyFont="1" applyFill="1" applyBorder="1"/>
    <xf numFmtId="3" fontId="17" fillId="0" borderId="65" xfId="0" applyNumberFormat="1" applyFont="1" applyFill="1" applyBorder="1"/>
    <xf numFmtId="164" fontId="36" fillId="0" borderId="29" xfId="2" applyNumberFormat="1" applyFont="1" applyBorder="1" applyAlignment="1">
      <alignment horizontal="right"/>
    </xf>
    <xf numFmtId="3" fontId="36" fillId="0" borderId="13" xfId="2" applyNumberFormat="1" applyFont="1" applyBorder="1" applyAlignment="1">
      <alignment horizontal="right"/>
    </xf>
    <xf numFmtId="3" fontId="36" fillId="0" borderId="29" xfId="1" applyNumberFormat="1" applyFont="1" applyBorder="1"/>
    <xf numFmtId="3" fontId="17" fillId="0" borderId="44" xfId="0" applyNumberFormat="1" applyFont="1" applyBorder="1"/>
    <xf numFmtId="3" fontId="17" fillId="0" borderId="44" xfId="0" applyNumberFormat="1" applyFont="1" applyFill="1" applyBorder="1"/>
    <xf numFmtId="0" fontId="3" fillId="0" borderId="51" xfId="0" applyFont="1" applyBorder="1" applyAlignment="1">
      <alignment wrapText="1"/>
    </xf>
    <xf numFmtId="0" fontId="3" fillId="0" borderId="73" xfId="0" applyFont="1" applyBorder="1" applyAlignment="1"/>
    <xf numFmtId="0" fontId="0" fillId="0" borderId="45" xfId="0" applyBorder="1" applyAlignment="1">
      <alignment horizontal="centerContinuous"/>
    </xf>
    <xf numFmtId="3" fontId="0" fillId="0" borderId="44" xfId="0" applyNumberFormat="1" applyBorder="1" applyAlignment="1">
      <alignment horizontal="centerContinuous"/>
    </xf>
    <xf numFmtId="3" fontId="25" fillId="0" borderId="45" xfId="1" applyNumberFormat="1" applyFont="1" applyBorder="1" applyAlignment="1">
      <alignment horizontal="left"/>
    </xf>
    <xf numFmtId="0" fontId="0" fillId="0" borderId="46" xfId="0" applyBorder="1" applyAlignment="1">
      <alignment horizontal="centerContinuous"/>
    </xf>
    <xf numFmtId="0" fontId="0" fillId="0" borderId="66" xfId="0" applyBorder="1" applyAlignment="1">
      <alignment horizontal="centerContinuous"/>
    </xf>
    <xf numFmtId="0" fontId="24" fillId="0" borderId="24" xfId="0" applyFont="1" applyFill="1" applyBorder="1" applyAlignment="1">
      <alignment horizontal="centerContinuous"/>
    </xf>
    <xf numFmtId="0" fontId="63" fillId="4" borderId="17" xfId="0" applyFont="1" applyFill="1" applyBorder="1" applyAlignment="1">
      <alignment horizontal="center"/>
    </xf>
    <xf numFmtId="0" fontId="44" fillId="4" borderId="35" xfId="0" applyFont="1" applyFill="1" applyBorder="1" applyAlignment="1">
      <alignment horizontal="centerContinuous"/>
    </xf>
    <xf numFmtId="3" fontId="44" fillId="4" borderId="0" xfId="0" applyNumberFormat="1" applyFont="1" applyFill="1" applyBorder="1" applyAlignment="1">
      <alignment horizontal="centerContinuous"/>
    </xf>
    <xf numFmtId="3" fontId="44" fillId="4" borderId="35" xfId="1" applyNumberFormat="1" applyFont="1" applyFill="1" applyBorder="1" applyAlignment="1">
      <alignment horizontal="left"/>
    </xf>
    <xf numFmtId="3" fontId="44" fillId="4" borderId="35" xfId="0" applyNumberFormat="1" applyFont="1" applyFill="1" applyBorder="1" applyAlignment="1">
      <alignment horizontal="centerContinuous"/>
    </xf>
    <xf numFmtId="10" fontId="44" fillId="4" borderId="0" xfId="0" applyNumberFormat="1" applyFont="1" applyFill="1" applyBorder="1" applyAlignment="1">
      <alignment horizontal="centerContinuous"/>
    </xf>
    <xf numFmtId="0" fontId="44" fillId="4" borderId="26" xfId="0" applyFont="1" applyFill="1" applyBorder="1" applyAlignment="1">
      <alignment horizontal="centerContinuous"/>
    </xf>
    <xf numFmtId="0" fontId="10" fillId="0" borderId="0" xfId="0" applyFont="1"/>
    <xf numFmtId="0" fontId="24" fillId="0" borderId="20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3" fontId="25" fillId="0" borderId="74" xfId="1" applyNumberFormat="1" applyFont="1" applyBorder="1" applyAlignment="1">
      <alignment horizontal="left"/>
    </xf>
    <xf numFmtId="10" fontId="0" fillId="0" borderId="67" xfId="0" applyNumberFormat="1" applyBorder="1" applyAlignment="1">
      <alignment horizontal="centerContinuous"/>
    </xf>
    <xf numFmtId="0" fontId="0" fillId="0" borderId="74" xfId="0" applyBorder="1" applyAlignment="1">
      <alignment horizontal="centerContinuous"/>
    </xf>
    <xf numFmtId="0" fontId="1" fillId="0" borderId="51" xfId="0" applyFont="1" applyBorder="1" applyAlignment="1"/>
    <xf numFmtId="0" fontId="0" fillId="0" borderId="30" xfId="0" applyBorder="1" applyAlignment="1"/>
    <xf numFmtId="166" fontId="0" fillId="0" borderId="30" xfId="1" applyNumberFormat="1" applyFont="1" applyBorder="1" applyAlignment="1">
      <alignment horizontal="centerContinuous"/>
    </xf>
    <xf numFmtId="10" fontId="0" fillId="0" borderId="9" xfId="0" applyNumberForma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1" fillId="4" borderId="20" xfId="0" applyFont="1" applyFill="1" applyBorder="1" applyAlignment="1">
      <alignment vertical="center" wrapText="1"/>
    </xf>
    <xf numFmtId="0" fontId="1" fillId="4" borderId="74" xfId="0" applyFont="1" applyFill="1" applyBorder="1" applyAlignment="1">
      <alignment vertical="center" wrapText="1"/>
    </xf>
    <xf numFmtId="3" fontId="1" fillId="4" borderId="22" xfId="0" applyNumberFormat="1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13" fontId="3" fillId="4" borderId="22" xfId="0" applyNumberFormat="1" applyFont="1" applyFill="1" applyBorder="1" applyAlignment="1"/>
    <xf numFmtId="0" fontId="0" fillId="4" borderId="21" xfId="0" applyFill="1" applyBorder="1" applyAlignment="1"/>
    <xf numFmtId="0" fontId="24" fillId="4" borderId="20" xfId="0" applyFont="1" applyFill="1" applyBorder="1" applyAlignment="1">
      <alignment horizontal="center"/>
    </xf>
    <xf numFmtId="0" fontId="24" fillId="4" borderId="74" xfId="0" applyFont="1" applyFill="1" applyBorder="1" applyAlignment="1">
      <alignment horizontal="center"/>
    </xf>
    <xf numFmtId="3" fontId="0" fillId="4" borderId="22" xfId="0" applyNumberFormat="1" applyFill="1" applyBorder="1" applyAlignment="1">
      <alignment horizontal="centerContinuous"/>
    </xf>
    <xf numFmtId="3" fontId="25" fillId="4" borderId="22" xfId="1" applyNumberFormat="1" applyFont="1" applyFill="1" applyBorder="1" applyAlignment="1">
      <alignment horizontal="left"/>
    </xf>
    <xf numFmtId="10" fontId="0" fillId="4" borderId="22" xfId="0" applyNumberFormat="1" applyFill="1" applyBorder="1" applyAlignment="1">
      <alignment horizontal="centerContinuous"/>
    </xf>
    <xf numFmtId="0" fontId="0" fillId="4" borderId="21" xfId="0" applyFill="1" applyBorder="1" applyAlignment="1">
      <alignment horizontal="centerContinuous"/>
    </xf>
    <xf numFmtId="4" fontId="15" fillId="0" borderId="29" xfId="1" applyNumberFormat="1" applyFont="1" applyBorder="1" applyAlignment="1">
      <alignment horizontal="center"/>
    </xf>
    <xf numFmtId="43" fontId="15" fillId="0" borderId="29" xfId="1" applyFont="1" applyBorder="1" applyAlignment="1">
      <alignment horizontal="center"/>
    </xf>
    <xf numFmtId="14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4" fillId="3" borderId="20" xfId="0" applyNumberFormat="1" applyFont="1" applyFill="1" applyBorder="1" applyAlignment="1">
      <alignment horizontal="left"/>
    </xf>
    <xf numFmtId="167" fontId="25" fillId="3" borderId="22" xfId="1" applyNumberFormat="1" applyFont="1" applyFill="1" applyBorder="1" applyAlignment="1">
      <alignment horizontal="right"/>
    </xf>
    <xf numFmtId="167" fontId="24" fillId="3" borderId="67" xfId="1" applyNumberFormat="1" applyFont="1" applyFill="1" applyBorder="1" applyAlignment="1">
      <alignment horizontal="center"/>
    </xf>
    <xf numFmtId="0" fontId="24" fillId="3" borderId="72" xfId="0" applyFont="1" applyFill="1" applyBorder="1" applyAlignment="1">
      <alignment horizontal="center"/>
    </xf>
    <xf numFmtId="0" fontId="24" fillId="3" borderId="22" xfId="0" applyFont="1" applyFill="1" applyBorder="1"/>
    <xf numFmtId="167" fontId="25" fillId="3" borderId="21" xfId="1" applyNumberFormat="1" applyFont="1" applyFill="1" applyBorder="1" applyAlignment="1">
      <alignment horizontal="right"/>
    </xf>
    <xf numFmtId="0" fontId="24" fillId="0" borderId="51" xfId="0" applyNumberFormat="1" applyFont="1" applyBorder="1" applyAlignment="1">
      <alignment horizontal="left"/>
    </xf>
    <xf numFmtId="167" fontId="25" fillId="0" borderId="59" xfId="1" applyNumberFormat="1" applyFont="1" applyBorder="1" applyAlignment="1">
      <alignment horizontal="right"/>
    </xf>
    <xf numFmtId="166" fontId="25" fillId="0" borderId="40" xfId="1" applyNumberFormat="1" applyFont="1" applyBorder="1" applyAlignment="1">
      <alignment horizontal="center"/>
    </xf>
    <xf numFmtId="166" fontId="25" fillId="0" borderId="9" xfId="1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left"/>
    </xf>
    <xf numFmtId="167" fontId="25" fillId="0" borderId="4" xfId="1" applyNumberFormat="1" applyFont="1" applyBorder="1" applyAlignment="1">
      <alignment horizontal="right"/>
    </xf>
    <xf numFmtId="166" fontId="25" fillId="0" borderId="1" xfId="1" applyNumberFormat="1" applyFont="1" applyBorder="1" applyAlignment="1">
      <alignment horizontal="center"/>
    </xf>
    <xf numFmtId="166" fontId="25" fillId="0" borderId="5" xfId="1" applyNumberFormat="1" applyFont="1" applyBorder="1" applyAlignment="1">
      <alignment horizontal="center"/>
    </xf>
    <xf numFmtId="0" fontId="25" fillId="0" borderId="2" xfId="0" applyFont="1" applyBorder="1"/>
    <xf numFmtId="0" fontId="25" fillId="0" borderId="60" xfId="0" applyFont="1" applyBorder="1"/>
    <xf numFmtId="0" fontId="25" fillId="0" borderId="41" xfId="0" applyFont="1" applyBorder="1"/>
    <xf numFmtId="0" fontId="24" fillId="0" borderId="64" xfId="0" applyNumberFormat="1" applyFont="1" applyBorder="1" applyAlignment="1">
      <alignment horizontal="left"/>
    </xf>
    <xf numFmtId="0" fontId="29" fillId="3" borderId="29" xfId="0" applyFont="1" applyFill="1" applyBorder="1" applyAlignment="1">
      <alignment horizontal="centerContinuous" wrapText="1"/>
    </xf>
    <xf numFmtId="0" fontId="29" fillId="3" borderId="29" xfId="0" quotePrefix="1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Continuous"/>
    </xf>
    <xf numFmtId="0" fontId="29" fillId="3" borderId="40" xfId="0" applyFont="1" applyFill="1" applyBorder="1" applyAlignment="1">
      <alignment horizontal="centerContinuous" wrapText="1"/>
    </xf>
    <xf numFmtId="0" fontId="29" fillId="3" borderId="40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3" borderId="1" xfId="0" quotePrefix="1" applyFont="1" applyFill="1" applyBorder="1" applyAlignment="1">
      <alignment horizontal="center"/>
    </xf>
    <xf numFmtId="0" fontId="25" fillId="0" borderId="1" xfId="0" quotePrefix="1" applyFont="1" applyBorder="1" applyAlignment="1">
      <alignment horizontal="left"/>
    </xf>
    <xf numFmtId="0" fontId="25" fillId="0" borderId="1" xfId="0" applyFont="1" applyBorder="1"/>
    <xf numFmtId="208" fontId="25" fillId="0" borderId="1" xfId="0" applyNumberFormat="1" applyFont="1" applyBorder="1"/>
    <xf numFmtId="164" fontId="25" fillId="0" borderId="1" xfId="1" applyNumberFormat="1" applyFont="1" applyBorder="1" applyAlignment="1">
      <alignment horizontal="centerContinuous"/>
    </xf>
    <xf numFmtId="3" fontId="25" fillId="0" borderId="1" xfId="1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2" fontId="25" fillId="0" borderId="1" xfId="1" applyNumberFormat="1" applyFont="1" applyBorder="1" applyAlignment="1">
      <alignment horizontal="centerContinuous"/>
    </xf>
    <xf numFmtId="4" fontId="25" fillId="0" borderId="1" xfId="1" applyNumberFormat="1" applyFont="1" applyBorder="1" applyAlignment="1">
      <alignment horizontal="centerContinuous"/>
    </xf>
    <xf numFmtId="3" fontId="24" fillId="0" borderId="1" xfId="1" applyNumberFormat="1" applyFont="1" applyBorder="1" applyAlignment="1">
      <alignment horizontal="center"/>
    </xf>
    <xf numFmtId="0" fontId="24" fillId="0" borderId="1" xfId="0" quotePrefix="1" applyFont="1" applyBorder="1" applyAlignment="1">
      <alignment horizontal="left"/>
    </xf>
    <xf numFmtId="0" fontId="24" fillId="0" borderId="1" xfId="0" applyFont="1" applyBorder="1"/>
    <xf numFmtId="4" fontId="24" fillId="0" borderId="0" xfId="0" applyNumberFormat="1" applyFont="1" applyBorder="1" applyAlignment="1">
      <alignment horizontal="right"/>
    </xf>
    <xf numFmtId="208" fontId="25" fillId="0" borderId="1" xfId="0" applyNumberFormat="1" applyFont="1" applyFill="1" applyBorder="1" applyAlignment="1">
      <alignment horizontal="right"/>
    </xf>
    <xf numFmtId="41" fontId="25" fillId="0" borderId="1" xfId="0" applyNumberFormat="1" applyFont="1" applyBorder="1" applyAlignment="1">
      <alignment horizontal="centerContinuous"/>
    </xf>
    <xf numFmtId="181" fontId="25" fillId="0" borderId="1" xfId="0" applyNumberFormat="1" applyFont="1" applyBorder="1" applyAlignment="1">
      <alignment horizontal="centerContinuous"/>
    </xf>
    <xf numFmtId="207" fontId="25" fillId="0" borderId="1" xfId="0" applyNumberFormat="1" applyFont="1" applyBorder="1" applyAlignment="1">
      <alignment horizontal="centerContinuous"/>
    </xf>
    <xf numFmtId="179" fontId="25" fillId="0" borderId="1" xfId="0" applyNumberFormat="1" applyFont="1" applyBorder="1" applyAlignment="1">
      <alignment horizontal="centerContinuous"/>
    </xf>
    <xf numFmtId="179" fontId="24" fillId="0" borderId="1" xfId="0" applyNumberFormat="1" applyFont="1" applyBorder="1" applyAlignment="1">
      <alignment horizontal="centerContinuous"/>
    </xf>
    <xf numFmtId="3" fontId="24" fillId="0" borderId="0" xfId="0" applyNumberFormat="1" applyFont="1" applyBorder="1" applyAlignment="1">
      <alignment horizontal="centerContinuous"/>
    </xf>
    <xf numFmtId="3" fontId="24" fillId="0" borderId="0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Continuous"/>
    </xf>
    <xf numFmtId="2" fontId="25" fillId="0" borderId="1" xfId="0" applyNumberFormat="1" applyFont="1" applyBorder="1" applyAlignment="1">
      <alignment horizontal="centerContinuous"/>
    </xf>
    <xf numFmtId="3" fontId="24" fillId="0" borderId="1" xfId="0" applyNumberFormat="1" applyFont="1" applyBorder="1" applyAlignment="1">
      <alignment horizontal="centerContinuous"/>
    </xf>
    <xf numFmtId="209" fontId="25" fillId="0" borderId="1" xfId="1" applyNumberFormat="1" applyFont="1" applyBorder="1" applyAlignment="1">
      <alignment horizontal="center"/>
    </xf>
    <xf numFmtId="211" fontId="25" fillId="0" borderId="1" xfId="1" applyNumberFormat="1" applyFont="1" applyBorder="1" applyAlignment="1">
      <alignment horizontal="center"/>
    </xf>
    <xf numFmtId="213" fontId="25" fillId="0" borderId="1" xfId="1" applyNumberFormat="1" applyFont="1" applyBorder="1" applyAlignment="1">
      <alignment horizontal="center"/>
    </xf>
    <xf numFmtId="210" fontId="25" fillId="0" borderId="1" xfId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208" fontId="25" fillId="0" borderId="1" xfId="0" applyNumberFormat="1" applyFont="1" applyBorder="1" applyAlignment="1">
      <alignment horizontal="right"/>
    </xf>
    <xf numFmtId="198" fontId="24" fillId="0" borderId="0" xfId="0" applyNumberFormat="1" applyFont="1" applyBorder="1" applyAlignment="1">
      <alignment horizontal="centerContinuous"/>
    </xf>
    <xf numFmtId="197" fontId="24" fillId="0" borderId="0" xfId="0" applyNumberFormat="1" applyFont="1" applyBorder="1" applyAlignment="1">
      <alignment horizontal="centerContinuous"/>
    </xf>
    <xf numFmtId="169" fontId="25" fillId="0" borderId="1" xfId="0" applyNumberFormat="1" applyFont="1" applyBorder="1" applyAlignment="1">
      <alignment horizontal="right"/>
    </xf>
    <xf numFmtId="193" fontId="25" fillId="0" borderId="1" xfId="0" applyNumberFormat="1" applyFont="1" applyBorder="1" applyAlignment="1">
      <alignment horizontal="centerContinuous"/>
    </xf>
    <xf numFmtId="183" fontId="25" fillId="0" borderId="0" xfId="0" applyNumberFormat="1" applyFont="1" applyBorder="1" applyAlignment="1">
      <alignment horizontal="centerContinuous"/>
    </xf>
    <xf numFmtId="167" fontId="25" fillId="0" borderId="0" xfId="1" applyNumberFormat="1" applyFont="1" applyBorder="1" applyAlignment="1">
      <alignment horizontal="right"/>
    </xf>
    <xf numFmtId="194" fontId="25" fillId="0" borderId="0" xfId="0" applyNumberFormat="1" applyFont="1" applyBorder="1" applyAlignment="1">
      <alignment horizontal="centerContinuous"/>
    </xf>
    <xf numFmtId="193" fontId="25" fillId="0" borderId="0" xfId="0" applyNumberFormat="1" applyFont="1" applyBorder="1" applyAlignment="1">
      <alignment horizontal="centerContinuous"/>
    </xf>
    <xf numFmtId="4" fontId="15" fillId="0" borderId="47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183" fontId="25" fillId="0" borderId="1" xfId="0" applyNumberFormat="1" applyFont="1" applyBorder="1" applyAlignment="1">
      <alignment horizontal="centerContinuous"/>
    </xf>
    <xf numFmtId="0" fontId="29" fillId="3" borderId="1" xfId="0" applyFont="1" applyFill="1" applyBorder="1" applyAlignment="1">
      <alignment horizontal="centerContinuous" wrapText="1"/>
    </xf>
    <xf numFmtId="206" fontId="25" fillId="0" borderId="1" xfId="0" applyNumberFormat="1" applyFont="1" applyBorder="1" applyAlignment="1">
      <alignment horizontal="centerContinuous"/>
    </xf>
    <xf numFmtId="17" fontId="24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167" fontId="25" fillId="0" borderId="1" xfId="1" applyNumberFormat="1" applyFont="1" applyBorder="1" applyAlignment="1">
      <alignment horizontal="right"/>
    </xf>
    <xf numFmtId="164" fontId="24" fillId="0" borderId="1" xfId="0" applyNumberFormat="1" applyFont="1" applyBorder="1"/>
    <xf numFmtId="194" fontId="25" fillId="0" borderId="1" xfId="0" applyNumberFormat="1" applyFont="1" applyBorder="1" applyAlignment="1">
      <alignment horizontal="centerContinuous"/>
    </xf>
    <xf numFmtId="0" fontId="6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61" fillId="0" borderId="0" xfId="0" applyFont="1" applyAlignment="1">
      <alignment horizontal="left"/>
    </xf>
    <xf numFmtId="168" fontId="17" fillId="0" borderId="13" xfId="0" applyNumberFormat="1" applyFont="1" applyBorder="1" applyAlignment="1">
      <alignment horizontal="right"/>
    </xf>
    <xf numFmtId="168" fontId="17" fillId="0" borderId="29" xfId="0" applyNumberFormat="1" applyFont="1" applyBorder="1" applyAlignment="1">
      <alignment horizontal="right"/>
    </xf>
    <xf numFmtId="202" fontId="15" fillId="0" borderId="29" xfId="1" applyNumberFormat="1" applyFont="1" applyBorder="1" applyAlignment="1">
      <alignment horizontal="center"/>
    </xf>
    <xf numFmtId="196" fontId="16" fillId="0" borderId="67" xfId="0" applyNumberFormat="1" applyFont="1" applyBorder="1" applyAlignment="1"/>
    <xf numFmtId="166" fontId="16" fillId="0" borderId="67" xfId="0" applyNumberFormat="1" applyFont="1" applyBorder="1" applyAlignment="1">
      <alignment horizontal="right"/>
    </xf>
    <xf numFmtId="202" fontId="16" fillId="0" borderId="67" xfId="1" applyNumberFormat="1" applyFont="1" applyBorder="1" applyAlignment="1">
      <alignment horizontal="center"/>
    </xf>
    <xf numFmtId="174" fontId="16" fillId="0" borderId="21" xfId="1" applyNumberFormat="1" applyFont="1" applyBorder="1" applyAlignment="1">
      <alignment horizontal="center"/>
    </xf>
    <xf numFmtId="170" fontId="15" fillId="0" borderId="28" xfId="0" applyNumberFormat="1" applyFont="1" applyBorder="1" applyAlignment="1">
      <alignment horizontal="right"/>
    </xf>
    <xf numFmtId="182" fontId="15" fillId="0" borderId="28" xfId="0" applyNumberFormat="1" applyFont="1" applyBorder="1" applyAlignment="1"/>
    <xf numFmtId="192" fontId="15" fillId="0" borderId="28" xfId="0" applyNumberFormat="1" applyFont="1" applyBorder="1" applyAlignment="1"/>
    <xf numFmtId="170" fontId="15" fillId="0" borderId="13" xfId="0" applyNumberFormat="1" applyFont="1" applyBorder="1" applyAlignment="1">
      <alignment horizontal="right"/>
    </xf>
    <xf numFmtId="182" fontId="15" fillId="0" borderId="13" xfId="0" applyNumberFormat="1" applyFont="1" applyBorder="1" applyAlignment="1"/>
    <xf numFmtId="192" fontId="15" fillId="0" borderId="13" xfId="0" applyNumberFormat="1" applyFont="1" applyBorder="1" applyAlignment="1"/>
    <xf numFmtId="203" fontId="15" fillId="0" borderId="47" xfId="0" applyNumberFormat="1" applyFont="1" applyBorder="1" applyAlignment="1">
      <alignment horizontal="right"/>
    </xf>
    <xf numFmtId="4" fontId="15" fillId="0" borderId="60" xfId="0" applyNumberFormat="1" applyFont="1" applyBorder="1" applyAlignment="1">
      <alignment horizontal="center"/>
    </xf>
    <xf numFmtId="0" fontId="0" fillId="0" borderId="47" xfId="0" applyBorder="1"/>
    <xf numFmtId="0" fontId="0" fillId="0" borderId="60" xfId="0" applyBorder="1"/>
    <xf numFmtId="166" fontId="16" fillId="0" borderId="3" xfId="0" applyNumberFormat="1" applyFont="1" applyBorder="1"/>
    <xf numFmtId="0" fontId="66" fillId="0" borderId="0" xfId="0" applyFont="1" applyAlignment="1">
      <alignment horizontal="left"/>
    </xf>
    <xf numFmtId="166" fontId="15" fillId="0" borderId="28" xfId="0" applyNumberFormat="1" applyFont="1" applyBorder="1" applyAlignment="1">
      <alignment horizontal="right"/>
    </xf>
    <xf numFmtId="167" fontId="15" fillId="0" borderId="25" xfId="1" applyNumberFormat="1" applyFont="1" applyBorder="1" applyAlignment="1">
      <alignment horizontal="right"/>
    </xf>
    <xf numFmtId="166" fontId="16" fillId="0" borderId="26" xfId="0" applyNumberFormat="1" applyFont="1" applyBorder="1"/>
    <xf numFmtId="180" fontId="5" fillId="0" borderId="0" xfId="0" applyNumberFormat="1" applyFont="1"/>
    <xf numFmtId="41" fontId="15" fillId="0" borderId="29" xfId="0" applyNumberFormat="1" applyFont="1" applyBorder="1" applyAlignment="1">
      <alignment horizontal="right"/>
    </xf>
    <xf numFmtId="216" fontId="15" fillId="0" borderId="29" xfId="0" applyNumberFormat="1" applyFont="1" applyBorder="1" applyAlignment="1">
      <alignment horizontal="centerContinuous"/>
    </xf>
    <xf numFmtId="208" fontId="47" fillId="0" borderId="0" xfId="0" applyNumberFormat="1" applyFont="1" applyFill="1" applyBorder="1" applyAlignment="1">
      <alignment horizontal="right"/>
    </xf>
    <xf numFmtId="170" fontId="47" fillId="0" borderId="0" xfId="0" applyNumberFormat="1" applyFont="1" applyBorder="1" applyAlignment="1">
      <alignment horizontal="centerContinuous"/>
    </xf>
    <xf numFmtId="204" fontId="47" fillId="0" borderId="0" xfId="0" applyNumberFormat="1" applyFont="1" applyBorder="1" applyAlignment="1">
      <alignment horizontal="centerContinuous"/>
    </xf>
    <xf numFmtId="167" fontId="25" fillId="0" borderId="66" xfId="1" applyNumberFormat="1" applyFont="1" applyBorder="1" applyAlignment="1">
      <alignment horizontal="center"/>
    </xf>
    <xf numFmtId="167" fontId="25" fillId="0" borderId="23" xfId="1" applyNumberFormat="1" applyFont="1" applyBorder="1" applyAlignment="1">
      <alignment horizontal="center"/>
    </xf>
    <xf numFmtId="166" fontId="25" fillId="0" borderId="23" xfId="1" applyNumberFormat="1" applyFont="1" applyBorder="1" applyAlignment="1">
      <alignment horizontal="center"/>
    </xf>
    <xf numFmtId="166" fontId="25" fillId="0" borderId="7" xfId="1" applyNumberFormat="1" applyFont="1" applyBorder="1" applyAlignment="1">
      <alignment horizontal="center"/>
    </xf>
    <xf numFmtId="41" fontId="15" fillId="0" borderId="1" xfId="0" applyNumberFormat="1" applyFont="1" applyBorder="1" applyAlignment="1">
      <alignment horizontal="center"/>
    </xf>
    <xf numFmtId="180" fontId="15" fillId="0" borderId="1" xfId="0" applyNumberFormat="1" applyFont="1" applyBorder="1" applyAlignment="1">
      <alignment horizontal="right"/>
    </xf>
    <xf numFmtId="3" fontId="16" fillId="0" borderId="2" xfId="0" applyNumberFormat="1" applyFont="1" applyBorder="1"/>
    <xf numFmtId="43" fontId="15" fillId="0" borderId="1" xfId="1" applyNumberFormat="1" applyFont="1" applyBorder="1" applyAlignment="1">
      <alignment horizontal="center"/>
    </xf>
    <xf numFmtId="167" fontId="15" fillId="0" borderId="2" xfId="1" applyNumberFormat="1" applyFont="1" applyBorder="1" applyAlignment="1">
      <alignment horizontal="left"/>
    </xf>
    <xf numFmtId="203" fontId="15" fillId="0" borderId="2" xfId="0" quotePrefix="1" applyNumberFormat="1" applyFont="1" applyBorder="1" applyAlignment="1">
      <alignment horizontal="right"/>
    </xf>
    <xf numFmtId="0" fontId="16" fillId="2" borderId="12" xfId="0" applyFont="1" applyFill="1" applyBorder="1"/>
    <xf numFmtId="3" fontId="16" fillId="0" borderId="69" xfId="1" applyNumberFormat="1" applyFont="1" applyBorder="1" applyAlignment="1">
      <alignment horizontal="right"/>
    </xf>
    <xf numFmtId="3" fontId="16" fillId="0" borderId="69" xfId="0" applyNumberFormat="1" applyFont="1" applyBorder="1" applyAlignment="1">
      <alignment horizontal="right"/>
    </xf>
    <xf numFmtId="167" fontId="16" fillId="0" borderId="37" xfId="1" applyNumberFormat="1" applyFont="1" applyBorder="1" applyAlignment="1">
      <alignment horizontal="right"/>
    </xf>
    <xf numFmtId="180" fontId="15" fillId="0" borderId="28" xfId="0" applyNumberFormat="1" applyFont="1" applyBorder="1" applyAlignment="1">
      <alignment horizontal="right"/>
    </xf>
    <xf numFmtId="3" fontId="16" fillId="0" borderId="61" xfId="0" applyNumberFormat="1" applyFont="1" applyBorder="1"/>
    <xf numFmtId="180" fontId="15" fillId="0" borderId="13" xfId="0" applyNumberFormat="1" applyFont="1" applyBorder="1" applyAlignment="1">
      <alignment horizontal="right"/>
    </xf>
    <xf numFmtId="3" fontId="16" fillId="0" borderId="47" xfId="0" applyNumberFormat="1" applyFont="1" applyBorder="1"/>
    <xf numFmtId="3" fontId="16" fillId="0" borderId="13" xfId="0" applyNumberFormat="1" applyFont="1" applyBorder="1" applyAlignment="1">
      <alignment horizontal="right"/>
    </xf>
    <xf numFmtId="3" fontId="16" fillId="0" borderId="63" xfId="0" applyNumberFormat="1" applyFont="1" applyBorder="1"/>
    <xf numFmtId="195" fontId="0" fillId="0" borderId="5" xfId="0" applyNumberFormat="1" applyBorder="1" applyAlignment="1">
      <alignment horizontal="centerContinuous"/>
    </xf>
    <xf numFmtId="3" fontId="0" fillId="0" borderId="23" xfId="0" applyNumberFormat="1" applyBorder="1" applyAlignment="1">
      <alignment horizontal="centerContinuous"/>
    </xf>
    <xf numFmtId="184" fontId="0" fillId="0" borderId="23" xfId="0" applyNumberFormat="1" applyBorder="1" applyAlignment="1">
      <alignment horizontal="centerContinuous"/>
    </xf>
    <xf numFmtId="3" fontId="0" fillId="0" borderId="45" xfId="0" applyNumberFormat="1" applyBorder="1" applyAlignment="1">
      <alignment horizontal="centerContinuous"/>
    </xf>
    <xf numFmtId="3" fontId="0" fillId="0" borderId="74" xfId="0" applyNumberFormat="1" applyBorder="1" applyAlignment="1">
      <alignment horizontal="centerContinuous"/>
    </xf>
    <xf numFmtId="3" fontId="0" fillId="0" borderId="35" xfId="0" applyNumberForma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68" xfId="0" applyBorder="1" applyAlignment="1">
      <alignment horizontal="centerContinuous"/>
    </xf>
    <xf numFmtId="0" fontId="0" fillId="0" borderId="63" xfId="0" applyBorder="1" applyAlignment="1">
      <alignment horizontal="centerContinuous"/>
    </xf>
    <xf numFmtId="3" fontId="50" fillId="0" borderId="0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0" fillId="0" borderId="34" xfId="0" applyFont="1" applyBorder="1" applyAlignment="1">
      <alignment vertical="center" wrapText="1"/>
    </xf>
    <xf numFmtId="0" fontId="50" fillId="0" borderId="4" xfId="0" applyFont="1" applyBorder="1" applyAlignment="1">
      <alignment vertical="center" wrapText="1"/>
    </xf>
    <xf numFmtId="3" fontId="47" fillId="0" borderId="5" xfId="0" applyNumberFormat="1" applyFont="1" applyBorder="1" applyAlignment="1">
      <alignment horizontal="centerContinuous"/>
    </xf>
    <xf numFmtId="13" fontId="56" fillId="0" borderId="2" xfId="0" applyNumberFormat="1" applyFont="1" applyBorder="1" applyAlignment="1"/>
    <xf numFmtId="3" fontId="47" fillId="0" borderId="1" xfId="0" applyNumberFormat="1" applyFont="1" applyBorder="1" applyAlignment="1">
      <alignment horizontal="centerContinuous"/>
    </xf>
    <xf numFmtId="201" fontId="50" fillId="0" borderId="1" xfId="0" applyNumberFormat="1" applyFont="1" applyBorder="1" applyAlignment="1">
      <alignment horizontal="centerContinuous"/>
    </xf>
    <xf numFmtId="0" fontId="67" fillId="0" borderId="0" xfId="0" applyFont="1" applyAlignment="1">
      <alignment horizontal="left"/>
    </xf>
    <xf numFmtId="0" fontId="24" fillId="0" borderId="73" xfId="0" applyNumberFormat="1" applyFont="1" applyBorder="1" applyAlignment="1">
      <alignment horizontal="left"/>
    </xf>
    <xf numFmtId="167" fontId="25" fillId="0" borderId="70" xfId="1" applyNumberFormat="1" applyFont="1" applyBorder="1" applyAlignment="1">
      <alignment horizontal="right"/>
    </xf>
    <xf numFmtId="166" fontId="25" fillId="0" borderId="29" xfId="1" applyNumberFormat="1" applyFont="1" applyBorder="1" applyAlignment="1">
      <alignment horizontal="center"/>
    </xf>
    <xf numFmtId="166" fontId="25" fillId="0" borderId="44" xfId="1" applyNumberFormat="1" applyFont="1" applyBorder="1" applyAlignment="1">
      <alignment horizontal="center"/>
    </xf>
    <xf numFmtId="167" fontId="25" fillId="0" borderId="45" xfId="1" applyNumberFormat="1" applyFont="1" applyBorder="1" applyAlignment="1">
      <alignment horizontal="center"/>
    </xf>
    <xf numFmtId="0" fontId="25" fillId="0" borderId="26" xfId="0" applyFont="1" applyBorder="1"/>
    <xf numFmtId="167" fontId="25" fillId="0" borderId="1" xfId="1" applyNumberFormat="1" applyFont="1" applyBorder="1" applyAlignment="1">
      <alignment horizontal="center"/>
    </xf>
    <xf numFmtId="166" fontId="25" fillId="0" borderId="62" xfId="1" applyNumberFormat="1" applyFont="1" applyBorder="1" applyAlignment="1">
      <alignment horizontal="center"/>
    </xf>
    <xf numFmtId="166" fontId="25" fillId="0" borderId="69" xfId="1" applyNumberFormat="1" applyFont="1" applyBorder="1" applyAlignment="1">
      <alignment horizontal="center"/>
    </xf>
    <xf numFmtId="167" fontId="25" fillId="0" borderId="69" xfId="1" applyNumberFormat="1" applyFont="1" applyBorder="1" applyAlignment="1">
      <alignment horizontal="center"/>
    </xf>
    <xf numFmtId="0" fontId="25" fillId="0" borderId="19" xfId="0" applyFont="1" applyBorder="1"/>
    <xf numFmtId="167" fontId="25" fillId="0" borderId="23" xfId="1" applyNumberFormat="1" applyFont="1" applyBorder="1" applyAlignment="1">
      <alignment horizontal="right"/>
    </xf>
    <xf numFmtId="167" fontId="25" fillId="0" borderId="58" xfId="1" applyNumberFormat="1" applyFont="1" applyBorder="1" applyAlignment="1">
      <alignment horizontal="right"/>
    </xf>
    <xf numFmtId="3" fontId="0" fillId="0" borderId="4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171" fontId="15" fillId="0" borderId="5" xfId="1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44" fillId="4" borderId="0" xfId="0" applyNumberFormat="1" applyFon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1" fillId="4" borderId="2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1" xfId="1" applyNumberFormat="1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5" fillId="0" borderId="29" xfId="1" applyNumberFormat="1" applyFont="1" applyBorder="1" applyAlignment="1">
      <alignment horizontal="center"/>
    </xf>
    <xf numFmtId="166" fontId="15" fillId="0" borderId="67" xfId="1" applyNumberFormat="1" applyFont="1" applyBorder="1" applyAlignment="1">
      <alignment horizontal="center"/>
    </xf>
    <xf numFmtId="166" fontId="15" fillId="0" borderId="40" xfId="1" applyNumberFormat="1" applyFont="1" applyBorder="1" applyAlignment="1">
      <alignment horizontal="center"/>
    </xf>
    <xf numFmtId="176" fontId="13" fillId="0" borderId="67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190" fontId="15" fillId="0" borderId="1" xfId="1" applyNumberFormat="1" applyFont="1" applyBorder="1" applyAlignment="1">
      <alignment horizontal="center"/>
    </xf>
    <xf numFmtId="190" fontId="15" fillId="0" borderId="13" xfId="1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166" fontId="15" fillId="0" borderId="28" xfId="0" applyNumberFormat="1" applyFont="1" applyBorder="1" applyAlignment="1">
      <alignment horizontal="center"/>
    </xf>
    <xf numFmtId="3" fontId="16" fillId="0" borderId="69" xfId="0" applyNumberFormat="1" applyFont="1" applyBorder="1" applyAlignment="1">
      <alignment horizontal="center"/>
    </xf>
    <xf numFmtId="180" fontId="15" fillId="0" borderId="29" xfId="1" applyNumberFormat="1" applyFont="1" applyBorder="1" applyAlignment="1">
      <alignment horizontal="center"/>
    </xf>
    <xf numFmtId="180" fontId="15" fillId="0" borderId="1" xfId="1" applyNumberFormat="1" applyFont="1" applyBorder="1" applyAlignment="1">
      <alignment horizontal="center"/>
    </xf>
    <xf numFmtId="180" fontId="15" fillId="0" borderId="28" xfId="1" applyNumberFormat="1" applyFont="1" applyBorder="1" applyAlignment="1">
      <alignment horizontal="center"/>
    </xf>
    <xf numFmtId="180" fontId="15" fillId="0" borderId="13" xfId="1" applyNumberFormat="1" applyFont="1" applyBorder="1" applyAlignment="1">
      <alignment horizontal="center"/>
    </xf>
    <xf numFmtId="191" fontId="15" fillId="0" borderId="1" xfId="1" applyNumberFormat="1" applyFont="1" applyBorder="1" applyAlignment="1">
      <alignment horizontal="center"/>
    </xf>
    <xf numFmtId="196" fontId="16" fillId="0" borderId="67" xfId="0" applyNumberFormat="1" applyFont="1" applyBorder="1" applyAlignment="1">
      <alignment horizontal="center"/>
    </xf>
    <xf numFmtId="182" fontId="15" fillId="0" borderId="1" xfId="0" applyNumberFormat="1" applyFont="1" applyBorder="1" applyAlignment="1">
      <alignment horizontal="center"/>
    </xf>
    <xf numFmtId="182" fontId="15" fillId="0" borderId="29" xfId="0" applyNumberFormat="1" applyFont="1" applyBorder="1" applyAlignment="1">
      <alignment horizontal="center"/>
    </xf>
    <xf numFmtId="182" fontId="15" fillId="0" borderId="28" xfId="0" applyNumberFormat="1" applyFont="1" applyBorder="1" applyAlignment="1">
      <alignment horizontal="center"/>
    </xf>
    <xf numFmtId="182" fontId="15" fillId="0" borderId="13" xfId="0" applyNumberFormat="1" applyFont="1" applyBorder="1" applyAlignment="1">
      <alignment horizontal="center"/>
    </xf>
    <xf numFmtId="217" fontId="15" fillId="0" borderId="1" xfId="1" applyNumberFormat="1" applyFont="1" applyBorder="1" applyAlignment="1">
      <alignment horizontal="center"/>
    </xf>
    <xf numFmtId="0" fontId="35" fillId="2" borderId="32" xfId="0" applyNumberFormat="1" applyFont="1" applyFill="1" applyBorder="1" applyAlignment="1">
      <alignment horizontal="center"/>
    </xf>
    <xf numFmtId="2" fontId="35" fillId="2" borderId="0" xfId="0" applyNumberFormat="1" applyFont="1" applyFill="1" applyBorder="1" applyAlignment="1">
      <alignment horizontal="center"/>
    </xf>
    <xf numFmtId="2" fontId="35" fillId="2" borderId="13" xfId="0" quotePrefix="1" applyNumberFormat="1" applyFont="1" applyFill="1" applyBorder="1" applyAlignment="1">
      <alignment horizontal="center"/>
    </xf>
    <xf numFmtId="10" fontId="17" fillId="0" borderId="1" xfId="2" applyNumberFormat="1" applyFont="1" applyBorder="1" applyAlignment="1">
      <alignment horizontal="center"/>
    </xf>
    <xf numFmtId="10" fontId="17" fillId="0" borderId="28" xfId="0" quotePrefix="1" applyNumberFormat="1" applyFont="1" applyBorder="1" applyAlignment="1">
      <alignment horizontal="center"/>
    </xf>
    <xf numFmtId="10" fontId="17" fillId="0" borderId="29" xfId="2" applyNumberFormat="1" applyFont="1" applyBorder="1" applyAlignment="1">
      <alignment horizontal="center"/>
    </xf>
    <xf numFmtId="10" fontId="17" fillId="0" borderId="40" xfId="2" applyNumberFormat="1" applyFont="1" applyBorder="1" applyAlignment="1">
      <alignment horizontal="center"/>
    </xf>
    <xf numFmtId="10" fontId="17" fillId="0" borderId="13" xfId="2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35" fillId="2" borderId="15" xfId="0" applyNumberFormat="1" applyFont="1" applyFill="1" applyBorder="1" applyAlignment="1">
      <alignment horizontal="center"/>
    </xf>
    <xf numFmtId="2" fontId="35" fillId="2" borderId="27" xfId="0" applyNumberFormat="1" applyFont="1" applyFill="1" applyBorder="1" applyAlignment="1">
      <alignment horizontal="center"/>
    </xf>
    <xf numFmtId="2" fontId="35" fillId="2" borderId="47" xfId="0" quotePrefix="1" applyNumberFormat="1" applyFont="1" applyFill="1" applyBorder="1" applyAlignment="1">
      <alignment horizontal="center"/>
    </xf>
    <xf numFmtId="10" fontId="36" fillId="0" borderId="1" xfId="2" applyNumberFormat="1" applyFont="1" applyBorder="1" applyAlignment="1">
      <alignment horizontal="center"/>
    </xf>
    <xf numFmtId="10" fontId="36" fillId="0" borderId="29" xfId="2" applyNumberFormat="1" applyFont="1" applyBorder="1" applyAlignment="1">
      <alignment horizontal="center"/>
    </xf>
    <xf numFmtId="10" fontId="36" fillId="0" borderId="40" xfId="2" applyNumberFormat="1" applyFont="1" applyBorder="1" applyAlignment="1">
      <alignment horizontal="center"/>
    </xf>
    <xf numFmtId="10" fontId="36" fillId="0" borderId="28" xfId="2" applyNumberFormat="1" applyFont="1" applyBorder="1" applyAlignment="1">
      <alignment horizontal="center"/>
    </xf>
    <xf numFmtId="10" fontId="36" fillId="0" borderId="13" xfId="2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35" fillId="2" borderId="7" xfId="0" applyNumberFormat="1" applyFont="1" applyFill="1" applyBorder="1" applyAlignment="1">
      <alignment horizontal="center"/>
    </xf>
    <xf numFmtId="10" fontId="17" fillId="0" borderId="28" xfId="2" applyNumberFormat="1" applyFont="1" applyBorder="1" applyAlignment="1">
      <alignment horizontal="center"/>
    </xf>
    <xf numFmtId="2" fontId="35" fillId="2" borderId="57" xfId="0" applyNumberFormat="1" applyFont="1" applyFill="1" applyBorder="1" applyAlignment="1">
      <alignment horizontal="center"/>
    </xf>
    <xf numFmtId="2" fontId="35" fillId="2" borderId="30" xfId="0" applyNumberFormat="1" applyFont="1" applyFill="1" applyBorder="1" applyAlignment="1">
      <alignment horizontal="center"/>
    </xf>
    <xf numFmtId="10" fontId="13" fillId="0" borderId="0" xfId="2" applyNumberFormat="1" applyFont="1" applyFill="1" applyBorder="1" applyAlignment="1">
      <alignment horizontal="center"/>
    </xf>
    <xf numFmtId="10" fontId="15" fillId="0" borderId="0" xfId="2" applyNumberFormat="1" applyFont="1" applyFill="1" applyBorder="1" applyAlignment="1" applyProtection="1">
      <alignment horizontal="center"/>
    </xf>
    <xf numFmtId="2" fontId="35" fillId="2" borderId="29" xfId="0" quotePrefix="1" applyNumberFormat="1" applyFont="1" applyFill="1" applyBorder="1" applyAlignment="1">
      <alignment horizontal="center"/>
    </xf>
    <xf numFmtId="2" fontId="17" fillId="0" borderId="1" xfId="0" quotePrefix="1" applyNumberFormat="1" applyFont="1" applyBorder="1" applyAlignment="1">
      <alignment horizontal="center"/>
    </xf>
    <xf numFmtId="10" fontId="36" fillId="0" borderId="1" xfId="2" quotePrefix="1" applyNumberFormat="1" applyFont="1" applyBorder="1" applyAlignment="1">
      <alignment horizontal="center"/>
    </xf>
    <xf numFmtId="10" fontId="36" fillId="0" borderId="0" xfId="2" applyNumberFormat="1" applyFont="1" applyBorder="1" applyAlignment="1">
      <alignment horizontal="center"/>
    </xf>
    <xf numFmtId="10" fontId="17" fillId="0" borderId="38" xfId="2" applyNumberFormat="1" applyFont="1" applyBorder="1" applyAlignment="1">
      <alignment horizontal="center"/>
    </xf>
    <xf numFmtId="10" fontId="13" fillId="3" borderId="32" xfId="2" applyNumberFormat="1" applyFont="1" applyFill="1" applyBorder="1" applyAlignment="1">
      <alignment horizontal="center"/>
    </xf>
    <xf numFmtId="10" fontId="13" fillId="3" borderId="0" xfId="2" applyNumberFormat="1" applyFont="1" applyFill="1" applyBorder="1" applyAlignment="1">
      <alignment horizontal="center"/>
    </xf>
    <xf numFmtId="10" fontId="13" fillId="3" borderId="22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 wrapText="1"/>
    </xf>
    <xf numFmtId="3" fontId="1" fillId="0" borderId="25" xfId="0" applyNumberFormat="1" applyFont="1" applyBorder="1" applyAlignment="1">
      <alignment horizontal="centerContinuous"/>
    </xf>
    <xf numFmtId="192" fontId="15" fillId="0" borderId="1" xfId="0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7" fillId="0" borderId="0" xfId="0" applyFont="1"/>
    <xf numFmtId="3" fontId="67" fillId="0" borderId="0" xfId="0" applyNumberFormat="1" applyFont="1" applyAlignment="1">
      <alignment horizontal="right"/>
    </xf>
    <xf numFmtId="3" fontId="17" fillId="0" borderId="38" xfId="2" applyNumberFormat="1" applyFont="1" applyFill="1" applyBorder="1"/>
    <xf numFmtId="10" fontId="36" fillId="0" borderId="38" xfId="2" applyNumberFormat="1" applyFont="1" applyBorder="1" applyAlignment="1">
      <alignment horizontal="center"/>
    </xf>
    <xf numFmtId="10" fontId="36" fillId="0" borderId="38" xfId="2" applyNumberFormat="1" applyFont="1" applyBorder="1" applyAlignment="1">
      <alignment horizontal="right"/>
    </xf>
    <xf numFmtId="2" fontId="35" fillId="0" borderId="57" xfId="0" applyNumberFormat="1" applyFont="1" applyFill="1" applyBorder="1"/>
    <xf numFmtId="3" fontId="36" fillId="0" borderId="38" xfId="0" applyNumberFormat="1" applyFont="1" applyFill="1" applyBorder="1"/>
    <xf numFmtId="10" fontId="36" fillId="0" borderId="39" xfId="2" applyNumberFormat="1" applyFont="1" applyBorder="1" applyAlignment="1">
      <alignment horizontal="right"/>
    </xf>
    <xf numFmtId="3" fontId="15" fillId="0" borderId="17" xfId="0" applyNumberFormat="1" applyFont="1" applyBorder="1"/>
    <xf numFmtId="0" fontId="13" fillId="0" borderId="46" xfId="0" applyFont="1" applyBorder="1"/>
    <xf numFmtId="0" fontId="13" fillId="0" borderId="63" xfId="0" applyFont="1" applyBorder="1"/>
    <xf numFmtId="3" fontId="15" fillId="0" borderId="73" xfId="0" applyNumberFormat="1" applyFont="1" applyBorder="1"/>
    <xf numFmtId="3" fontId="15" fillId="0" borderId="64" xfId="0" applyNumberFormat="1" applyFont="1" applyBorder="1"/>
    <xf numFmtId="17" fontId="35" fillId="2" borderId="12" xfId="0" applyNumberFormat="1" applyFont="1" applyFill="1" applyBorder="1" applyAlignment="1">
      <alignment horizontal="right"/>
    </xf>
    <xf numFmtId="3" fontId="36" fillId="0" borderId="69" xfId="0" applyNumberFormat="1" applyFont="1" applyBorder="1" applyAlignment="1">
      <alignment horizontal="right"/>
    </xf>
    <xf numFmtId="10" fontId="17" fillId="0" borderId="69" xfId="2" applyNumberFormat="1" applyFont="1" applyBorder="1" applyAlignment="1">
      <alignment horizontal="center"/>
    </xf>
    <xf numFmtId="3" fontId="17" fillId="0" borderId="69" xfId="1" applyNumberFormat="1" applyFont="1" applyBorder="1" applyAlignment="1">
      <alignment horizontal="right"/>
    </xf>
    <xf numFmtId="10" fontId="17" fillId="0" borderId="69" xfId="2" applyNumberFormat="1" applyFont="1" applyBorder="1"/>
    <xf numFmtId="3" fontId="17" fillId="0" borderId="69" xfId="0" applyNumberFormat="1" applyFont="1" applyBorder="1"/>
    <xf numFmtId="10" fontId="17" fillId="0" borderId="19" xfId="0" quotePrefix="1" applyNumberFormat="1" applyFont="1" applyBorder="1" applyAlignment="1">
      <alignment horizontal="right"/>
    </xf>
    <xf numFmtId="10" fontId="36" fillId="0" borderId="69" xfId="2" applyNumberFormat="1" applyFont="1" applyBorder="1" applyAlignment="1">
      <alignment horizontal="center"/>
    </xf>
    <xf numFmtId="3" fontId="36" fillId="0" borderId="69" xfId="2" applyNumberFormat="1" applyFont="1" applyBorder="1"/>
    <xf numFmtId="10" fontId="36" fillId="0" borderId="69" xfId="2" applyNumberFormat="1" applyFont="1" applyBorder="1" applyAlignment="1">
      <alignment horizontal="right"/>
    </xf>
    <xf numFmtId="3" fontId="17" fillId="0" borderId="37" xfId="1" applyNumberFormat="1" applyFont="1" applyFill="1" applyBorder="1" applyAlignment="1"/>
    <xf numFmtId="10" fontId="36" fillId="0" borderId="62" xfId="2" applyNumberFormat="1" applyFont="1" applyBorder="1" applyAlignment="1"/>
    <xf numFmtId="3" fontId="17" fillId="0" borderId="69" xfId="0" applyNumberFormat="1" applyFont="1" applyFill="1" applyBorder="1" applyAlignment="1">
      <alignment horizontal="right"/>
    </xf>
    <xf numFmtId="10" fontId="17" fillId="0" borderId="19" xfId="2" applyNumberFormat="1" applyFont="1" applyFill="1" applyBorder="1"/>
    <xf numFmtId="179" fontId="47" fillId="0" borderId="1" xfId="0" applyNumberFormat="1" applyFont="1" applyBorder="1" applyAlignment="1">
      <alignment horizontal="center"/>
    </xf>
    <xf numFmtId="43" fontId="15" fillId="0" borderId="1" xfId="1" applyFont="1" applyBorder="1" applyAlignment="1">
      <alignment horizontal="left"/>
    </xf>
    <xf numFmtId="43" fontId="15" fillId="0" borderId="1" xfId="1" applyNumberFormat="1" applyFont="1" applyBorder="1" applyAlignment="1">
      <alignment horizontal="left"/>
    </xf>
    <xf numFmtId="173" fontId="15" fillId="0" borderId="1" xfId="1" applyNumberFormat="1" applyFont="1" applyBorder="1" applyAlignment="1">
      <alignment horizontal="left"/>
    </xf>
    <xf numFmtId="0" fontId="50" fillId="3" borderId="20" xfId="0" applyNumberFormat="1" applyFont="1" applyFill="1" applyBorder="1" applyAlignment="1">
      <alignment horizontal="center" vertical="center"/>
    </xf>
    <xf numFmtId="0" fontId="50" fillId="3" borderId="22" xfId="0" applyNumberFormat="1" applyFont="1" applyFill="1" applyBorder="1" applyAlignment="1">
      <alignment horizontal="center" vertical="center"/>
    </xf>
    <xf numFmtId="0" fontId="50" fillId="3" borderId="21" xfId="0" applyNumberFormat="1" applyFont="1" applyFill="1" applyBorder="1" applyAlignment="1">
      <alignment horizontal="center" vertical="center"/>
    </xf>
    <xf numFmtId="3" fontId="25" fillId="0" borderId="5" xfId="1" applyNumberFormat="1" applyFont="1" applyBorder="1" applyAlignment="1">
      <alignment horizontal="center"/>
    </xf>
    <xf numFmtId="3" fontId="25" fillId="0" borderId="23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35" fillId="2" borderId="42" xfId="0" applyNumberFormat="1" applyFont="1" applyFill="1" applyBorder="1" applyAlignment="1">
      <alignment horizontal="center"/>
    </xf>
    <xf numFmtId="2" fontId="35" fillId="2" borderId="32" xfId="0" applyNumberFormat="1" applyFont="1" applyFill="1" applyBorder="1" applyAlignment="1">
      <alignment horizontal="center"/>
    </xf>
    <xf numFmtId="2" fontId="35" fillId="2" borderId="43" xfId="0" applyNumberFormat="1" applyFont="1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25" fillId="0" borderId="44" xfId="1" applyNumberFormat="1" applyFont="1" applyBorder="1" applyAlignment="1">
      <alignment horizontal="center"/>
    </xf>
    <xf numFmtId="3" fontId="25" fillId="0" borderId="45" xfId="1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25" fillId="0" borderId="54" xfId="1" applyNumberFormat="1" applyFont="1" applyBorder="1" applyAlignment="1">
      <alignment horizontal="center"/>
    </xf>
    <xf numFmtId="3" fontId="25" fillId="0" borderId="74" xfId="1" applyNumberFormat="1" applyFont="1" applyBorder="1" applyAlignment="1">
      <alignment horizontal="center"/>
    </xf>
    <xf numFmtId="195" fontId="0" fillId="0" borderId="5" xfId="0" applyNumberFormat="1" applyBorder="1" applyAlignment="1"/>
    <xf numFmtId="195" fontId="0" fillId="0" borderId="23" xfId="0" applyNumberFormat="1" applyBorder="1" applyAlignment="1"/>
    <xf numFmtId="199" fontId="25" fillId="0" borderId="5" xfId="1" applyNumberFormat="1" applyFont="1" applyBorder="1" applyAlignment="1">
      <alignment horizontal="center"/>
    </xf>
    <xf numFmtId="199" fontId="25" fillId="0" borderId="23" xfId="1" applyNumberFormat="1" applyFont="1" applyBorder="1" applyAlignment="1">
      <alignment horizontal="center"/>
    </xf>
    <xf numFmtId="0" fontId="24" fillId="3" borderId="20" xfId="0" applyNumberFormat="1" applyFont="1" applyFill="1" applyBorder="1" applyAlignment="1">
      <alignment horizontal="center" vertical="center"/>
    </xf>
    <xf numFmtId="0" fontId="24" fillId="3" borderId="22" xfId="0" applyNumberFormat="1" applyFont="1" applyFill="1" applyBorder="1" applyAlignment="1">
      <alignment horizontal="center" vertical="center"/>
    </xf>
    <xf numFmtId="0" fontId="24" fillId="3" borderId="2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36717848794140651"/>
          <c:y val="1.56740051828302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018931718410922E-2"/>
          <c:y val="7.2100423841019112E-2"/>
          <c:w val="0.85360143659690313"/>
          <c:h val="0.65830821767887004"/>
        </c:manualLayout>
      </c:layout>
      <c:barChart>
        <c:barDir val="col"/>
        <c:grouping val="clustered"/>
        <c:ser>
          <c:idx val="2"/>
          <c:order val="0"/>
          <c:tx>
            <c:strRef>
              <c:f>[1]FKLI!$D$1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[1]FKLI!$D$1747:$D$1991</c:f>
              <c:numCache>
                <c:formatCode>General</c:formatCode>
                <c:ptCount val="245"/>
                <c:pt idx="0">
                  <c:v>860</c:v>
                </c:pt>
                <c:pt idx="1">
                  <c:v>786</c:v>
                </c:pt>
                <c:pt idx="2">
                  <c:v>711</c:v>
                </c:pt>
                <c:pt idx="3">
                  <c:v>1124</c:v>
                </c:pt>
                <c:pt idx="4">
                  <c:v>519</c:v>
                </c:pt>
                <c:pt idx="5">
                  <c:v>961</c:v>
                </c:pt>
                <c:pt idx="6">
                  <c:v>1317</c:v>
                </c:pt>
                <c:pt idx="7">
                  <c:v>1909</c:v>
                </c:pt>
                <c:pt idx="8">
                  <c:v>2274</c:v>
                </c:pt>
                <c:pt idx="9">
                  <c:v>1876</c:v>
                </c:pt>
                <c:pt idx="10">
                  <c:v>814</c:v>
                </c:pt>
                <c:pt idx="11">
                  <c:v>387</c:v>
                </c:pt>
                <c:pt idx="12">
                  <c:v>289</c:v>
                </c:pt>
                <c:pt idx="13">
                  <c:v>1270</c:v>
                </c:pt>
                <c:pt idx="14">
                  <c:v>597</c:v>
                </c:pt>
                <c:pt idx="15">
                  <c:v>648</c:v>
                </c:pt>
                <c:pt idx="16">
                  <c:v>585</c:v>
                </c:pt>
                <c:pt idx="17">
                  <c:v>279</c:v>
                </c:pt>
                <c:pt idx="18">
                  <c:v>871</c:v>
                </c:pt>
                <c:pt idx="19">
                  <c:v>443</c:v>
                </c:pt>
                <c:pt idx="20">
                  <c:v>394</c:v>
                </c:pt>
                <c:pt idx="21">
                  <c:v>337</c:v>
                </c:pt>
                <c:pt idx="22">
                  <c:v>273</c:v>
                </c:pt>
                <c:pt idx="23">
                  <c:v>582</c:v>
                </c:pt>
                <c:pt idx="24">
                  <c:v>1228</c:v>
                </c:pt>
                <c:pt idx="25">
                  <c:v>1290</c:v>
                </c:pt>
                <c:pt idx="26">
                  <c:v>2004</c:v>
                </c:pt>
                <c:pt idx="27">
                  <c:v>819</c:v>
                </c:pt>
                <c:pt idx="28">
                  <c:v>236</c:v>
                </c:pt>
                <c:pt idx="29">
                  <c:v>389</c:v>
                </c:pt>
                <c:pt idx="30">
                  <c:v>221</c:v>
                </c:pt>
                <c:pt idx="31">
                  <c:v>376</c:v>
                </c:pt>
                <c:pt idx="32">
                  <c:v>339</c:v>
                </c:pt>
                <c:pt idx="33">
                  <c:v>620</c:v>
                </c:pt>
                <c:pt idx="34">
                  <c:v>662</c:v>
                </c:pt>
                <c:pt idx="35">
                  <c:v>519</c:v>
                </c:pt>
                <c:pt idx="36">
                  <c:v>819</c:v>
                </c:pt>
                <c:pt idx="37">
                  <c:v>548</c:v>
                </c:pt>
                <c:pt idx="38">
                  <c:v>791</c:v>
                </c:pt>
                <c:pt idx="39">
                  <c:v>304</c:v>
                </c:pt>
                <c:pt idx="40">
                  <c:v>1456</c:v>
                </c:pt>
                <c:pt idx="41">
                  <c:v>474</c:v>
                </c:pt>
                <c:pt idx="42">
                  <c:v>748</c:v>
                </c:pt>
                <c:pt idx="43">
                  <c:v>1135</c:v>
                </c:pt>
                <c:pt idx="44">
                  <c:v>1189</c:v>
                </c:pt>
                <c:pt idx="45">
                  <c:v>1266</c:v>
                </c:pt>
                <c:pt idx="46">
                  <c:v>1488</c:v>
                </c:pt>
                <c:pt idx="47">
                  <c:v>1140</c:v>
                </c:pt>
                <c:pt idx="48">
                  <c:v>457</c:v>
                </c:pt>
                <c:pt idx="49">
                  <c:v>374</c:v>
                </c:pt>
                <c:pt idx="50">
                  <c:v>675</c:v>
                </c:pt>
                <c:pt idx="51">
                  <c:v>1195</c:v>
                </c:pt>
                <c:pt idx="52">
                  <c:v>727</c:v>
                </c:pt>
                <c:pt idx="53">
                  <c:v>770</c:v>
                </c:pt>
                <c:pt idx="54">
                  <c:v>712</c:v>
                </c:pt>
                <c:pt idx="55">
                  <c:v>424</c:v>
                </c:pt>
                <c:pt idx="56">
                  <c:v>341</c:v>
                </c:pt>
                <c:pt idx="57">
                  <c:v>498</c:v>
                </c:pt>
                <c:pt idx="58">
                  <c:v>587</c:v>
                </c:pt>
                <c:pt idx="59">
                  <c:v>595</c:v>
                </c:pt>
                <c:pt idx="60">
                  <c:v>248</c:v>
                </c:pt>
                <c:pt idx="61">
                  <c:v>328</c:v>
                </c:pt>
                <c:pt idx="62">
                  <c:v>167</c:v>
                </c:pt>
                <c:pt idx="63">
                  <c:v>401</c:v>
                </c:pt>
                <c:pt idx="64">
                  <c:v>493</c:v>
                </c:pt>
                <c:pt idx="65">
                  <c:v>523</c:v>
                </c:pt>
                <c:pt idx="66">
                  <c:v>1621</c:v>
                </c:pt>
                <c:pt idx="67">
                  <c:v>1996</c:v>
                </c:pt>
                <c:pt idx="68">
                  <c:v>770</c:v>
                </c:pt>
                <c:pt idx="69">
                  <c:v>591</c:v>
                </c:pt>
                <c:pt idx="70">
                  <c:v>148</c:v>
                </c:pt>
                <c:pt idx="71">
                  <c:v>592</c:v>
                </c:pt>
                <c:pt idx="72">
                  <c:v>250</c:v>
                </c:pt>
                <c:pt idx="73">
                  <c:v>307</c:v>
                </c:pt>
                <c:pt idx="74">
                  <c:v>318</c:v>
                </c:pt>
                <c:pt idx="75">
                  <c:v>225</c:v>
                </c:pt>
                <c:pt idx="76">
                  <c:v>275</c:v>
                </c:pt>
                <c:pt idx="77">
                  <c:v>208</c:v>
                </c:pt>
                <c:pt idx="78">
                  <c:v>699</c:v>
                </c:pt>
                <c:pt idx="79">
                  <c:v>692</c:v>
                </c:pt>
                <c:pt idx="80">
                  <c:v>506</c:v>
                </c:pt>
                <c:pt idx="81">
                  <c:v>369</c:v>
                </c:pt>
                <c:pt idx="82">
                  <c:v>663</c:v>
                </c:pt>
                <c:pt idx="83">
                  <c:v>991</c:v>
                </c:pt>
                <c:pt idx="84">
                  <c:v>1583</c:v>
                </c:pt>
                <c:pt idx="85">
                  <c:v>1504</c:v>
                </c:pt>
                <c:pt idx="86">
                  <c:v>1466</c:v>
                </c:pt>
                <c:pt idx="87">
                  <c:v>2091</c:v>
                </c:pt>
                <c:pt idx="88">
                  <c:v>1634</c:v>
                </c:pt>
                <c:pt idx="89">
                  <c:v>654</c:v>
                </c:pt>
                <c:pt idx="90">
                  <c:v>568</c:v>
                </c:pt>
                <c:pt idx="91">
                  <c:v>286</c:v>
                </c:pt>
                <c:pt idx="92">
                  <c:v>1412</c:v>
                </c:pt>
                <c:pt idx="93">
                  <c:v>576</c:v>
                </c:pt>
                <c:pt idx="94">
                  <c:v>379</c:v>
                </c:pt>
                <c:pt idx="95">
                  <c:v>416</c:v>
                </c:pt>
                <c:pt idx="96">
                  <c:v>926</c:v>
                </c:pt>
                <c:pt idx="97">
                  <c:v>1169</c:v>
                </c:pt>
                <c:pt idx="98">
                  <c:v>880</c:v>
                </c:pt>
                <c:pt idx="99">
                  <c:v>705</c:v>
                </c:pt>
                <c:pt idx="100">
                  <c:v>1016</c:v>
                </c:pt>
                <c:pt idx="101">
                  <c:v>656</c:v>
                </c:pt>
                <c:pt idx="102">
                  <c:v>764</c:v>
                </c:pt>
                <c:pt idx="103">
                  <c:v>766</c:v>
                </c:pt>
                <c:pt idx="104">
                  <c:v>1603</c:v>
                </c:pt>
                <c:pt idx="105">
                  <c:v>2020</c:v>
                </c:pt>
                <c:pt idx="106">
                  <c:v>2196</c:v>
                </c:pt>
                <c:pt idx="107">
                  <c:v>1965</c:v>
                </c:pt>
                <c:pt idx="108">
                  <c:v>1445</c:v>
                </c:pt>
                <c:pt idx="109">
                  <c:v>1348</c:v>
                </c:pt>
                <c:pt idx="110">
                  <c:v>589</c:v>
                </c:pt>
                <c:pt idx="111">
                  <c:v>849</c:v>
                </c:pt>
                <c:pt idx="112">
                  <c:v>1931</c:v>
                </c:pt>
                <c:pt idx="113">
                  <c:v>856</c:v>
                </c:pt>
                <c:pt idx="114">
                  <c:v>1110</c:v>
                </c:pt>
                <c:pt idx="115">
                  <c:v>1231</c:v>
                </c:pt>
                <c:pt idx="116">
                  <c:v>760</c:v>
                </c:pt>
                <c:pt idx="117">
                  <c:v>771</c:v>
                </c:pt>
                <c:pt idx="118">
                  <c:v>1073</c:v>
                </c:pt>
                <c:pt idx="119">
                  <c:v>1064</c:v>
                </c:pt>
                <c:pt idx="120">
                  <c:v>985</c:v>
                </c:pt>
                <c:pt idx="121">
                  <c:v>759</c:v>
                </c:pt>
                <c:pt idx="122">
                  <c:v>1275</c:v>
                </c:pt>
                <c:pt idx="123">
                  <c:v>1413</c:v>
                </c:pt>
                <c:pt idx="124">
                  <c:v>950</c:v>
                </c:pt>
                <c:pt idx="125">
                  <c:v>1227</c:v>
                </c:pt>
                <c:pt idx="126">
                  <c:v>1093</c:v>
                </c:pt>
                <c:pt idx="127">
                  <c:v>1461</c:v>
                </c:pt>
                <c:pt idx="128">
                  <c:v>813</c:v>
                </c:pt>
                <c:pt idx="129">
                  <c:v>2318</c:v>
                </c:pt>
                <c:pt idx="130">
                  <c:v>2908</c:v>
                </c:pt>
                <c:pt idx="131">
                  <c:v>2265</c:v>
                </c:pt>
                <c:pt idx="132">
                  <c:v>1306</c:v>
                </c:pt>
                <c:pt idx="133">
                  <c:v>686</c:v>
                </c:pt>
                <c:pt idx="134">
                  <c:v>651</c:v>
                </c:pt>
                <c:pt idx="135">
                  <c:v>1273</c:v>
                </c:pt>
                <c:pt idx="136">
                  <c:v>2160</c:v>
                </c:pt>
                <c:pt idx="137">
                  <c:v>1020</c:v>
                </c:pt>
                <c:pt idx="138">
                  <c:v>406</c:v>
                </c:pt>
                <c:pt idx="139">
                  <c:v>622</c:v>
                </c:pt>
                <c:pt idx="140">
                  <c:v>659</c:v>
                </c:pt>
                <c:pt idx="141">
                  <c:v>617</c:v>
                </c:pt>
                <c:pt idx="142">
                  <c:v>685</c:v>
                </c:pt>
                <c:pt idx="143">
                  <c:v>641</c:v>
                </c:pt>
                <c:pt idx="144">
                  <c:v>466</c:v>
                </c:pt>
                <c:pt idx="145">
                  <c:v>600</c:v>
                </c:pt>
                <c:pt idx="146">
                  <c:v>553</c:v>
                </c:pt>
                <c:pt idx="147">
                  <c:v>1222</c:v>
                </c:pt>
                <c:pt idx="148">
                  <c:v>1060</c:v>
                </c:pt>
                <c:pt idx="149">
                  <c:v>1092</c:v>
                </c:pt>
                <c:pt idx="150">
                  <c:v>1916</c:v>
                </c:pt>
                <c:pt idx="151">
                  <c:v>1975</c:v>
                </c:pt>
                <c:pt idx="152">
                  <c:v>1687</c:v>
                </c:pt>
                <c:pt idx="153">
                  <c:v>1569</c:v>
                </c:pt>
                <c:pt idx="154">
                  <c:v>400</c:v>
                </c:pt>
                <c:pt idx="155">
                  <c:v>761</c:v>
                </c:pt>
                <c:pt idx="156">
                  <c:v>752</c:v>
                </c:pt>
                <c:pt idx="157">
                  <c:v>535</c:v>
                </c:pt>
                <c:pt idx="158">
                  <c:v>579</c:v>
                </c:pt>
                <c:pt idx="159">
                  <c:v>1261</c:v>
                </c:pt>
                <c:pt idx="160">
                  <c:v>953</c:v>
                </c:pt>
                <c:pt idx="161">
                  <c:v>912</c:v>
                </c:pt>
                <c:pt idx="162">
                  <c:v>696</c:v>
                </c:pt>
                <c:pt idx="163">
                  <c:v>337</c:v>
                </c:pt>
                <c:pt idx="164">
                  <c:v>717</c:v>
                </c:pt>
                <c:pt idx="165">
                  <c:v>1318</c:v>
                </c:pt>
                <c:pt idx="166">
                  <c:v>384</c:v>
                </c:pt>
                <c:pt idx="167">
                  <c:v>959</c:v>
                </c:pt>
                <c:pt idx="168">
                  <c:v>1503</c:v>
                </c:pt>
                <c:pt idx="169">
                  <c:v>1544</c:v>
                </c:pt>
                <c:pt idx="170">
                  <c:v>3215</c:v>
                </c:pt>
                <c:pt idx="171">
                  <c:v>3514</c:v>
                </c:pt>
                <c:pt idx="172">
                  <c:v>4146</c:v>
                </c:pt>
                <c:pt idx="173">
                  <c:v>3272</c:v>
                </c:pt>
                <c:pt idx="174">
                  <c:v>1847</c:v>
                </c:pt>
                <c:pt idx="175">
                  <c:v>1734</c:v>
                </c:pt>
                <c:pt idx="176">
                  <c:v>1412</c:v>
                </c:pt>
                <c:pt idx="177">
                  <c:v>620</c:v>
                </c:pt>
                <c:pt idx="178">
                  <c:v>1410</c:v>
                </c:pt>
                <c:pt idx="179">
                  <c:v>1785</c:v>
                </c:pt>
                <c:pt idx="180">
                  <c:v>2331</c:v>
                </c:pt>
                <c:pt idx="181">
                  <c:v>3202</c:v>
                </c:pt>
                <c:pt idx="182">
                  <c:v>4356</c:v>
                </c:pt>
                <c:pt idx="183">
                  <c:v>2135</c:v>
                </c:pt>
                <c:pt idx="184">
                  <c:v>2397</c:v>
                </c:pt>
                <c:pt idx="185">
                  <c:v>2215</c:v>
                </c:pt>
                <c:pt idx="186">
                  <c:v>1155</c:v>
                </c:pt>
                <c:pt idx="187">
                  <c:v>1408</c:v>
                </c:pt>
                <c:pt idx="188">
                  <c:v>1180</c:v>
                </c:pt>
                <c:pt idx="189">
                  <c:v>1978</c:v>
                </c:pt>
                <c:pt idx="190">
                  <c:v>2985</c:v>
                </c:pt>
                <c:pt idx="191">
                  <c:v>3841</c:v>
                </c:pt>
                <c:pt idx="192">
                  <c:v>1641</c:v>
                </c:pt>
                <c:pt idx="193">
                  <c:v>4717</c:v>
                </c:pt>
                <c:pt idx="194">
                  <c:v>6208</c:v>
                </c:pt>
                <c:pt idx="195">
                  <c:v>2787</c:v>
                </c:pt>
                <c:pt idx="196">
                  <c:v>3365</c:v>
                </c:pt>
                <c:pt idx="197">
                  <c:v>1583</c:v>
                </c:pt>
                <c:pt idx="198">
                  <c:v>1278</c:v>
                </c:pt>
                <c:pt idx="199">
                  <c:v>1835</c:v>
                </c:pt>
                <c:pt idx="200">
                  <c:v>2118</c:v>
                </c:pt>
                <c:pt idx="201">
                  <c:v>1262</c:v>
                </c:pt>
                <c:pt idx="202">
                  <c:v>1272</c:v>
                </c:pt>
                <c:pt idx="203">
                  <c:v>2129</c:v>
                </c:pt>
                <c:pt idx="204">
                  <c:v>1863</c:v>
                </c:pt>
                <c:pt idx="205">
                  <c:v>1965</c:v>
                </c:pt>
                <c:pt idx="206">
                  <c:v>1483</c:v>
                </c:pt>
                <c:pt idx="207">
                  <c:v>2717</c:v>
                </c:pt>
                <c:pt idx="208">
                  <c:v>1769</c:v>
                </c:pt>
                <c:pt idx="209">
                  <c:v>3640</c:v>
                </c:pt>
                <c:pt idx="210">
                  <c:v>2735</c:v>
                </c:pt>
                <c:pt idx="211">
                  <c:v>3358</c:v>
                </c:pt>
                <c:pt idx="212">
                  <c:v>8967</c:v>
                </c:pt>
                <c:pt idx="213">
                  <c:v>3576</c:v>
                </c:pt>
                <c:pt idx="214">
                  <c:v>2371</c:v>
                </c:pt>
                <c:pt idx="215">
                  <c:v>3327</c:v>
                </c:pt>
                <c:pt idx="216">
                  <c:v>1158</c:v>
                </c:pt>
                <c:pt idx="217">
                  <c:v>2317</c:v>
                </c:pt>
                <c:pt idx="218">
                  <c:v>1311</c:v>
                </c:pt>
                <c:pt idx="219">
                  <c:v>1056</c:v>
                </c:pt>
                <c:pt idx="220">
                  <c:v>1633</c:v>
                </c:pt>
                <c:pt idx="221">
                  <c:v>1497</c:v>
                </c:pt>
                <c:pt idx="222">
                  <c:v>1177</c:v>
                </c:pt>
                <c:pt idx="223">
                  <c:v>1062</c:v>
                </c:pt>
                <c:pt idx="224">
                  <c:v>1512</c:v>
                </c:pt>
                <c:pt idx="225">
                  <c:v>1606</c:v>
                </c:pt>
                <c:pt idx="226">
                  <c:v>2504</c:v>
                </c:pt>
                <c:pt idx="227">
                  <c:v>3546</c:v>
                </c:pt>
                <c:pt idx="228">
                  <c:v>2705</c:v>
                </c:pt>
                <c:pt idx="229">
                  <c:v>2994</c:v>
                </c:pt>
                <c:pt idx="230">
                  <c:v>4642</c:v>
                </c:pt>
                <c:pt idx="231">
                  <c:v>5455</c:v>
                </c:pt>
                <c:pt idx="232">
                  <c:v>2109</c:v>
                </c:pt>
                <c:pt idx="233">
                  <c:v>5034</c:v>
                </c:pt>
                <c:pt idx="234">
                  <c:v>5044</c:v>
                </c:pt>
                <c:pt idx="235">
                  <c:v>1159</c:v>
                </c:pt>
                <c:pt idx="236">
                  <c:v>1907</c:v>
                </c:pt>
                <c:pt idx="237">
                  <c:v>2348</c:v>
                </c:pt>
                <c:pt idx="238">
                  <c:v>2675</c:v>
                </c:pt>
                <c:pt idx="239">
                  <c:v>3596</c:v>
                </c:pt>
                <c:pt idx="240">
                  <c:v>4363</c:v>
                </c:pt>
                <c:pt idx="241">
                  <c:v>7596</c:v>
                </c:pt>
                <c:pt idx="242">
                  <c:v>3451</c:v>
                </c:pt>
                <c:pt idx="243">
                  <c:v>2800</c:v>
                </c:pt>
                <c:pt idx="244">
                  <c:v>3324</c:v>
                </c:pt>
              </c:numCache>
            </c:numRef>
          </c:val>
        </c:ser>
        <c:gapWidth val="0"/>
        <c:axId val="131620224"/>
        <c:axId val="131622016"/>
      </c:barChart>
      <c:lineChart>
        <c:grouping val="standard"/>
        <c:ser>
          <c:idx val="3"/>
          <c:order val="1"/>
          <c:tx>
            <c:strRef>
              <c:f>[1]FKLI!$E$1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[1]FKLI!$E$1747:$E$1991</c:f>
              <c:numCache>
                <c:formatCode>General</c:formatCode>
                <c:ptCount val="245"/>
                <c:pt idx="0">
                  <c:v>2385</c:v>
                </c:pt>
                <c:pt idx="1">
                  <c:v>2486</c:v>
                </c:pt>
                <c:pt idx="2">
                  <c:v>2723</c:v>
                </c:pt>
                <c:pt idx="3">
                  <c:v>3046</c:v>
                </c:pt>
                <c:pt idx="4">
                  <c:v>3164</c:v>
                </c:pt>
                <c:pt idx="5">
                  <c:v>3331</c:v>
                </c:pt>
                <c:pt idx="6">
                  <c:v>2892</c:v>
                </c:pt>
                <c:pt idx="7">
                  <c:v>2674</c:v>
                </c:pt>
                <c:pt idx="8">
                  <c:v>3132</c:v>
                </c:pt>
                <c:pt idx="9">
                  <c:v>3140</c:v>
                </c:pt>
                <c:pt idx="10">
                  <c:v>2066</c:v>
                </c:pt>
                <c:pt idx="11">
                  <c:v>2099</c:v>
                </c:pt>
                <c:pt idx="12">
                  <c:v>2059</c:v>
                </c:pt>
                <c:pt idx="13">
                  <c:v>2229</c:v>
                </c:pt>
                <c:pt idx="14">
                  <c:v>2338</c:v>
                </c:pt>
                <c:pt idx="15">
                  <c:v>2354</c:v>
                </c:pt>
                <c:pt idx="16">
                  <c:v>2487</c:v>
                </c:pt>
                <c:pt idx="17">
                  <c:v>2496</c:v>
                </c:pt>
                <c:pt idx="18">
                  <c:v>2600</c:v>
                </c:pt>
                <c:pt idx="19">
                  <c:v>2541</c:v>
                </c:pt>
                <c:pt idx="20">
                  <c:v>2509</c:v>
                </c:pt>
                <c:pt idx="21">
                  <c:v>2481</c:v>
                </c:pt>
                <c:pt idx="22">
                  <c:v>2456</c:v>
                </c:pt>
                <c:pt idx="23">
                  <c:v>2536</c:v>
                </c:pt>
                <c:pt idx="24">
                  <c:v>2666</c:v>
                </c:pt>
                <c:pt idx="25">
                  <c:v>2645</c:v>
                </c:pt>
                <c:pt idx="26">
                  <c:v>2699</c:v>
                </c:pt>
                <c:pt idx="27">
                  <c:v>1659</c:v>
                </c:pt>
                <c:pt idx="28">
                  <c:v>1711</c:v>
                </c:pt>
                <c:pt idx="29">
                  <c:v>1697</c:v>
                </c:pt>
                <c:pt idx="30">
                  <c:v>1734</c:v>
                </c:pt>
                <c:pt idx="31">
                  <c:v>1857</c:v>
                </c:pt>
                <c:pt idx="32">
                  <c:v>1905</c:v>
                </c:pt>
                <c:pt idx="33">
                  <c:v>1998</c:v>
                </c:pt>
                <c:pt idx="34">
                  <c:v>2206</c:v>
                </c:pt>
                <c:pt idx="35">
                  <c:v>2302</c:v>
                </c:pt>
                <c:pt idx="36">
                  <c:v>2362</c:v>
                </c:pt>
                <c:pt idx="37">
                  <c:v>2435</c:v>
                </c:pt>
                <c:pt idx="38">
                  <c:v>2538</c:v>
                </c:pt>
                <c:pt idx="39">
                  <c:v>2629</c:v>
                </c:pt>
                <c:pt idx="40">
                  <c:v>2835</c:v>
                </c:pt>
                <c:pt idx="41">
                  <c:v>2897</c:v>
                </c:pt>
                <c:pt idx="42">
                  <c:v>2965</c:v>
                </c:pt>
                <c:pt idx="43">
                  <c:v>2974</c:v>
                </c:pt>
                <c:pt idx="44">
                  <c:v>3200</c:v>
                </c:pt>
                <c:pt idx="45">
                  <c:v>3381</c:v>
                </c:pt>
                <c:pt idx="46">
                  <c:v>3655</c:v>
                </c:pt>
                <c:pt idx="47">
                  <c:v>1774</c:v>
                </c:pt>
                <c:pt idx="48">
                  <c:v>1801</c:v>
                </c:pt>
                <c:pt idx="49">
                  <c:v>1798</c:v>
                </c:pt>
                <c:pt idx="50">
                  <c:v>1952</c:v>
                </c:pt>
                <c:pt idx="51">
                  <c:v>2185</c:v>
                </c:pt>
                <c:pt idx="52">
                  <c:v>1846</c:v>
                </c:pt>
                <c:pt idx="53">
                  <c:v>1828</c:v>
                </c:pt>
                <c:pt idx="54">
                  <c:v>1788</c:v>
                </c:pt>
                <c:pt idx="55">
                  <c:v>1795</c:v>
                </c:pt>
                <c:pt idx="56">
                  <c:v>1815</c:v>
                </c:pt>
                <c:pt idx="57">
                  <c:v>1790</c:v>
                </c:pt>
                <c:pt idx="58">
                  <c:v>1858</c:v>
                </c:pt>
                <c:pt idx="59">
                  <c:v>1889</c:v>
                </c:pt>
                <c:pt idx="60">
                  <c:v>1898</c:v>
                </c:pt>
                <c:pt idx="61">
                  <c:v>1874</c:v>
                </c:pt>
                <c:pt idx="62">
                  <c:v>1868</c:v>
                </c:pt>
                <c:pt idx="63">
                  <c:v>1901</c:v>
                </c:pt>
                <c:pt idx="64">
                  <c:v>1957</c:v>
                </c:pt>
                <c:pt idx="65">
                  <c:v>1968</c:v>
                </c:pt>
                <c:pt idx="66">
                  <c:v>2032</c:v>
                </c:pt>
                <c:pt idx="67">
                  <c:v>2013</c:v>
                </c:pt>
                <c:pt idx="68">
                  <c:v>2079</c:v>
                </c:pt>
                <c:pt idx="69">
                  <c:v>1567</c:v>
                </c:pt>
                <c:pt idx="70">
                  <c:v>1516</c:v>
                </c:pt>
                <c:pt idx="71">
                  <c:v>1822</c:v>
                </c:pt>
                <c:pt idx="72">
                  <c:v>1822</c:v>
                </c:pt>
                <c:pt idx="73">
                  <c:v>1809</c:v>
                </c:pt>
                <c:pt idx="74">
                  <c:v>1800</c:v>
                </c:pt>
                <c:pt idx="75">
                  <c:v>1763</c:v>
                </c:pt>
                <c:pt idx="76">
                  <c:v>1781</c:v>
                </c:pt>
                <c:pt idx="77">
                  <c:v>1786</c:v>
                </c:pt>
                <c:pt idx="78">
                  <c:v>1905</c:v>
                </c:pt>
                <c:pt idx="79">
                  <c:v>2040</c:v>
                </c:pt>
                <c:pt idx="80">
                  <c:v>1806</c:v>
                </c:pt>
                <c:pt idx="81">
                  <c:v>1866</c:v>
                </c:pt>
                <c:pt idx="82">
                  <c:v>1898</c:v>
                </c:pt>
                <c:pt idx="83">
                  <c:v>2160</c:v>
                </c:pt>
                <c:pt idx="84">
                  <c:v>2368</c:v>
                </c:pt>
                <c:pt idx="85">
                  <c:v>2492</c:v>
                </c:pt>
                <c:pt idx="86">
                  <c:v>2798</c:v>
                </c:pt>
                <c:pt idx="87">
                  <c:v>3205</c:v>
                </c:pt>
                <c:pt idx="88">
                  <c:v>2489</c:v>
                </c:pt>
                <c:pt idx="89">
                  <c:v>2676</c:v>
                </c:pt>
                <c:pt idx="90">
                  <c:v>2711</c:v>
                </c:pt>
                <c:pt idx="91">
                  <c:v>2768</c:v>
                </c:pt>
                <c:pt idx="92">
                  <c:v>3005</c:v>
                </c:pt>
                <c:pt idx="93">
                  <c:v>3185</c:v>
                </c:pt>
                <c:pt idx="94">
                  <c:v>3300</c:v>
                </c:pt>
                <c:pt idx="95">
                  <c:v>3368</c:v>
                </c:pt>
                <c:pt idx="96">
                  <c:v>3739</c:v>
                </c:pt>
                <c:pt idx="97">
                  <c:v>3860</c:v>
                </c:pt>
                <c:pt idx="98">
                  <c:v>3861</c:v>
                </c:pt>
                <c:pt idx="99">
                  <c:v>3888</c:v>
                </c:pt>
                <c:pt idx="100">
                  <c:v>4159</c:v>
                </c:pt>
                <c:pt idx="101">
                  <c:v>4308</c:v>
                </c:pt>
                <c:pt idx="102">
                  <c:v>4400</c:v>
                </c:pt>
                <c:pt idx="103">
                  <c:v>4614</c:v>
                </c:pt>
                <c:pt idx="104">
                  <c:v>5421</c:v>
                </c:pt>
                <c:pt idx="105">
                  <c:v>5074</c:v>
                </c:pt>
                <c:pt idx="106">
                  <c:v>5574</c:v>
                </c:pt>
                <c:pt idx="107">
                  <c:v>5084</c:v>
                </c:pt>
                <c:pt idx="108">
                  <c:v>4777</c:v>
                </c:pt>
                <c:pt idx="109">
                  <c:v>3736</c:v>
                </c:pt>
                <c:pt idx="110">
                  <c:v>3816</c:v>
                </c:pt>
                <c:pt idx="111">
                  <c:v>3982</c:v>
                </c:pt>
                <c:pt idx="112">
                  <c:v>3832</c:v>
                </c:pt>
                <c:pt idx="113">
                  <c:v>3864</c:v>
                </c:pt>
                <c:pt idx="114">
                  <c:v>4511</c:v>
                </c:pt>
                <c:pt idx="115">
                  <c:v>4044</c:v>
                </c:pt>
                <c:pt idx="116">
                  <c:v>3913</c:v>
                </c:pt>
                <c:pt idx="117">
                  <c:v>4006</c:v>
                </c:pt>
                <c:pt idx="118">
                  <c:v>4290</c:v>
                </c:pt>
                <c:pt idx="119">
                  <c:v>4472</c:v>
                </c:pt>
                <c:pt idx="120">
                  <c:v>4553</c:v>
                </c:pt>
                <c:pt idx="121">
                  <c:v>4666</c:v>
                </c:pt>
                <c:pt idx="122">
                  <c:v>4645</c:v>
                </c:pt>
                <c:pt idx="123">
                  <c:v>4724</c:v>
                </c:pt>
                <c:pt idx="124">
                  <c:v>4817</c:v>
                </c:pt>
                <c:pt idx="125">
                  <c:v>4893</c:v>
                </c:pt>
                <c:pt idx="126">
                  <c:v>4686</c:v>
                </c:pt>
                <c:pt idx="127">
                  <c:v>4607</c:v>
                </c:pt>
                <c:pt idx="128">
                  <c:v>4679</c:v>
                </c:pt>
                <c:pt idx="129">
                  <c:v>5162</c:v>
                </c:pt>
                <c:pt idx="130">
                  <c:v>5407</c:v>
                </c:pt>
                <c:pt idx="131">
                  <c:v>5038</c:v>
                </c:pt>
                <c:pt idx="132">
                  <c:v>4001</c:v>
                </c:pt>
                <c:pt idx="133">
                  <c:v>4204</c:v>
                </c:pt>
                <c:pt idx="134">
                  <c:v>4240</c:v>
                </c:pt>
                <c:pt idx="135">
                  <c:v>4302</c:v>
                </c:pt>
                <c:pt idx="136">
                  <c:v>4588</c:v>
                </c:pt>
                <c:pt idx="137">
                  <c:v>4821</c:v>
                </c:pt>
                <c:pt idx="138">
                  <c:v>3763</c:v>
                </c:pt>
                <c:pt idx="139">
                  <c:v>3780</c:v>
                </c:pt>
                <c:pt idx="140">
                  <c:v>3812</c:v>
                </c:pt>
                <c:pt idx="141">
                  <c:v>3774</c:v>
                </c:pt>
                <c:pt idx="142">
                  <c:v>3828</c:v>
                </c:pt>
                <c:pt idx="143">
                  <c:v>3878</c:v>
                </c:pt>
                <c:pt idx="144">
                  <c:v>3915</c:v>
                </c:pt>
                <c:pt idx="145">
                  <c:v>3932</c:v>
                </c:pt>
                <c:pt idx="146">
                  <c:v>4038</c:v>
                </c:pt>
                <c:pt idx="147">
                  <c:v>4097</c:v>
                </c:pt>
                <c:pt idx="148">
                  <c:v>3844</c:v>
                </c:pt>
                <c:pt idx="149">
                  <c:v>3902</c:v>
                </c:pt>
                <c:pt idx="150">
                  <c:v>3970</c:v>
                </c:pt>
                <c:pt idx="151">
                  <c:v>3980</c:v>
                </c:pt>
                <c:pt idx="152">
                  <c:v>3807</c:v>
                </c:pt>
                <c:pt idx="153">
                  <c:v>2774</c:v>
                </c:pt>
                <c:pt idx="154">
                  <c:v>2849</c:v>
                </c:pt>
                <c:pt idx="155">
                  <c:v>2946</c:v>
                </c:pt>
                <c:pt idx="156">
                  <c:v>2735</c:v>
                </c:pt>
                <c:pt idx="157">
                  <c:v>2648</c:v>
                </c:pt>
                <c:pt idx="158">
                  <c:v>2646</c:v>
                </c:pt>
                <c:pt idx="159">
                  <c:v>2683</c:v>
                </c:pt>
                <c:pt idx="160">
                  <c:v>2724</c:v>
                </c:pt>
                <c:pt idx="161">
                  <c:v>2780</c:v>
                </c:pt>
                <c:pt idx="162">
                  <c:v>2938</c:v>
                </c:pt>
                <c:pt idx="163">
                  <c:v>2929</c:v>
                </c:pt>
                <c:pt idx="164">
                  <c:v>2915</c:v>
                </c:pt>
                <c:pt idx="165">
                  <c:v>2821</c:v>
                </c:pt>
                <c:pt idx="166">
                  <c:v>5546</c:v>
                </c:pt>
                <c:pt idx="167">
                  <c:v>5817</c:v>
                </c:pt>
                <c:pt idx="168">
                  <c:v>5891</c:v>
                </c:pt>
                <c:pt idx="169">
                  <c:v>6191</c:v>
                </c:pt>
                <c:pt idx="170">
                  <c:v>6920</c:v>
                </c:pt>
                <c:pt idx="171">
                  <c:v>7179</c:v>
                </c:pt>
                <c:pt idx="172">
                  <c:v>7904</c:v>
                </c:pt>
                <c:pt idx="173">
                  <c:v>7836</c:v>
                </c:pt>
                <c:pt idx="174">
                  <c:v>5690</c:v>
                </c:pt>
                <c:pt idx="175">
                  <c:v>5611</c:v>
                </c:pt>
                <c:pt idx="176">
                  <c:v>5774</c:v>
                </c:pt>
                <c:pt idx="177">
                  <c:v>5721</c:v>
                </c:pt>
                <c:pt idx="178">
                  <c:v>5489</c:v>
                </c:pt>
                <c:pt idx="179">
                  <c:v>5481</c:v>
                </c:pt>
                <c:pt idx="180">
                  <c:v>5777</c:v>
                </c:pt>
                <c:pt idx="181">
                  <c:v>6248</c:v>
                </c:pt>
                <c:pt idx="182">
                  <c:v>6546</c:v>
                </c:pt>
                <c:pt idx="183">
                  <c:v>6926</c:v>
                </c:pt>
                <c:pt idx="184">
                  <c:v>7155</c:v>
                </c:pt>
                <c:pt idx="185">
                  <c:v>7631</c:v>
                </c:pt>
                <c:pt idx="186">
                  <c:v>7947</c:v>
                </c:pt>
                <c:pt idx="187">
                  <c:v>8132</c:v>
                </c:pt>
                <c:pt idx="188">
                  <c:v>8343</c:v>
                </c:pt>
                <c:pt idx="189">
                  <c:v>8797</c:v>
                </c:pt>
                <c:pt idx="190">
                  <c:v>8449</c:v>
                </c:pt>
                <c:pt idx="191">
                  <c:v>8556</c:v>
                </c:pt>
                <c:pt idx="192">
                  <c:v>8584</c:v>
                </c:pt>
                <c:pt idx="193">
                  <c:v>8893</c:v>
                </c:pt>
                <c:pt idx="194">
                  <c:v>9417</c:v>
                </c:pt>
                <c:pt idx="195">
                  <c:v>8907</c:v>
                </c:pt>
                <c:pt idx="196">
                  <c:v>7602</c:v>
                </c:pt>
                <c:pt idx="197">
                  <c:v>8063</c:v>
                </c:pt>
                <c:pt idx="198">
                  <c:v>8229</c:v>
                </c:pt>
                <c:pt idx="199">
                  <c:v>9194</c:v>
                </c:pt>
                <c:pt idx="200">
                  <c:v>9483</c:v>
                </c:pt>
                <c:pt idx="201">
                  <c:v>9434</c:v>
                </c:pt>
                <c:pt idx="202">
                  <c:v>9334</c:v>
                </c:pt>
                <c:pt idx="203">
                  <c:v>9405</c:v>
                </c:pt>
                <c:pt idx="204">
                  <c:v>9577</c:v>
                </c:pt>
                <c:pt idx="205">
                  <c:v>10137</c:v>
                </c:pt>
                <c:pt idx="206">
                  <c:v>10206</c:v>
                </c:pt>
                <c:pt idx="207">
                  <c:v>10081</c:v>
                </c:pt>
                <c:pt idx="208">
                  <c:v>10187</c:v>
                </c:pt>
                <c:pt idx="209">
                  <c:v>10815</c:v>
                </c:pt>
                <c:pt idx="210">
                  <c:v>10788</c:v>
                </c:pt>
                <c:pt idx="211">
                  <c:v>10961</c:v>
                </c:pt>
                <c:pt idx="212">
                  <c:v>11870</c:v>
                </c:pt>
                <c:pt idx="213">
                  <c:v>7681</c:v>
                </c:pt>
                <c:pt idx="214">
                  <c:v>7881</c:v>
                </c:pt>
                <c:pt idx="215">
                  <c:v>8404</c:v>
                </c:pt>
                <c:pt idx="216">
                  <c:v>8362</c:v>
                </c:pt>
                <c:pt idx="217">
                  <c:v>8718</c:v>
                </c:pt>
                <c:pt idx="218">
                  <c:v>8945</c:v>
                </c:pt>
                <c:pt idx="219">
                  <c:v>9100</c:v>
                </c:pt>
                <c:pt idx="220">
                  <c:v>9000</c:v>
                </c:pt>
                <c:pt idx="221">
                  <c:v>9306</c:v>
                </c:pt>
                <c:pt idx="222">
                  <c:v>9270</c:v>
                </c:pt>
                <c:pt idx="223">
                  <c:v>9358</c:v>
                </c:pt>
                <c:pt idx="224">
                  <c:v>9407</c:v>
                </c:pt>
                <c:pt idx="225">
                  <c:v>9475</c:v>
                </c:pt>
                <c:pt idx="226">
                  <c:v>9331</c:v>
                </c:pt>
                <c:pt idx="227">
                  <c:v>9530</c:v>
                </c:pt>
                <c:pt idx="228">
                  <c:v>9291</c:v>
                </c:pt>
                <c:pt idx="229">
                  <c:v>9675</c:v>
                </c:pt>
                <c:pt idx="230">
                  <c:v>10005</c:v>
                </c:pt>
                <c:pt idx="231">
                  <c:v>10037</c:v>
                </c:pt>
                <c:pt idx="232">
                  <c:v>9851</c:v>
                </c:pt>
                <c:pt idx="233">
                  <c:v>9834</c:v>
                </c:pt>
                <c:pt idx="234">
                  <c:v>11003</c:v>
                </c:pt>
                <c:pt idx="235">
                  <c:v>8993</c:v>
                </c:pt>
                <c:pt idx="236">
                  <c:v>8989</c:v>
                </c:pt>
                <c:pt idx="237">
                  <c:v>9661</c:v>
                </c:pt>
                <c:pt idx="238">
                  <c:v>10271</c:v>
                </c:pt>
                <c:pt idx="239">
                  <c:v>10989</c:v>
                </c:pt>
                <c:pt idx="240">
                  <c:v>11262</c:v>
                </c:pt>
                <c:pt idx="241">
                  <c:v>14151</c:v>
                </c:pt>
                <c:pt idx="242">
                  <c:v>14961</c:v>
                </c:pt>
                <c:pt idx="243">
                  <c:v>15476</c:v>
                </c:pt>
                <c:pt idx="244">
                  <c:v>16406</c:v>
                </c:pt>
              </c:numCache>
            </c:numRef>
          </c:val>
        </c:ser>
        <c:marker val="1"/>
        <c:axId val="131623552"/>
        <c:axId val="131629440"/>
      </c:lineChart>
      <c:catAx>
        <c:axId val="131620224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2016"/>
        <c:crosses val="autoZero"/>
        <c:lblAlgn val="ctr"/>
        <c:lblOffset val="100"/>
        <c:tickLblSkip val="10"/>
        <c:tickMarkSkip val="1"/>
      </c:catAx>
      <c:valAx>
        <c:axId val="131622016"/>
        <c:scaling>
          <c:orientation val="minMax"/>
          <c:max val="100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0224"/>
        <c:crosses val="autoZero"/>
        <c:crossBetween val="between"/>
        <c:majorUnit val="1000"/>
      </c:valAx>
      <c:catAx>
        <c:axId val="131623552"/>
        <c:scaling>
          <c:orientation val="minMax"/>
        </c:scaling>
        <c:delete val="1"/>
        <c:axPos val="b"/>
        <c:numFmt formatCode="General" sourceLinked="1"/>
        <c:tickLblPos val="nextTo"/>
        <c:crossAx val="131629440"/>
        <c:crossesAt val="0"/>
        <c:lblAlgn val="ctr"/>
        <c:lblOffset val="100"/>
      </c:catAx>
      <c:valAx>
        <c:axId val="131629440"/>
        <c:scaling>
          <c:orientation val="minMax"/>
          <c:max val="18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3552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49487362040313"/>
          <c:y val="0.9310359078601157"/>
          <c:w val="0.38134614664011002"/>
          <c:h val="5.329161762162279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39482961222091678"/>
          <c:y val="2.08334039761148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905992949471247E-2"/>
          <c:y val="5.2083509940287091E-2"/>
          <c:w val="0.8401880141010577"/>
          <c:h val="0.68055786321975109"/>
        </c:manualLayout>
      </c:layout>
      <c:barChart>
        <c:barDir val="col"/>
        <c:grouping val="clustered"/>
        <c:ser>
          <c:idx val="2"/>
          <c:order val="0"/>
          <c:tx>
            <c:strRef>
              <c:f>[1]FKB3!$BJ$2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[1]FKB3!$A$627:$A$871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[1]FKB3!$BJ$627:$BJ$871</c:f>
              <c:numCache>
                <c:formatCode>General</c:formatCode>
                <c:ptCount val="245"/>
                <c:pt idx="0">
                  <c:v>457</c:v>
                </c:pt>
                <c:pt idx="1">
                  <c:v>212</c:v>
                </c:pt>
                <c:pt idx="2">
                  <c:v>7</c:v>
                </c:pt>
                <c:pt idx="3">
                  <c:v>595</c:v>
                </c:pt>
                <c:pt idx="4">
                  <c:v>45</c:v>
                </c:pt>
                <c:pt idx="5">
                  <c:v>693</c:v>
                </c:pt>
                <c:pt idx="6">
                  <c:v>790</c:v>
                </c:pt>
                <c:pt idx="7">
                  <c:v>1108</c:v>
                </c:pt>
                <c:pt idx="8">
                  <c:v>515</c:v>
                </c:pt>
                <c:pt idx="9">
                  <c:v>20</c:v>
                </c:pt>
                <c:pt idx="10">
                  <c:v>13</c:v>
                </c:pt>
                <c:pt idx="11">
                  <c:v>2</c:v>
                </c:pt>
                <c:pt idx="12">
                  <c:v>12</c:v>
                </c:pt>
                <c:pt idx="13">
                  <c:v>368</c:v>
                </c:pt>
                <c:pt idx="14">
                  <c:v>193</c:v>
                </c:pt>
                <c:pt idx="15">
                  <c:v>227</c:v>
                </c:pt>
                <c:pt idx="16">
                  <c:v>165</c:v>
                </c:pt>
                <c:pt idx="17">
                  <c:v>220</c:v>
                </c:pt>
                <c:pt idx="18">
                  <c:v>784</c:v>
                </c:pt>
                <c:pt idx="19">
                  <c:v>432</c:v>
                </c:pt>
                <c:pt idx="20">
                  <c:v>385</c:v>
                </c:pt>
                <c:pt idx="21">
                  <c:v>95</c:v>
                </c:pt>
                <c:pt idx="22">
                  <c:v>790</c:v>
                </c:pt>
                <c:pt idx="23">
                  <c:v>1259</c:v>
                </c:pt>
                <c:pt idx="24">
                  <c:v>32</c:v>
                </c:pt>
                <c:pt idx="25">
                  <c:v>2</c:v>
                </c:pt>
                <c:pt idx="26">
                  <c:v>171</c:v>
                </c:pt>
                <c:pt idx="27">
                  <c:v>720</c:v>
                </c:pt>
                <c:pt idx="28">
                  <c:v>0</c:v>
                </c:pt>
                <c:pt idx="29">
                  <c:v>485</c:v>
                </c:pt>
                <c:pt idx="30">
                  <c:v>615</c:v>
                </c:pt>
                <c:pt idx="31">
                  <c:v>138</c:v>
                </c:pt>
                <c:pt idx="32">
                  <c:v>165</c:v>
                </c:pt>
                <c:pt idx="33">
                  <c:v>1260</c:v>
                </c:pt>
                <c:pt idx="34">
                  <c:v>1282</c:v>
                </c:pt>
                <c:pt idx="35">
                  <c:v>1370</c:v>
                </c:pt>
                <c:pt idx="36">
                  <c:v>1975</c:v>
                </c:pt>
                <c:pt idx="37">
                  <c:v>243</c:v>
                </c:pt>
                <c:pt idx="38">
                  <c:v>736</c:v>
                </c:pt>
                <c:pt idx="39">
                  <c:v>3155</c:v>
                </c:pt>
                <c:pt idx="40">
                  <c:v>882</c:v>
                </c:pt>
                <c:pt idx="41">
                  <c:v>1077</c:v>
                </c:pt>
                <c:pt idx="42">
                  <c:v>878</c:v>
                </c:pt>
                <c:pt idx="43">
                  <c:v>343</c:v>
                </c:pt>
                <c:pt idx="44">
                  <c:v>1063</c:v>
                </c:pt>
                <c:pt idx="45">
                  <c:v>437</c:v>
                </c:pt>
                <c:pt idx="46">
                  <c:v>98</c:v>
                </c:pt>
                <c:pt idx="47">
                  <c:v>351</c:v>
                </c:pt>
                <c:pt idx="48">
                  <c:v>1100</c:v>
                </c:pt>
                <c:pt idx="49">
                  <c:v>32</c:v>
                </c:pt>
                <c:pt idx="50">
                  <c:v>335</c:v>
                </c:pt>
                <c:pt idx="51">
                  <c:v>1322</c:v>
                </c:pt>
                <c:pt idx="52">
                  <c:v>380</c:v>
                </c:pt>
                <c:pt idx="53">
                  <c:v>911</c:v>
                </c:pt>
                <c:pt idx="54">
                  <c:v>105</c:v>
                </c:pt>
                <c:pt idx="55">
                  <c:v>1890</c:v>
                </c:pt>
                <c:pt idx="56">
                  <c:v>915</c:v>
                </c:pt>
                <c:pt idx="57">
                  <c:v>640</c:v>
                </c:pt>
                <c:pt idx="58">
                  <c:v>2</c:v>
                </c:pt>
                <c:pt idx="59">
                  <c:v>370</c:v>
                </c:pt>
                <c:pt idx="60">
                  <c:v>5</c:v>
                </c:pt>
                <c:pt idx="61">
                  <c:v>0</c:v>
                </c:pt>
                <c:pt idx="62">
                  <c:v>730</c:v>
                </c:pt>
                <c:pt idx="63">
                  <c:v>0</c:v>
                </c:pt>
                <c:pt idx="64">
                  <c:v>581</c:v>
                </c:pt>
                <c:pt idx="65">
                  <c:v>50</c:v>
                </c:pt>
                <c:pt idx="66">
                  <c:v>315</c:v>
                </c:pt>
                <c:pt idx="67">
                  <c:v>0</c:v>
                </c:pt>
                <c:pt idx="68">
                  <c:v>200</c:v>
                </c:pt>
                <c:pt idx="69">
                  <c:v>40</c:v>
                </c:pt>
                <c:pt idx="70">
                  <c:v>0</c:v>
                </c:pt>
                <c:pt idx="71">
                  <c:v>20</c:v>
                </c:pt>
                <c:pt idx="72">
                  <c:v>0</c:v>
                </c:pt>
                <c:pt idx="73">
                  <c:v>10</c:v>
                </c:pt>
                <c:pt idx="74">
                  <c:v>0</c:v>
                </c:pt>
                <c:pt idx="75">
                  <c:v>25</c:v>
                </c:pt>
                <c:pt idx="76">
                  <c:v>2</c:v>
                </c:pt>
                <c:pt idx="77">
                  <c:v>0</c:v>
                </c:pt>
                <c:pt idx="78">
                  <c:v>0</c:v>
                </c:pt>
                <c:pt idx="79">
                  <c:v>139</c:v>
                </c:pt>
                <c:pt idx="80">
                  <c:v>195</c:v>
                </c:pt>
                <c:pt idx="81">
                  <c:v>340</c:v>
                </c:pt>
                <c:pt idx="82">
                  <c:v>1043</c:v>
                </c:pt>
                <c:pt idx="83">
                  <c:v>0</c:v>
                </c:pt>
                <c:pt idx="84">
                  <c:v>160</c:v>
                </c:pt>
                <c:pt idx="85">
                  <c:v>0</c:v>
                </c:pt>
                <c:pt idx="86">
                  <c:v>68</c:v>
                </c:pt>
                <c:pt idx="87">
                  <c:v>1155</c:v>
                </c:pt>
                <c:pt idx="88">
                  <c:v>0</c:v>
                </c:pt>
                <c:pt idx="89">
                  <c:v>0</c:v>
                </c:pt>
                <c:pt idx="90">
                  <c:v>200</c:v>
                </c:pt>
                <c:pt idx="91">
                  <c:v>267</c:v>
                </c:pt>
                <c:pt idx="92">
                  <c:v>320</c:v>
                </c:pt>
                <c:pt idx="93">
                  <c:v>96</c:v>
                </c:pt>
                <c:pt idx="94">
                  <c:v>0</c:v>
                </c:pt>
                <c:pt idx="95">
                  <c:v>420</c:v>
                </c:pt>
                <c:pt idx="96">
                  <c:v>1077</c:v>
                </c:pt>
                <c:pt idx="97">
                  <c:v>0</c:v>
                </c:pt>
                <c:pt idx="98">
                  <c:v>0</c:v>
                </c:pt>
                <c:pt idx="99">
                  <c:v>350</c:v>
                </c:pt>
                <c:pt idx="100">
                  <c:v>200</c:v>
                </c:pt>
                <c:pt idx="101">
                  <c:v>138</c:v>
                </c:pt>
                <c:pt idx="102">
                  <c:v>750</c:v>
                </c:pt>
                <c:pt idx="103">
                  <c:v>0</c:v>
                </c:pt>
                <c:pt idx="104">
                  <c:v>0</c:v>
                </c:pt>
                <c:pt idx="105">
                  <c:v>200</c:v>
                </c:pt>
                <c:pt idx="106">
                  <c:v>280</c:v>
                </c:pt>
                <c:pt idx="107">
                  <c:v>845</c:v>
                </c:pt>
                <c:pt idx="108">
                  <c:v>245</c:v>
                </c:pt>
                <c:pt idx="109">
                  <c:v>5</c:v>
                </c:pt>
                <c:pt idx="110">
                  <c:v>200</c:v>
                </c:pt>
                <c:pt idx="111">
                  <c:v>0</c:v>
                </c:pt>
                <c:pt idx="112">
                  <c:v>37</c:v>
                </c:pt>
                <c:pt idx="113">
                  <c:v>980</c:v>
                </c:pt>
                <c:pt idx="114">
                  <c:v>1110</c:v>
                </c:pt>
                <c:pt idx="115">
                  <c:v>791</c:v>
                </c:pt>
                <c:pt idx="116">
                  <c:v>700</c:v>
                </c:pt>
                <c:pt idx="117">
                  <c:v>401</c:v>
                </c:pt>
                <c:pt idx="118">
                  <c:v>423</c:v>
                </c:pt>
                <c:pt idx="119">
                  <c:v>202</c:v>
                </c:pt>
                <c:pt idx="120">
                  <c:v>469</c:v>
                </c:pt>
                <c:pt idx="121">
                  <c:v>411</c:v>
                </c:pt>
                <c:pt idx="122">
                  <c:v>1541</c:v>
                </c:pt>
                <c:pt idx="123">
                  <c:v>2365</c:v>
                </c:pt>
                <c:pt idx="124">
                  <c:v>6001</c:v>
                </c:pt>
                <c:pt idx="125">
                  <c:v>1976</c:v>
                </c:pt>
                <c:pt idx="126">
                  <c:v>1114</c:v>
                </c:pt>
                <c:pt idx="127">
                  <c:v>464</c:v>
                </c:pt>
                <c:pt idx="128">
                  <c:v>1790</c:v>
                </c:pt>
                <c:pt idx="129">
                  <c:v>1865</c:v>
                </c:pt>
                <c:pt idx="130">
                  <c:v>966</c:v>
                </c:pt>
                <c:pt idx="131">
                  <c:v>281</c:v>
                </c:pt>
                <c:pt idx="132">
                  <c:v>180</c:v>
                </c:pt>
                <c:pt idx="133">
                  <c:v>223</c:v>
                </c:pt>
                <c:pt idx="134">
                  <c:v>505</c:v>
                </c:pt>
                <c:pt idx="135">
                  <c:v>894</c:v>
                </c:pt>
                <c:pt idx="136">
                  <c:v>61</c:v>
                </c:pt>
                <c:pt idx="137">
                  <c:v>142</c:v>
                </c:pt>
                <c:pt idx="138">
                  <c:v>5</c:v>
                </c:pt>
                <c:pt idx="139">
                  <c:v>96</c:v>
                </c:pt>
                <c:pt idx="140">
                  <c:v>7</c:v>
                </c:pt>
                <c:pt idx="141">
                  <c:v>1165</c:v>
                </c:pt>
                <c:pt idx="142">
                  <c:v>479</c:v>
                </c:pt>
                <c:pt idx="143">
                  <c:v>62</c:v>
                </c:pt>
                <c:pt idx="144">
                  <c:v>548</c:v>
                </c:pt>
                <c:pt idx="145">
                  <c:v>569</c:v>
                </c:pt>
                <c:pt idx="146">
                  <c:v>222</c:v>
                </c:pt>
                <c:pt idx="147">
                  <c:v>220</c:v>
                </c:pt>
                <c:pt idx="148">
                  <c:v>990</c:v>
                </c:pt>
                <c:pt idx="149">
                  <c:v>28</c:v>
                </c:pt>
                <c:pt idx="150">
                  <c:v>889</c:v>
                </c:pt>
                <c:pt idx="151">
                  <c:v>1733</c:v>
                </c:pt>
                <c:pt idx="152">
                  <c:v>1358</c:v>
                </c:pt>
                <c:pt idx="153">
                  <c:v>398</c:v>
                </c:pt>
                <c:pt idx="154">
                  <c:v>521</c:v>
                </c:pt>
                <c:pt idx="155">
                  <c:v>1067</c:v>
                </c:pt>
                <c:pt idx="156">
                  <c:v>460</c:v>
                </c:pt>
                <c:pt idx="157">
                  <c:v>359</c:v>
                </c:pt>
                <c:pt idx="158">
                  <c:v>222</c:v>
                </c:pt>
                <c:pt idx="159">
                  <c:v>530</c:v>
                </c:pt>
                <c:pt idx="160">
                  <c:v>264</c:v>
                </c:pt>
                <c:pt idx="161">
                  <c:v>562</c:v>
                </c:pt>
                <c:pt idx="162">
                  <c:v>339</c:v>
                </c:pt>
                <c:pt idx="163">
                  <c:v>145</c:v>
                </c:pt>
                <c:pt idx="164">
                  <c:v>143</c:v>
                </c:pt>
                <c:pt idx="165">
                  <c:v>41</c:v>
                </c:pt>
                <c:pt idx="166">
                  <c:v>1015</c:v>
                </c:pt>
                <c:pt idx="167">
                  <c:v>25</c:v>
                </c:pt>
                <c:pt idx="168">
                  <c:v>470</c:v>
                </c:pt>
                <c:pt idx="169">
                  <c:v>757</c:v>
                </c:pt>
                <c:pt idx="170">
                  <c:v>291</c:v>
                </c:pt>
                <c:pt idx="171">
                  <c:v>744</c:v>
                </c:pt>
                <c:pt idx="172">
                  <c:v>595</c:v>
                </c:pt>
                <c:pt idx="173">
                  <c:v>350</c:v>
                </c:pt>
                <c:pt idx="174">
                  <c:v>715</c:v>
                </c:pt>
                <c:pt idx="175">
                  <c:v>94</c:v>
                </c:pt>
                <c:pt idx="176">
                  <c:v>187</c:v>
                </c:pt>
                <c:pt idx="177">
                  <c:v>409</c:v>
                </c:pt>
                <c:pt idx="178">
                  <c:v>176</c:v>
                </c:pt>
                <c:pt idx="179">
                  <c:v>549</c:v>
                </c:pt>
                <c:pt idx="180">
                  <c:v>547</c:v>
                </c:pt>
                <c:pt idx="181">
                  <c:v>179</c:v>
                </c:pt>
                <c:pt idx="182">
                  <c:v>1454</c:v>
                </c:pt>
                <c:pt idx="183">
                  <c:v>299</c:v>
                </c:pt>
                <c:pt idx="184">
                  <c:v>196</c:v>
                </c:pt>
                <c:pt idx="185">
                  <c:v>460</c:v>
                </c:pt>
                <c:pt idx="186">
                  <c:v>776</c:v>
                </c:pt>
                <c:pt idx="187">
                  <c:v>393</c:v>
                </c:pt>
                <c:pt idx="188">
                  <c:v>70</c:v>
                </c:pt>
                <c:pt idx="189">
                  <c:v>198</c:v>
                </c:pt>
                <c:pt idx="190">
                  <c:v>1068</c:v>
                </c:pt>
                <c:pt idx="191">
                  <c:v>51</c:v>
                </c:pt>
                <c:pt idx="192">
                  <c:v>532</c:v>
                </c:pt>
                <c:pt idx="193">
                  <c:v>664</c:v>
                </c:pt>
                <c:pt idx="194">
                  <c:v>47</c:v>
                </c:pt>
                <c:pt idx="195">
                  <c:v>28</c:v>
                </c:pt>
                <c:pt idx="196">
                  <c:v>0</c:v>
                </c:pt>
                <c:pt idx="197">
                  <c:v>139</c:v>
                </c:pt>
                <c:pt idx="198">
                  <c:v>143</c:v>
                </c:pt>
                <c:pt idx="199">
                  <c:v>340</c:v>
                </c:pt>
                <c:pt idx="200">
                  <c:v>1805</c:v>
                </c:pt>
                <c:pt idx="201">
                  <c:v>718</c:v>
                </c:pt>
                <c:pt idx="202">
                  <c:v>211</c:v>
                </c:pt>
                <c:pt idx="203">
                  <c:v>602</c:v>
                </c:pt>
                <c:pt idx="204">
                  <c:v>533</c:v>
                </c:pt>
                <c:pt idx="205">
                  <c:v>687</c:v>
                </c:pt>
                <c:pt idx="206">
                  <c:v>370</c:v>
                </c:pt>
                <c:pt idx="207">
                  <c:v>418</c:v>
                </c:pt>
                <c:pt idx="208">
                  <c:v>360</c:v>
                </c:pt>
                <c:pt idx="209">
                  <c:v>132</c:v>
                </c:pt>
                <c:pt idx="210">
                  <c:v>330</c:v>
                </c:pt>
                <c:pt idx="211">
                  <c:v>235</c:v>
                </c:pt>
                <c:pt idx="212">
                  <c:v>1</c:v>
                </c:pt>
                <c:pt idx="213">
                  <c:v>2450</c:v>
                </c:pt>
                <c:pt idx="214">
                  <c:v>390</c:v>
                </c:pt>
                <c:pt idx="215">
                  <c:v>934</c:v>
                </c:pt>
                <c:pt idx="216">
                  <c:v>1577</c:v>
                </c:pt>
                <c:pt idx="217">
                  <c:v>826</c:v>
                </c:pt>
                <c:pt idx="218">
                  <c:v>187</c:v>
                </c:pt>
                <c:pt idx="219">
                  <c:v>28</c:v>
                </c:pt>
                <c:pt idx="220">
                  <c:v>429</c:v>
                </c:pt>
                <c:pt idx="221">
                  <c:v>338</c:v>
                </c:pt>
                <c:pt idx="222">
                  <c:v>1319</c:v>
                </c:pt>
                <c:pt idx="223">
                  <c:v>409</c:v>
                </c:pt>
                <c:pt idx="224">
                  <c:v>102</c:v>
                </c:pt>
                <c:pt idx="225">
                  <c:v>72</c:v>
                </c:pt>
                <c:pt idx="226">
                  <c:v>227</c:v>
                </c:pt>
                <c:pt idx="227">
                  <c:v>337</c:v>
                </c:pt>
                <c:pt idx="228">
                  <c:v>293</c:v>
                </c:pt>
                <c:pt idx="229">
                  <c:v>503</c:v>
                </c:pt>
                <c:pt idx="230">
                  <c:v>10</c:v>
                </c:pt>
                <c:pt idx="231">
                  <c:v>511</c:v>
                </c:pt>
                <c:pt idx="232">
                  <c:v>0</c:v>
                </c:pt>
                <c:pt idx="233">
                  <c:v>610</c:v>
                </c:pt>
                <c:pt idx="234">
                  <c:v>0</c:v>
                </c:pt>
                <c:pt idx="235">
                  <c:v>386</c:v>
                </c:pt>
                <c:pt idx="236">
                  <c:v>2204</c:v>
                </c:pt>
                <c:pt idx="237">
                  <c:v>1465</c:v>
                </c:pt>
                <c:pt idx="238">
                  <c:v>1498</c:v>
                </c:pt>
                <c:pt idx="239">
                  <c:v>2663</c:v>
                </c:pt>
                <c:pt idx="240">
                  <c:v>2728</c:v>
                </c:pt>
                <c:pt idx="241">
                  <c:v>1600</c:v>
                </c:pt>
                <c:pt idx="242">
                  <c:v>1127</c:v>
                </c:pt>
                <c:pt idx="243">
                  <c:v>1182</c:v>
                </c:pt>
                <c:pt idx="244">
                  <c:v>1946</c:v>
                </c:pt>
              </c:numCache>
            </c:numRef>
          </c:val>
        </c:ser>
        <c:gapWidth val="0"/>
        <c:axId val="132603264"/>
        <c:axId val="132629632"/>
      </c:barChart>
      <c:lineChart>
        <c:grouping val="standard"/>
        <c:ser>
          <c:idx val="3"/>
          <c:order val="1"/>
          <c:tx>
            <c:strRef>
              <c:f>[1]FKB3!$BK$2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[1]FKB3!$A$627:$A$871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[1]FKB3!$BK$627:$BK$871</c:f>
              <c:numCache>
                <c:formatCode>General</c:formatCode>
                <c:ptCount val="245"/>
                <c:pt idx="0">
                  <c:v>21971</c:v>
                </c:pt>
                <c:pt idx="1">
                  <c:v>22071</c:v>
                </c:pt>
                <c:pt idx="2">
                  <c:v>22077</c:v>
                </c:pt>
                <c:pt idx="3">
                  <c:v>22355</c:v>
                </c:pt>
                <c:pt idx="4">
                  <c:v>22390</c:v>
                </c:pt>
                <c:pt idx="5">
                  <c:v>22853</c:v>
                </c:pt>
                <c:pt idx="6">
                  <c:v>23339</c:v>
                </c:pt>
                <c:pt idx="7">
                  <c:v>23405</c:v>
                </c:pt>
                <c:pt idx="8">
                  <c:v>23474</c:v>
                </c:pt>
                <c:pt idx="9">
                  <c:v>23493</c:v>
                </c:pt>
                <c:pt idx="10">
                  <c:v>23501</c:v>
                </c:pt>
                <c:pt idx="11">
                  <c:v>23503</c:v>
                </c:pt>
                <c:pt idx="12">
                  <c:v>23515</c:v>
                </c:pt>
                <c:pt idx="13">
                  <c:v>23710</c:v>
                </c:pt>
                <c:pt idx="14">
                  <c:v>23623</c:v>
                </c:pt>
                <c:pt idx="15">
                  <c:v>23592</c:v>
                </c:pt>
                <c:pt idx="16">
                  <c:v>23676</c:v>
                </c:pt>
                <c:pt idx="17">
                  <c:v>23566</c:v>
                </c:pt>
                <c:pt idx="18">
                  <c:v>23191</c:v>
                </c:pt>
                <c:pt idx="19">
                  <c:v>23464</c:v>
                </c:pt>
                <c:pt idx="20">
                  <c:v>23576</c:v>
                </c:pt>
                <c:pt idx="21">
                  <c:v>23543</c:v>
                </c:pt>
                <c:pt idx="22">
                  <c:v>23509</c:v>
                </c:pt>
                <c:pt idx="23">
                  <c:v>24155</c:v>
                </c:pt>
                <c:pt idx="24">
                  <c:v>24162</c:v>
                </c:pt>
                <c:pt idx="25">
                  <c:v>24152</c:v>
                </c:pt>
                <c:pt idx="26">
                  <c:v>24097</c:v>
                </c:pt>
                <c:pt idx="27">
                  <c:v>24146</c:v>
                </c:pt>
                <c:pt idx="28">
                  <c:v>24146</c:v>
                </c:pt>
                <c:pt idx="29">
                  <c:v>24243</c:v>
                </c:pt>
                <c:pt idx="30">
                  <c:v>24528</c:v>
                </c:pt>
                <c:pt idx="31">
                  <c:v>24591</c:v>
                </c:pt>
                <c:pt idx="32">
                  <c:v>24428</c:v>
                </c:pt>
                <c:pt idx="33">
                  <c:v>24232</c:v>
                </c:pt>
                <c:pt idx="34">
                  <c:v>24486</c:v>
                </c:pt>
                <c:pt idx="35">
                  <c:v>24717</c:v>
                </c:pt>
                <c:pt idx="36">
                  <c:v>25682</c:v>
                </c:pt>
                <c:pt idx="37">
                  <c:v>25873</c:v>
                </c:pt>
                <c:pt idx="38">
                  <c:v>25849</c:v>
                </c:pt>
                <c:pt idx="39">
                  <c:v>23603</c:v>
                </c:pt>
                <c:pt idx="40">
                  <c:v>23638</c:v>
                </c:pt>
                <c:pt idx="41">
                  <c:v>23898</c:v>
                </c:pt>
                <c:pt idx="42">
                  <c:v>24186</c:v>
                </c:pt>
                <c:pt idx="43">
                  <c:v>24221</c:v>
                </c:pt>
                <c:pt idx="44">
                  <c:v>24976</c:v>
                </c:pt>
                <c:pt idx="45">
                  <c:v>25318</c:v>
                </c:pt>
                <c:pt idx="46">
                  <c:v>25370</c:v>
                </c:pt>
                <c:pt idx="47">
                  <c:v>25376</c:v>
                </c:pt>
                <c:pt idx="48">
                  <c:v>25821</c:v>
                </c:pt>
                <c:pt idx="49">
                  <c:v>25839</c:v>
                </c:pt>
                <c:pt idx="50">
                  <c:v>25899</c:v>
                </c:pt>
                <c:pt idx="51">
                  <c:v>26450</c:v>
                </c:pt>
                <c:pt idx="52">
                  <c:v>26538</c:v>
                </c:pt>
                <c:pt idx="53">
                  <c:v>26988</c:v>
                </c:pt>
                <c:pt idx="54">
                  <c:v>26961</c:v>
                </c:pt>
                <c:pt idx="55">
                  <c:v>27309</c:v>
                </c:pt>
                <c:pt idx="56">
                  <c:v>27689</c:v>
                </c:pt>
                <c:pt idx="57">
                  <c:v>28159</c:v>
                </c:pt>
                <c:pt idx="58">
                  <c:v>28161</c:v>
                </c:pt>
                <c:pt idx="59">
                  <c:v>28351</c:v>
                </c:pt>
                <c:pt idx="60">
                  <c:v>28346</c:v>
                </c:pt>
                <c:pt idx="61">
                  <c:v>28346</c:v>
                </c:pt>
                <c:pt idx="62">
                  <c:v>28774</c:v>
                </c:pt>
                <c:pt idx="63">
                  <c:v>28774</c:v>
                </c:pt>
                <c:pt idx="64">
                  <c:v>28919</c:v>
                </c:pt>
                <c:pt idx="65">
                  <c:v>28919</c:v>
                </c:pt>
                <c:pt idx="66">
                  <c:v>28961</c:v>
                </c:pt>
                <c:pt idx="67">
                  <c:v>28961</c:v>
                </c:pt>
                <c:pt idx="68">
                  <c:v>28920</c:v>
                </c:pt>
                <c:pt idx="69">
                  <c:v>28923</c:v>
                </c:pt>
                <c:pt idx="70">
                  <c:v>28923</c:v>
                </c:pt>
                <c:pt idx="71">
                  <c:v>28913</c:v>
                </c:pt>
                <c:pt idx="72">
                  <c:v>28913</c:v>
                </c:pt>
                <c:pt idx="73">
                  <c:v>28903</c:v>
                </c:pt>
                <c:pt idx="74">
                  <c:v>28903</c:v>
                </c:pt>
                <c:pt idx="75">
                  <c:v>28888</c:v>
                </c:pt>
                <c:pt idx="76">
                  <c:v>28887</c:v>
                </c:pt>
                <c:pt idx="77">
                  <c:v>28887</c:v>
                </c:pt>
                <c:pt idx="78">
                  <c:v>28887</c:v>
                </c:pt>
                <c:pt idx="79">
                  <c:v>28825</c:v>
                </c:pt>
                <c:pt idx="80">
                  <c:v>28955</c:v>
                </c:pt>
                <c:pt idx="81">
                  <c:v>28947</c:v>
                </c:pt>
                <c:pt idx="82">
                  <c:v>29204</c:v>
                </c:pt>
                <c:pt idx="83">
                  <c:v>29204</c:v>
                </c:pt>
                <c:pt idx="84">
                  <c:v>29289</c:v>
                </c:pt>
                <c:pt idx="85">
                  <c:v>29289</c:v>
                </c:pt>
                <c:pt idx="86">
                  <c:v>29277</c:v>
                </c:pt>
                <c:pt idx="87">
                  <c:v>28810</c:v>
                </c:pt>
                <c:pt idx="88">
                  <c:v>28780</c:v>
                </c:pt>
                <c:pt idx="89">
                  <c:v>28780</c:v>
                </c:pt>
                <c:pt idx="90">
                  <c:v>28680</c:v>
                </c:pt>
                <c:pt idx="91">
                  <c:v>28472</c:v>
                </c:pt>
                <c:pt idx="92">
                  <c:v>28532</c:v>
                </c:pt>
                <c:pt idx="93">
                  <c:v>28506</c:v>
                </c:pt>
                <c:pt idx="94">
                  <c:v>28506</c:v>
                </c:pt>
                <c:pt idx="95">
                  <c:v>28283</c:v>
                </c:pt>
                <c:pt idx="96">
                  <c:v>28271</c:v>
                </c:pt>
                <c:pt idx="97">
                  <c:v>28271</c:v>
                </c:pt>
                <c:pt idx="98">
                  <c:v>28271</c:v>
                </c:pt>
                <c:pt idx="99">
                  <c:v>28361</c:v>
                </c:pt>
                <c:pt idx="100">
                  <c:v>28351</c:v>
                </c:pt>
                <c:pt idx="101">
                  <c:v>25769</c:v>
                </c:pt>
                <c:pt idx="102">
                  <c:v>25714</c:v>
                </c:pt>
                <c:pt idx="103">
                  <c:v>25714</c:v>
                </c:pt>
                <c:pt idx="104">
                  <c:v>25714</c:v>
                </c:pt>
                <c:pt idx="105">
                  <c:v>25714</c:v>
                </c:pt>
                <c:pt idx="106">
                  <c:v>25060</c:v>
                </c:pt>
                <c:pt idx="107">
                  <c:v>15359</c:v>
                </c:pt>
                <c:pt idx="108">
                  <c:v>15284</c:v>
                </c:pt>
                <c:pt idx="109">
                  <c:v>15289</c:v>
                </c:pt>
                <c:pt idx="110">
                  <c:v>15389</c:v>
                </c:pt>
                <c:pt idx="111">
                  <c:v>15389</c:v>
                </c:pt>
                <c:pt idx="112">
                  <c:v>15401</c:v>
                </c:pt>
                <c:pt idx="113">
                  <c:v>15352</c:v>
                </c:pt>
                <c:pt idx="114">
                  <c:v>16452</c:v>
                </c:pt>
                <c:pt idx="115">
                  <c:v>15520</c:v>
                </c:pt>
                <c:pt idx="116">
                  <c:v>15453</c:v>
                </c:pt>
                <c:pt idx="117">
                  <c:v>15445</c:v>
                </c:pt>
                <c:pt idx="118">
                  <c:v>15373</c:v>
                </c:pt>
                <c:pt idx="119">
                  <c:v>15414</c:v>
                </c:pt>
                <c:pt idx="120">
                  <c:v>15462</c:v>
                </c:pt>
                <c:pt idx="121">
                  <c:v>15507</c:v>
                </c:pt>
                <c:pt idx="122">
                  <c:v>15316</c:v>
                </c:pt>
                <c:pt idx="123">
                  <c:v>16226</c:v>
                </c:pt>
                <c:pt idx="124">
                  <c:v>18461</c:v>
                </c:pt>
                <c:pt idx="125">
                  <c:v>18532</c:v>
                </c:pt>
                <c:pt idx="126">
                  <c:v>19108</c:v>
                </c:pt>
                <c:pt idx="127">
                  <c:v>19249</c:v>
                </c:pt>
                <c:pt idx="128">
                  <c:v>19616</c:v>
                </c:pt>
                <c:pt idx="129">
                  <c:v>20138</c:v>
                </c:pt>
                <c:pt idx="130">
                  <c:v>19870</c:v>
                </c:pt>
                <c:pt idx="131">
                  <c:v>19978</c:v>
                </c:pt>
                <c:pt idx="132">
                  <c:v>20023</c:v>
                </c:pt>
                <c:pt idx="133">
                  <c:v>20011</c:v>
                </c:pt>
                <c:pt idx="134">
                  <c:v>19768</c:v>
                </c:pt>
                <c:pt idx="135">
                  <c:v>19154</c:v>
                </c:pt>
                <c:pt idx="136">
                  <c:v>19182</c:v>
                </c:pt>
                <c:pt idx="137">
                  <c:v>19167</c:v>
                </c:pt>
                <c:pt idx="138">
                  <c:v>19172</c:v>
                </c:pt>
                <c:pt idx="139">
                  <c:v>19163</c:v>
                </c:pt>
                <c:pt idx="140">
                  <c:v>19164</c:v>
                </c:pt>
                <c:pt idx="141">
                  <c:v>19891</c:v>
                </c:pt>
                <c:pt idx="142">
                  <c:v>20066</c:v>
                </c:pt>
                <c:pt idx="143">
                  <c:v>20126</c:v>
                </c:pt>
                <c:pt idx="144">
                  <c:v>20174</c:v>
                </c:pt>
                <c:pt idx="145">
                  <c:v>20466</c:v>
                </c:pt>
                <c:pt idx="146">
                  <c:v>20507</c:v>
                </c:pt>
                <c:pt idx="147">
                  <c:v>20528</c:v>
                </c:pt>
                <c:pt idx="148">
                  <c:v>20898</c:v>
                </c:pt>
                <c:pt idx="149">
                  <c:v>20902</c:v>
                </c:pt>
                <c:pt idx="150">
                  <c:v>21015</c:v>
                </c:pt>
                <c:pt idx="151">
                  <c:v>21574</c:v>
                </c:pt>
                <c:pt idx="152">
                  <c:v>21899</c:v>
                </c:pt>
                <c:pt idx="153">
                  <c:v>21645</c:v>
                </c:pt>
                <c:pt idx="154">
                  <c:v>21240</c:v>
                </c:pt>
                <c:pt idx="155">
                  <c:v>21365</c:v>
                </c:pt>
                <c:pt idx="156">
                  <c:v>21416</c:v>
                </c:pt>
                <c:pt idx="157">
                  <c:v>21311</c:v>
                </c:pt>
                <c:pt idx="158">
                  <c:v>21311</c:v>
                </c:pt>
                <c:pt idx="159">
                  <c:v>21094</c:v>
                </c:pt>
                <c:pt idx="160">
                  <c:v>20994</c:v>
                </c:pt>
                <c:pt idx="161">
                  <c:v>21102</c:v>
                </c:pt>
                <c:pt idx="162">
                  <c:v>21311</c:v>
                </c:pt>
                <c:pt idx="163">
                  <c:v>21411</c:v>
                </c:pt>
                <c:pt idx="164">
                  <c:v>21398</c:v>
                </c:pt>
                <c:pt idx="165">
                  <c:v>19780</c:v>
                </c:pt>
                <c:pt idx="166">
                  <c:v>19462</c:v>
                </c:pt>
                <c:pt idx="167">
                  <c:v>19482</c:v>
                </c:pt>
                <c:pt idx="168">
                  <c:v>19346</c:v>
                </c:pt>
                <c:pt idx="169">
                  <c:v>19040</c:v>
                </c:pt>
                <c:pt idx="170">
                  <c:v>19246</c:v>
                </c:pt>
                <c:pt idx="171">
                  <c:v>19265</c:v>
                </c:pt>
                <c:pt idx="172">
                  <c:v>19306</c:v>
                </c:pt>
                <c:pt idx="173">
                  <c:v>19351</c:v>
                </c:pt>
                <c:pt idx="174">
                  <c:v>19166</c:v>
                </c:pt>
                <c:pt idx="175">
                  <c:v>19203</c:v>
                </c:pt>
                <c:pt idx="176">
                  <c:v>19293</c:v>
                </c:pt>
                <c:pt idx="177">
                  <c:v>19457</c:v>
                </c:pt>
                <c:pt idx="178">
                  <c:v>19475</c:v>
                </c:pt>
                <c:pt idx="179">
                  <c:v>19602</c:v>
                </c:pt>
                <c:pt idx="180">
                  <c:v>19827</c:v>
                </c:pt>
                <c:pt idx="181">
                  <c:v>19915</c:v>
                </c:pt>
                <c:pt idx="182">
                  <c:v>19710</c:v>
                </c:pt>
                <c:pt idx="183">
                  <c:v>19659</c:v>
                </c:pt>
                <c:pt idx="184">
                  <c:v>19722</c:v>
                </c:pt>
                <c:pt idx="185">
                  <c:v>19396</c:v>
                </c:pt>
                <c:pt idx="186">
                  <c:v>19399</c:v>
                </c:pt>
                <c:pt idx="187">
                  <c:v>19478</c:v>
                </c:pt>
                <c:pt idx="188">
                  <c:v>19491</c:v>
                </c:pt>
                <c:pt idx="189">
                  <c:v>19481</c:v>
                </c:pt>
                <c:pt idx="190">
                  <c:v>19612</c:v>
                </c:pt>
                <c:pt idx="191">
                  <c:v>19552</c:v>
                </c:pt>
                <c:pt idx="192">
                  <c:v>19272</c:v>
                </c:pt>
                <c:pt idx="193">
                  <c:v>18991</c:v>
                </c:pt>
                <c:pt idx="194">
                  <c:v>18987</c:v>
                </c:pt>
                <c:pt idx="195">
                  <c:v>18977</c:v>
                </c:pt>
                <c:pt idx="196">
                  <c:v>18977</c:v>
                </c:pt>
                <c:pt idx="197">
                  <c:v>18987</c:v>
                </c:pt>
                <c:pt idx="198">
                  <c:v>18978</c:v>
                </c:pt>
                <c:pt idx="199">
                  <c:v>18958</c:v>
                </c:pt>
                <c:pt idx="200">
                  <c:v>19111</c:v>
                </c:pt>
                <c:pt idx="201">
                  <c:v>19111</c:v>
                </c:pt>
                <c:pt idx="202">
                  <c:v>19021</c:v>
                </c:pt>
                <c:pt idx="203">
                  <c:v>18961</c:v>
                </c:pt>
                <c:pt idx="204">
                  <c:v>19116</c:v>
                </c:pt>
                <c:pt idx="205">
                  <c:v>19244</c:v>
                </c:pt>
                <c:pt idx="206">
                  <c:v>19269</c:v>
                </c:pt>
                <c:pt idx="207">
                  <c:v>19463</c:v>
                </c:pt>
                <c:pt idx="208">
                  <c:v>19685</c:v>
                </c:pt>
                <c:pt idx="209">
                  <c:v>19658</c:v>
                </c:pt>
                <c:pt idx="210">
                  <c:v>19601</c:v>
                </c:pt>
                <c:pt idx="211">
                  <c:v>19668</c:v>
                </c:pt>
                <c:pt idx="212">
                  <c:v>19669</c:v>
                </c:pt>
                <c:pt idx="213">
                  <c:v>20605</c:v>
                </c:pt>
                <c:pt idx="214">
                  <c:v>19998</c:v>
                </c:pt>
                <c:pt idx="215">
                  <c:v>20596</c:v>
                </c:pt>
                <c:pt idx="216">
                  <c:v>20704</c:v>
                </c:pt>
                <c:pt idx="217">
                  <c:v>20778</c:v>
                </c:pt>
                <c:pt idx="218">
                  <c:v>20809</c:v>
                </c:pt>
                <c:pt idx="219">
                  <c:v>20814</c:v>
                </c:pt>
                <c:pt idx="220">
                  <c:v>20918</c:v>
                </c:pt>
                <c:pt idx="221">
                  <c:v>20835</c:v>
                </c:pt>
                <c:pt idx="222">
                  <c:v>20373</c:v>
                </c:pt>
                <c:pt idx="223">
                  <c:v>20263</c:v>
                </c:pt>
                <c:pt idx="224">
                  <c:v>20234</c:v>
                </c:pt>
                <c:pt idx="225">
                  <c:v>20262</c:v>
                </c:pt>
                <c:pt idx="226">
                  <c:v>18959</c:v>
                </c:pt>
                <c:pt idx="227">
                  <c:v>19069</c:v>
                </c:pt>
                <c:pt idx="228">
                  <c:v>19144</c:v>
                </c:pt>
                <c:pt idx="229">
                  <c:v>19034</c:v>
                </c:pt>
                <c:pt idx="230">
                  <c:v>19034</c:v>
                </c:pt>
                <c:pt idx="231">
                  <c:v>19053</c:v>
                </c:pt>
                <c:pt idx="232">
                  <c:v>19053</c:v>
                </c:pt>
                <c:pt idx="233">
                  <c:v>18763</c:v>
                </c:pt>
                <c:pt idx="234">
                  <c:v>18763</c:v>
                </c:pt>
                <c:pt idx="235">
                  <c:v>18977</c:v>
                </c:pt>
                <c:pt idx="236">
                  <c:v>19192</c:v>
                </c:pt>
                <c:pt idx="237">
                  <c:v>19101</c:v>
                </c:pt>
                <c:pt idx="238">
                  <c:v>19226</c:v>
                </c:pt>
                <c:pt idx="239">
                  <c:v>18969</c:v>
                </c:pt>
                <c:pt idx="240">
                  <c:v>18019</c:v>
                </c:pt>
                <c:pt idx="241">
                  <c:v>17992</c:v>
                </c:pt>
                <c:pt idx="242">
                  <c:v>17611</c:v>
                </c:pt>
                <c:pt idx="243">
                  <c:v>17306</c:v>
                </c:pt>
                <c:pt idx="244">
                  <c:v>18006</c:v>
                </c:pt>
              </c:numCache>
            </c:numRef>
          </c:val>
        </c:ser>
        <c:marker val="1"/>
        <c:axId val="132631168"/>
        <c:axId val="132641152"/>
      </c:lineChart>
      <c:catAx>
        <c:axId val="132603264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29632"/>
        <c:crosses val="autoZero"/>
        <c:lblAlgn val="ctr"/>
        <c:lblOffset val="100"/>
        <c:tickLblSkip val="10"/>
        <c:tickMarkSkip val="1"/>
      </c:catAx>
      <c:valAx>
        <c:axId val="132629632"/>
        <c:scaling>
          <c:orientation val="minMax"/>
          <c:max val="65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03264"/>
        <c:crosses val="autoZero"/>
        <c:crossBetween val="between"/>
        <c:majorUnit val="500"/>
        <c:minorUnit val="200"/>
      </c:valAx>
      <c:catAx>
        <c:axId val="132631168"/>
        <c:scaling>
          <c:orientation val="minMax"/>
        </c:scaling>
        <c:delete val="1"/>
        <c:axPos val="b"/>
        <c:numFmt formatCode="General" sourceLinked="1"/>
        <c:tickLblPos val="nextTo"/>
        <c:crossAx val="132641152"/>
        <c:crosses val="autoZero"/>
        <c:lblAlgn val="ctr"/>
        <c:lblOffset val="100"/>
      </c:catAx>
      <c:valAx>
        <c:axId val="132641152"/>
        <c:scaling>
          <c:orientation val="minMax"/>
          <c:max val="32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631168"/>
        <c:crosses val="max"/>
        <c:crossBetween val="between"/>
        <c:majorUnit val="4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847238542890736"/>
          <c:y val="0.93055871093312903"/>
          <c:w val="0.37955346650998834"/>
          <c:h val="5.555574393630623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4007050528789658"/>
          <c:y val="2.0905923344947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30199764982378E-2"/>
          <c:y val="9.4076655052264854E-2"/>
          <c:w val="0.85663924794359625"/>
          <c:h val="0.63763066202090612"/>
        </c:manualLayout>
      </c:layout>
      <c:barChart>
        <c:barDir val="col"/>
        <c:grouping val="clustered"/>
        <c:ser>
          <c:idx val="2"/>
          <c:order val="0"/>
          <c:tx>
            <c:strRef>
              <c:f>[1]FMG5!$N$2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[1]FMG5!$A$202:$A$448</c:f>
              <c:numCache>
                <c:formatCode>General</c:formatCode>
                <c:ptCount val="247"/>
                <c:pt idx="0">
                  <c:v>37635</c:v>
                </c:pt>
                <c:pt idx="1">
                  <c:v>37636</c:v>
                </c:pt>
                <c:pt idx="2">
                  <c:v>37637</c:v>
                </c:pt>
                <c:pt idx="3">
                  <c:v>37638</c:v>
                </c:pt>
                <c:pt idx="4">
                  <c:v>37641</c:v>
                </c:pt>
                <c:pt idx="5">
                  <c:v>37642</c:v>
                </c:pt>
                <c:pt idx="6">
                  <c:v>37643</c:v>
                </c:pt>
                <c:pt idx="7">
                  <c:v>37644</c:v>
                </c:pt>
                <c:pt idx="8">
                  <c:v>37645</c:v>
                </c:pt>
                <c:pt idx="9">
                  <c:v>37648</c:v>
                </c:pt>
                <c:pt idx="10">
                  <c:v>37649</c:v>
                </c:pt>
                <c:pt idx="11">
                  <c:v>37650</c:v>
                </c:pt>
                <c:pt idx="12">
                  <c:v>37651</c:v>
                </c:pt>
                <c:pt idx="13">
                  <c:v>37657</c:v>
                </c:pt>
                <c:pt idx="14">
                  <c:v>37658</c:v>
                </c:pt>
                <c:pt idx="15">
                  <c:v>37659</c:v>
                </c:pt>
                <c:pt idx="16">
                  <c:v>37662</c:v>
                </c:pt>
                <c:pt idx="17">
                  <c:v>37663</c:v>
                </c:pt>
                <c:pt idx="18">
                  <c:v>37665</c:v>
                </c:pt>
                <c:pt idx="19">
                  <c:v>37666</c:v>
                </c:pt>
                <c:pt idx="20">
                  <c:v>37669</c:v>
                </c:pt>
                <c:pt idx="21">
                  <c:v>37670</c:v>
                </c:pt>
                <c:pt idx="22">
                  <c:v>37671</c:v>
                </c:pt>
                <c:pt idx="23">
                  <c:v>37672</c:v>
                </c:pt>
                <c:pt idx="24">
                  <c:v>37673</c:v>
                </c:pt>
                <c:pt idx="25">
                  <c:v>37676</c:v>
                </c:pt>
                <c:pt idx="26">
                  <c:v>37677</c:v>
                </c:pt>
                <c:pt idx="27">
                  <c:v>37678</c:v>
                </c:pt>
                <c:pt idx="28">
                  <c:v>37679</c:v>
                </c:pt>
                <c:pt idx="29">
                  <c:v>37680</c:v>
                </c:pt>
                <c:pt idx="30">
                  <c:v>37683</c:v>
                </c:pt>
                <c:pt idx="31">
                  <c:v>37685</c:v>
                </c:pt>
                <c:pt idx="32">
                  <c:v>37686</c:v>
                </c:pt>
                <c:pt idx="33">
                  <c:v>37687</c:v>
                </c:pt>
                <c:pt idx="34">
                  <c:v>37690</c:v>
                </c:pt>
                <c:pt idx="35">
                  <c:v>37691</c:v>
                </c:pt>
                <c:pt idx="36">
                  <c:v>37692</c:v>
                </c:pt>
                <c:pt idx="37">
                  <c:v>37693</c:v>
                </c:pt>
                <c:pt idx="38">
                  <c:v>37694</c:v>
                </c:pt>
                <c:pt idx="39">
                  <c:v>37697</c:v>
                </c:pt>
                <c:pt idx="40">
                  <c:v>37698</c:v>
                </c:pt>
                <c:pt idx="41">
                  <c:v>37699</c:v>
                </c:pt>
                <c:pt idx="42">
                  <c:v>37700</c:v>
                </c:pt>
                <c:pt idx="43">
                  <c:v>37701</c:v>
                </c:pt>
                <c:pt idx="44">
                  <c:v>37704</c:v>
                </c:pt>
                <c:pt idx="45">
                  <c:v>37705</c:v>
                </c:pt>
                <c:pt idx="46">
                  <c:v>37706</c:v>
                </c:pt>
                <c:pt idx="47">
                  <c:v>37707</c:v>
                </c:pt>
                <c:pt idx="48">
                  <c:v>37708</c:v>
                </c:pt>
                <c:pt idx="49">
                  <c:v>37711</c:v>
                </c:pt>
                <c:pt idx="50">
                  <c:v>37712</c:v>
                </c:pt>
                <c:pt idx="51">
                  <c:v>37713</c:v>
                </c:pt>
                <c:pt idx="52">
                  <c:v>37714</c:v>
                </c:pt>
                <c:pt idx="53">
                  <c:v>37715</c:v>
                </c:pt>
                <c:pt idx="54">
                  <c:v>37718</c:v>
                </c:pt>
                <c:pt idx="55">
                  <c:v>37719</c:v>
                </c:pt>
                <c:pt idx="56">
                  <c:v>37720</c:v>
                </c:pt>
                <c:pt idx="57">
                  <c:v>37721</c:v>
                </c:pt>
                <c:pt idx="58">
                  <c:v>37722</c:v>
                </c:pt>
                <c:pt idx="59">
                  <c:v>37725</c:v>
                </c:pt>
                <c:pt idx="60">
                  <c:v>37726</c:v>
                </c:pt>
                <c:pt idx="61">
                  <c:v>37727</c:v>
                </c:pt>
                <c:pt idx="62">
                  <c:v>37728</c:v>
                </c:pt>
                <c:pt idx="63">
                  <c:v>37729</c:v>
                </c:pt>
                <c:pt idx="64">
                  <c:v>37732</c:v>
                </c:pt>
                <c:pt idx="65">
                  <c:v>37733</c:v>
                </c:pt>
                <c:pt idx="66">
                  <c:v>37734</c:v>
                </c:pt>
                <c:pt idx="67">
                  <c:v>37735</c:v>
                </c:pt>
                <c:pt idx="68">
                  <c:v>37736</c:v>
                </c:pt>
                <c:pt idx="69">
                  <c:v>37739</c:v>
                </c:pt>
                <c:pt idx="70">
                  <c:v>37740</c:v>
                </c:pt>
                <c:pt idx="71">
                  <c:v>37741</c:v>
                </c:pt>
                <c:pt idx="72">
                  <c:v>37743</c:v>
                </c:pt>
                <c:pt idx="73">
                  <c:v>37746</c:v>
                </c:pt>
                <c:pt idx="74">
                  <c:v>37747</c:v>
                </c:pt>
                <c:pt idx="75">
                  <c:v>37748</c:v>
                </c:pt>
                <c:pt idx="76">
                  <c:v>37749</c:v>
                </c:pt>
                <c:pt idx="77">
                  <c:v>37750</c:v>
                </c:pt>
                <c:pt idx="78">
                  <c:v>37753</c:v>
                </c:pt>
                <c:pt idx="79">
                  <c:v>37754</c:v>
                </c:pt>
                <c:pt idx="80">
                  <c:v>37757</c:v>
                </c:pt>
                <c:pt idx="81">
                  <c:v>37760</c:v>
                </c:pt>
                <c:pt idx="82">
                  <c:v>37761</c:v>
                </c:pt>
                <c:pt idx="83">
                  <c:v>37762</c:v>
                </c:pt>
                <c:pt idx="84">
                  <c:v>37763</c:v>
                </c:pt>
                <c:pt idx="85">
                  <c:v>37764</c:v>
                </c:pt>
                <c:pt idx="86">
                  <c:v>37767</c:v>
                </c:pt>
                <c:pt idx="87">
                  <c:v>37768</c:v>
                </c:pt>
                <c:pt idx="88">
                  <c:v>37769</c:v>
                </c:pt>
                <c:pt idx="89">
                  <c:v>37770</c:v>
                </c:pt>
                <c:pt idx="90">
                  <c:v>37771</c:v>
                </c:pt>
                <c:pt idx="91">
                  <c:v>37774</c:v>
                </c:pt>
                <c:pt idx="92">
                  <c:v>37775</c:v>
                </c:pt>
                <c:pt idx="93">
                  <c:v>37776</c:v>
                </c:pt>
                <c:pt idx="94">
                  <c:v>37777</c:v>
                </c:pt>
                <c:pt idx="95">
                  <c:v>37778</c:v>
                </c:pt>
                <c:pt idx="96">
                  <c:v>37781</c:v>
                </c:pt>
                <c:pt idx="97">
                  <c:v>37782</c:v>
                </c:pt>
                <c:pt idx="98">
                  <c:v>37783</c:v>
                </c:pt>
                <c:pt idx="99">
                  <c:v>37784</c:v>
                </c:pt>
                <c:pt idx="100">
                  <c:v>37785</c:v>
                </c:pt>
                <c:pt idx="101">
                  <c:v>37788</c:v>
                </c:pt>
                <c:pt idx="102">
                  <c:v>37789</c:v>
                </c:pt>
                <c:pt idx="103">
                  <c:v>37790</c:v>
                </c:pt>
                <c:pt idx="104">
                  <c:v>37791</c:v>
                </c:pt>
                <c:pt idx="105">
                  <c:v>37792</c:v>
                </c:pt>
                <c:pt idx="106">
                  <c:v>37795</c:v>
                </c:pt>
                <c:pt idx="107">
                  <c:v>37796</c:v>
                </c:pt>
                <c:pt idx="108">
                  <c:v>37797</c:v>
                </c:pt>
                <c:pt idx="109">
                  <c:v>37798</c:v>
                </c:pt>
                <c:pt idx="110">
                  <c:v>37799</c:v>
                </c:pt>
                <c:pt idx="111">
                  <c:v>37802</c:v>
                </c:pt>
                <c:pt idx="112">
                  <c:v>37803</c:v>
                </c:pt>
                <c:pt idx="113">
                  <c:v>37804</c:v>
                </c:pt>
                <c:pt idx="114">
                  <c:v>37805</c:v>
                </c:pt>
                <c:pt idx="115">
                  <c:v>37806</c:v>
                </c:pt>
                <c:pt idx="116">
                  <c:v>37809</c:v>
                </c:pt>
                <c:pt idx="117">
                  <c:v>37810</c:v>
                </c:pt>
                <c:pt idx="118">
                  <c:v>37811</c:v>
                </c:pt>
                <c:pt idx="119">
                  <c:v>37812</c:v>
                </c:pt>
                <c:pt idx="120">
                  <c:v>37813</c:v>
                </c:pt>
                <c:pt idx="121">
                  <c:v>37816</c:v>
                </c:pt>
                <c:pt idx="122">
                  <c:v>37817</c:v>
                </c:pt>
                <c:pt idx="123">
                  <c:v>37818</c:v>
                </c:pt>
                <c:pt idx="124">
                  <c:v>37819</c:v>
                </c:pt>
                <c:pt idx="125">
                  <c:v>37820</c:v>
                </c:pt>
                <c:pt idx="126">
                  <c:v>37823</c:v>
                </c:pt>
                <c:pt idx="127">
                  <c:v>37824</c:v>
                </c:pt>
                <c:pt idx="128">
                  <c:v>37825</c:v>
                </c:pt>
                <c:pt idx="129">
                  <c:v>37826</c:v>
                </c:pt>
                <c:pt idx="130">
                  <c:v>37827</c:v>
                </c:pt>
                <c:pt idx="131">
                  <c:v>37830</c:v>
                </c:pt>
                <c:pt idx="132">
                  <c:v>37831</c:v>
                </c:pt>
                <c:pt idx="133">
                  <c:v>37832</c:v>
                </c:pt>
                <c:pt idx="134">
                  <c:v>37833</c:v>
                </c:pt>
                <c:pt idx="135">
                  <c:v>37834</c:v>
                </c:pt>
                <c:pt idx="136">
                  <c:v>37837</c:v>
                </c:pt>
                <c:pt idx="137">
                  <c:v>37838</c:v>
                </c:pt>
                <c:pt idx="138">
                  <c:v>37839</c:v>
                </c:pt>
                <c:pt idx="139">
                  <c:v>37840</c:v>
                </c:pt>
                <c:pt idx="140">
                  <c:v>37841</c:v>
                </c:pt>
                <c:pt idx="141">
                  <c:v>37844</c:v>
                </c:pt>
                <c:pt idx="142">
                  <c:v>37845</c:v>
                </c:pt>
                <c:pt idx="143">
                  <c:v>37846</c:v>
                </c:pt>
                <c:pt idx="144">
                  <c:v>37847</c:v>
                </c:pt>
                <c:pt idx="145">
                  <c:v>37848</c:v>
                </c:pt>
                <c:pt idx="146">
                  <c:v>37851</c:v>
                </c:pt>
                <c:pt idx="147">
                  <c:v>37852</c:v>
                </c:pt>
                <c:pt idx="148">
                  <c:v>37853</c:v>
                </c:pt>
                <c:pt idx="149">
                  <c:v>37854</c:v>
                </c:pt>
                <c:pt idx="150">
                  <c:v>37855</c:v>
                </c:pt>
                <c:pt idx="151">
                  <c:v>37858</c:v>
                </c:pt>
                <c:pt idx="152">
                  <c:v>37859</c:v>
                </c:pt>
                <c:pt idx="153">
                  <c:v>37860</c:v>
                </c:pt>
                <c:pt idx="154">
                  <c:v>37861</c:v>
                </c:pt>
                <c:pt idx="155">
                  <c:v>37862</c:v>
                </c:pt>
                <c:pt idx="156">
                  <c:v>37866</c:v>
                </c:pt>
                <c:pt idx="157">
                  <c:v>37867</c:v>
                </c:pt>
                <c:pt idx="158">
                  <c:v>37868</c:v>
                </c:pt>
                <c:pt idx="159">
                  <c:v>37869</c:v>
                </c:pt>
                <c:pt idx="160">
                  <c:v>37872</c:v>
                </c:pt>
                <c:pt idx="161">
                  <c:v>37873</c:v>
                </c:pt>
                <c:pt idx="162">
                  <c:v>37874</c:v>
                </c:pt>
                <c:pt idx="163">
                  <c:v>37875</c:v>
                </c:pt>
                <c:pt idx="164">
                  <c:v>37876</c:v>
                </c:pt>
                <c:pt idx="165">
                  <c:v>37879</c:v>
                </c:pt>
                <c:pt idx="166">
                  <c:v>37880</c:v>
                </c:pt>
                <c:pt idx="167">
                  <c:v>37881</c:v>
                </c:pt>
                <c:pt idx="168">
                  <c:v>37882</c:v>
                </c:pt>
                <c:pt idx="169">
                  <c:v>37883</c:v>
                </c:pt>
                <c:pt idx="170">
                  <c:v>37886</c:v>
                </c:pt>
                <c:pt idx="171">
                  <c:v>37887</c:v>
                </c:pt>
                <c:pt idx="172">
                  <c:v>37888</c:v>
                </c:pt>
                <c:pt idx="173">
                  <c:v>37889</c:v>
                </c:pt>
                <c:pt idx="174">
                  <c:v>37890</c:v>
                </c:pt>
                <c:pt idx="175">
                  <c:v>37893</c:v>
                </c:pt>
                <c:pt idx="176">
                  <c:v>37894</c:v>
                </c:pt>
                <c:pt idx="177">
                  <c:v>37895</c:v>
                </c:pt>
                <c:pt idx="178">
                  <c:v>37896</c:v>
                </c:pt>
                <c:pt idx="179">
                  <c:v>37897</c:v>
                </c:pt>
                <c:pt idx="180">
                  <c:v>37900</c:v>
                </c:pt>
                <c:pt idx="181">
                  <c:v>37901</c:v>
                </c:pt>
                <c:pt idx="182">
                  <c:v>37902</c:v>
                </c:pt>
                <c:pt idx="183">
                  <c:v>37903</c:v>
                </c:pt>
                <c:pt idx="184">
                  <c:v>37904</c:v>
                </c:pt>
                <c:pt idx="185">
                  <c:v>37907</c:v>
                </c:pt>
                <c:pt idx="186">
                  <c:v>37908</c:v>
                </c:pt>
                <c:pt idx="187">
                  <c:v>37909</c:v>
                </c:pt>
                <c:pt idx="188">
                  <c:v>37910</c:v>
                </c:pt>
                <c:pt idx="189">
                  <c:v>37911</c:v>
                </c:pt>
                <c:pt idx="190">
                  <c:v>37914</c:v>
                </c:pt>
                <c:pt idx="191">
                  <c:v>37915</c:v>
                </c:pt>
                <c:pt idx="192">
                  <c:v>37916</c:v>
                </c:pt>
                <c:pt idx="193">
                  <c:v>37917</c:v>
                </c:pt>
                <c:pt idx="194">
                  <c:v>37921</c:v>
                </c:pt>
                <c:pt idx="195">
                  <c:v>37922</c:v>
                </c:pt>
                <c:pt idx="196">
                  <c:v>37923</c:v>
                </c:pt>
                <c:pt idx="197">
                  <c:v>37924</c:v>
                </c:pt>
                <c:pt idx="198">
                  <c:v>37925</c:v>
                </c:pt>
                <c:pt idx="199">
                  <c:v>37928</c:v>
                </c:pt>
                <c:pt idx="200">
                  <c:v>37929</c:v>
                </c:pt>
                <c:pt idx="201">
                  <c:v>37930</c:v>
                </c:pt>
                <c:pt idx="202">
                  <c:v>37931</c:v>
                </c:pt>
                <c:pt idx="203">
                  <c:v>37932</c:v>
                </c:pt>
                <c:pt idx="204">
                  <c:v>37935</c:v>
                </c:pt>
                <c:pt idx="205">
                  <c:v>37936</c:v>
                </c:pt>
                <c:pt idx="206">
                  <c:v>37937</c:v>
                </c:pt>
                <c:pt idx="207">
                  <c:v>37938</c:v>
                </c:pt>
                <c:pt idx="208">
                  <c:v>37939</c:v>
                </c:pt>
                <c:pt idx="209">
                  <c:v>37942</c:v>
                </c:pt>
                <c:pt idx="210">
                  <c:v>37943</c:v>
                </c:pt>
                <c:pt idx="211">
                  <c:v>37944</c:v>
                </c:pt>
                <c:pt idx="212">
                  <c:v>37945</c:v>
                </c:pt>
                <c:pt idx="213">
                  <c:v>37946</c:v>
                </c:pt>
                <c:pt idx="214">
                  <c:v>37952</c:v>
                </c:pt>
                <c:pt idx="215">
                  <c:v>37953</c:v>
                </c:pt>
                <c:pt idx="216">
                  <c:v>37956</c:v>
                </c:pt>
                <c:pt idx="217">
                  <c:v>37957</c:v>
                </c:pt>
                <c:pt idx="218">
                  <c:v>37958</c:v>
                </c:pt>
                <c:pt idx="219">
                  <c:v>37959</c:v>
                </c:pt>
                <c:pt idx="220">
                  <c:v>37960</c:v>
                </c:pt>
                <c:pt idx="221">
                  <c:v>37963</c:v>
                </c:pt>
                <c:pt idx="222">
                  <c:v>37964</c:v>
                </c:pt>
                <c:pt idx="223">
                  <c:v>37965</c:v>
                </c:pt>
                <c:pt idx="224">
                  <c:v>37966</c:v>
                </c:pt>
                <c:pt idx="225">
                  <c:v>37967</c:v>
                </c:pt>
                <c:pt idx="226">
                  <c:v>37970</c:v>
                </c:pt>
                <c:pt idx="227">
                  <c:v>37971</c:v>
                </c:pt>
                <c:pt idx="228">
                  <c:v>37972</c:v>
                </c:pt>
                <c:pt idx="229">
                  <c:v>37973</c:v>
                </c:pt>
                <c:pt idx="230">
                  <c:v>37974</c:v>
                </c:pt>
                <c:pt idx="231">
                  <c:v>37977</c:v>
                </c:pt>
                <c:pt idx="232">
                  <c:v>37978</c:v>
                </c:pt>
                <c:pt idx="233">
                  <c:v>37979</c:v>
                </c:pt>
                <c:pt idx="234">
                  <c:v>37981</c:v>
                </c:pt>
                <c:pt idx="235">
                  <c:v>37984</c:v>
                </c:pt>
                <c:pt idx="236">
                  <c:v>37985</c:v>
                </c:pt>
                <c:pt idx="237">
                  <c:v>37986</c:v>
                </c:pt>
                <c:pt idx="238">
                  <c:v>37988</c:v>
                </c:pt>
                <c:pt idx="239">
                  <c:v>37991</c:v>
                </c:pt>
                <c:pt idx="240">
                  <c:v>37992</c:v>
                </c:pt>
                <c:pt idx="241">
                  <c:v>37993</c:v>
                </c:pt>
                <c:pt idx="242">
                  <c:v>37994</c:v>
                </c:pt>
                <c:pt idx="243">
                  <c:v>37995</c:v>
                </c:pt>
                <c:pt idx="244">
                  <c:v>37998</c:v>
                </c:pt>
                <c:pt idx="245">
                  <c:v>37999</c:v>
                </c:pt>
                <c:pt idx="246">
                  <c:v>38000</c:v>
                </c:pt>
              </c:numCache>
            </c:numRef>
          </c:cat>
          <c:val>
            <c:numRef>
              <c:f>[1]FMG5!$N$202:$N$448</c:f>
              <c:numCache>
                <c:formatCode>General</c:formatCode>
                <c:ptCount val="247"/>
                <c:pt idx="0">
                  <c:v>170</c:v>
                </c:pt>
                <c:pt idx="1">
                  <c:v>70</c:v>
                </c:pt>
                <c:pt idx="2">
                  <c:v>635</c:v>
                </c:pt>
                <c:pt idx="3">
                  <c:v>1150</c:v>
                </c:pt>
                <c:pt idx="4">
                  <c:v>350</c:v>
                </c:pt>
                <c:pt idx="5">
                  <c:v>370</c:v>
                </c:pt>
                <c:pt idx="6">
                  <c:v>0</c:v>
                </c:pt>
                <c:pt idx="7">
                  <c:v>585</c:v>
                </c:pt>
                <c:pt idx="8">
                  <c:v>2245</c:v>
                </c:pt>
                <c:pt idx="9">
                  <c:v>1790</c:v>
                </c:pt>
                <c:pt idx="10">
                  <c:v>555</c:v>
                </c:pt>
                <c:pt idx="11">
                  <c:v>590</c:v>
                </c:pt>
                <c:pt idx="12">
                  <c:v>1332</c:v>
                </c:pt>
                <c:pt idx="13">
                  <c:v>520</c:v>
                </c:pt>
                <c:pt idx="14">
                  <c:v>0</c:v>
                </c:pt>
                <c:pt idx="15">
                  <c:v>0</c:v>
                </c:pt>
                <c:pt idx="16">
                  <c:v>150</c:v>
                </c:pt>
                <c:pt idx="17">
                  <c:v>260</c:v>
                </c:pt>
                <c:pt idx="18">
                  <c:v>2070</c:v>
                </c:pt>
                <c:pt idx="19">
                  <c:v>150</c:v>
                </c:pt>
                <c:pt idx="20">
                  <c:v>600</c:v>
                </c:pt>
                <c:pt idx="21">
                  <c:v>52</c:v>
                </c:pt>
                <c:pt idx="22">
                  <c:v>1780</c:v>
                </c:pt>
                <c:pt idx="23">
                  <c:v>1070</c:v>
                </c:pt>
                <c:pt idx="24">
                  <c:v>750</c:v>
                </c:pt>
                <c:pt idx="25">
                  <c:v>300</c:v>
                </c:pt>
                <c:pt idx="26">
                  <c:v>350</c:v>
                </c:pt>
                <c:pt idx="27">
                  <c:v>485</c:v>
                </c:pt>
                <c:pt idx="28">
                  <c:v>1350</c:v>
                </c:pt>
                <c:pt idx="29">
                  <c:v>2000</c:v>
                </c:pt>
                <c:pt idx="30">
                  <c:v>350</c:v>
                </c:pt>
                <c:pt idx="31">
                  <c:v>820</c:v>
                </c:pt>
                <c:pt idx="32">
                  <c:v>110</c:v>
                </c:pt>
                <c:pt idx="33">
                  <c:v>110</c:v>
                </c:pt>
                <c:pt idx="34">
                  <c:v>100</c:v>
                </c:pt>
                <c:pt idx="35">
                  <c:v>530</c:v>
                </c:pt>
                <c:pt idx="36">
                  <c:v>22</c:v>
                </c:pt>
                <c:pt idx="37">
                  <c:v>974</c:v>
                </c:pt>
                <c:pt idx="38">
                  <c:v>1267</c:v>
                </c:pt>
                <c:pt idx="39">
                  <c:v>815</c:v>
                </c:pt>
                <c:pt idx="40">
                  <c:v>170</c:v>
                </c:pt>
                <c:pt idx="41">
                  <c:v>450</c:v>
                </c:pt>
                <c:pt idx="42">
                  <c:v>550</c:v>
                </c:pt>
                <c:pt idx="43">
                  <c:v>170</c:v>
                </c:pt>
                <c:pt idx="44">
                  <c:v>520</c:v>
                </c:pt>
                <c:pt idx="45">
                  <c:v>1140</c:v>
                </c:pt>
                <c:pt idx="46">
                  <c:v>2870</c:v>
                </c:pt>
                <c:pt idx="47">
                  <c:v>295</c:v>
                </c:pt>
                <c:pt idx="48">
                  <c:v>150</c:v>
                </c:pt>
                <c:pt idx="49">
                  <c:v>1110</c:v>
                </c:pt>
                <c:pt idx="50">
                  <c:v>772</c:v>
                </c:pt>
                <c:pt idx="51">
                  <c:v>940</c:v>
                </c:pt>
                <c:pt idx="52">
                  <c:v>950</c:v>
                </c:pt>
                <c:pt idx="53">
                  <c:v>290</c:v>
                </c:pt>
                <c:pt idx="54">
                  <c:v>570</c:v>
                </c:pt>
                <c:pt idx="55">
                  <c:v>1740</c:v>
                </c:pt>
                <c:pt idx="56">
                  <c:v>220</c:v>
                </c:pt>
                <c:pt idx="57">
                  <c:v>1430</c:v>
                </c:pt>
                <c:pt idx="58">
                  <c:v>820</c:v>
                </c:pt>
                <c:pt idx="59">
                  <c:v>100</c:v>
                </c:pt>
                <c:pt idx="60">
                  <c:v>500</c:v>
                </c:pt>
                <c:pt idx="61">
                  <c:v>200</c:v>
                </c:pt>
                <c:pt idx="62">
                  <c:v>670</c:v>
                </c:pt>
                <c:pt idx="63">
                  <c:v>390</c:v>
                </c:pt>
                <c:pt idx="64">
                  <c:v>310</c:v>
                </c:pt>
                <c:pt idx="65">
                  <c:v>660</c:v>
                </c:pt>
                <c:pt idx="66">
                  <c:v>210</c:v>
                </c:pt>
                <c:pt idx="67">
                  <c:v>50</c:v>
                </c:pt>
                <c:pt idx="68">
                  <c:v>1055</c:v>
                </c:pt>
                <c:pt idx="69">
                  <c:v>190</c:v>
                </c:pt>
                <c:pt idx="70">
                  <c:v>1520</c:v>
                </c:pt>
                <c:pt idx="71">
                  <c:v>1350</c:v>
                </c:pt>
                <c:pt idx="72">
                  <c:v>90</c:v>
                </c:pt>
                <c:pt idx="73">
                  <c:v>850</c:v>
                </c:pt>
                <c:pt idx="74">
                  <c:v>500</c:v>
                </c:pt>
                <c:pt idx="75">
                  <c:v>290</c:v>
                </c:pt>
                <c:pt idx="76">
                  <c:v>1145</c:v>
                </c:pt>
                <c:pt idx="77">
                  <c:v>210</c:v>
                </c:pt>
                <c:pt idx="78">
                  <c:v>50</c:v>
                </c:pt>
                <c:pt idx="79">
                  <c:v>40</c:v>
                </c:pt>
                <c:pt idx="80">
                  <c:v>50</c:v>
                </c:pt>
                <c:pt idx="81">
                  <c:v>230</c:v>
                </c:pt>
                <c:pt idx="82">
                  <c:v>457</c:v>
                </c:pt>
                <c:pt idx="83">
                  <c:v>938</c:v>
                </c:pt>
                <c:pt idx="84">
                  <c:v>1665</c:v>
                </c:pt>
                <c:pt idx="85">
                  <c:v>1421</c:v>
                </c:pt>
                <c:pt idx="86">
                  <c:v>80</c:v>
                </c:pt>
                <c:pt idx="87">
                  <c:v>710</c:v>
                </c:pt>
                <c:pt idx="88">
                  <c:v>300</c:v>
                </c:pt>
                <c:pt idx="89">
                  <c:v>100</c:v>
                </c:pt>
                <c:pt idx="90">
                  <c:v>1085</c:v>
                </c:pt>
                <c:pt idx="91">
                  <c:v>50</c:v>
                </c:pt>
                <c:pt idx="92">
                  <c:v>70</c:v>
                </c:pt>
                <c:pt idx="93">
                  <c:v>1290</c:v>
                </c:pt>
                <c:pt idx="94">
                  <c:v>2280</c:v>
                </c:pt>
                <c:pt idx="95">
                  <c:v>360</c:v>
                </c:pt>
                <c:pt idx="96">
                  <c:v>621</c:v>
                </c:pt>
                <c:pt idx="97">
                  <c:v>1510</c:v>
                </c:pt>
                <c:pt idx="98">
                  <c:v>750</c:v>
                </c:pt>
                <c:pt idx="99">
                  <c:v>0</c:v>
                </c:pt>
                <c:pt idx="100">
                  <c:v>1245</c:v>
                </c:pt>
                <c:pt idx="101">
                  <c:v>350</c:v>
                </c:pt>
                <c:pt idx="102">
                  <c:v>455</c:v>
                </c:pt>
                <c:pt idx="103">
                  <c:v>130</c:v>
                </c:pt>
                <c:pt idx="104">
                  <c:v>1130</c:v>
                </c:pt>
                <c:pt idx="105">
                  <c:v>754</c:v>
                </c:pt>
                <c:pt idx="106">
                  <c:v>690</c:v>
                </c:pt>
                <c:pt idx="107">
                  <c:v>100</c:v>
                </c:pt>
                <c:pt idx="108">
                  <c:v>600</c:v>
                </c:pt>
                <c:pt idx="109">
                  <c:v>225</c:v>
                </c:pt>
                <c:pt idx="110">
                  <c:v>980</c:v>
                </c:pt>
                <c:pt idx="111">
                  <c:v>400</c:v>
                </c:pt>
                <c:pt idx="112">
                  <c:v>1680</c:v>
                </c:pt>
                <c:pt idx="113">
                  <c:v>1240</c:v>
                </c:pt>
                <c:pt idx="114">
                  <c:v>1310</c:v>
                </c:pt>
                <c:pt idx="115">
                  <c:v>1080</c:v>
                </c:pt>
                <c:pt idx="116">
                  <c:v>100</c:v>
                </c:pt>
                <c:pt idx="117">
                  <c:v>650</c:v>
                </c:pt>
                <c:pt idx="118">
                  <c:v>250</c:v>
                </c:pt>
                <c:pt idx="119">
                  <c:v>750</c:v>
                </c:pt>
                <c:pt idx="120">
                  <c:v>200</c:v>
                </c:pt>
                <c:pt idx="121">
                  <c:v>435</c:v>
                </c:pt>
                <c:pt idx="122">
                  <c:v>450</c:v>
                </c:pt>
                <c:pt idx="123">
                  <c:v>3215</c:v>
                </c:pt>
                <c:pt idx="124">
                  <c:v>920</c:v>
                </c:pt>
                <c:pt idx="125">
                  <c:v>400</c:v>
                </c:pt>
                <c:pt idx="126">
                  <c:v>155</c:v>
                </c:pt>
                <c:pt idx="127">
                  <c:v>1201</c:v>
                </c:pt>
                <c:pt idx="128">
                  <c:v>1100</c:v>
                </c:pt>
                <c:pt idx="129">
                  <c:v>530</c:v>
                </c:pt>
                <c:pt idx="130">
                  <c:v>445</c:v>
                </c:pt>
                <c:pt idx="131">
                  <c:v>1623</c:v>
                </c:pt>
                <c:pt idx="132">
                  <c:v>2712</c:v>
                </c:pt>
                <c:pt idx="133">
                  <c:v>384</c:v>
                </c:pt>
                <c:pt idx="134">
                  <c:v>905</c:v>
                </c:pt>
                <c:pt idx="135">
                  <c:v>1462</c:v>
                </c:pt>
                <c:pt idx="136">
                  <c:v>1</c:v>
                </c:pt>
                <c:pt idx="137">
                  <c:v>50</c:v>
                </c:pt>
                <c:pt idx="138">
                  <c:v>615</c:v>
                </c:pt>
                <c:pt idx="139">
                  <c:v>105</c:v>
                </c:pt>
                <c:pt idx="140">
                  <c:v>0</c:v>
                </c:pt>
                <c:pt idx="141">
                  <c:v>0</c:v>
                </c:pt>
                <c:pt idx="142">
                  <c:v>550</c:v>
                </c:pt>
                <c:pt idx="143">
                  <c:v>200</c:v>
                </c:pt>
                <c:pt idx="144">
                  <c:v>10</c:v>
                </c:pt>
                <c:pt idx="145">
                  <c:v>250</c:v>
                </c:pt>
                <c:pt idx="146">
                  <c:v>0</c:v>
                </c:pt>
                <c:pt idx="147">
                  <c:v>795</c:v>
                </c:pt>
                <c:pt idx="148">
                  <c:v>150</c:v>
                </c:pt>
                <c:pt idx="149">
                  <c:v>800</c:v>
                </c:pt>
                <c:pt idx="150">
                  <c:v>1141</c:v>
                </c:pt>
                <c:pt idx="151">
                  <c:v>20</c:v>
                </c:pt>
                <c:pt idx="152">
                  <c:v>186</c:v>
                </c:pt>
                <c:pt idx="153">
                  <c:v>0</c:v>
                </c:pt>
                <c:pt idx="154">
                  <c:v>209</c:v>
                </c:pt>
                <c:pt idx="155">
                  <c:v>406</c:v>
                </c:pt>
                <c:pt idx="156">
                  <c:v>230</c:v>
                </c:pt>
                <c:pt idx="157">
                  <c:v>0</c:v>
                </c:pt>
                <c:pt idx="158">
                  <c:v>50</c:v>
                </c:pt>
                <c:pt idx="159">
                  <c:v>50</c:v>
                </c:pt>
                <c:pt idx="160">
                  <c:v>0</c:v>
                </c:pt>
                <c:pt idx="161">
                  <c:v>250</c:v>
                </c:pt>
                <c:pt idx="162">
                  <c:v>205</c:v>
                </c:pt>
                <c:pt idx="163">
                  <c:v>200</c:v>
                </c:pt>
                <c:pt idx="164">
                  <c:v>0</c:v>
                </c:pt>
                <c:pt idx="165">
                  <c:v>120</c:v>
                </c:pt>
                <c:pt idx="166">
                  <c:v>570</c:v>
                </c:pt>
                <c:pt idx="167">
                  <c:v>610</c:v>
                </c:pt>
                <c:pt idx="168">
                  <c:v>365</c:v>
                </c:pt>
                <c:pt idx="169">
                  <c:v>100</c:v>
                </c:pt>
                <c:pt idx="170">
                  <c:v>220</c:v>
                </c:pt>
                <c:pt idx="171">
                  <c:v>352</c:v>
                </c:pt>
                <c:pt idx="172">
                  <c:v>250</c:v>
                </c:pt>
                <c:pt idx="173">
                  <c:v>410</c:v>
                </c:pt>
                <c:pt idx="174">
                  <c:v>0</c:v>
                </c:pt>
                <c:pt idx="175">
                  <c:v>255</c:v>
                </c:pt>
                <c:pt idx="176">
                  <c:v>790</c:v>
                </c:pt>
                <c:pt idx="177">
                  <c:v>60</c:v>
                </c:pt>
                <c:pt idx="178">
                  <c:v>150</c:v>
                </c:pt>
                <c:pt idx="179">
                  <c:v>210</c:v>
                </c:pt>
                <c:pt idx="180">
                  <c:v>450</c:v>
                </c:pt>
                <c:pt idx="181">
                  <c:v>370</c:v>
                </c:pt>
                <c:pt idx="182">
                  <c:v>727</c:v>
                </c:pt>
                <c:pt idx="183">
                  <c:v>930</c:v>
                </c:pt>
                <c:pt idx="184">
                  <c:v>1060</c:v>
                </c:pt>
                <c:pt idx="185">
                  <c:v>150</c:v>
                </c:pt>
                <c:pt idx="186">
                  <c:v>222</c:v>
                </c:pt>
                <c:pt idx="187">
                  <c:v>55</c:v>
                </c:pt>
                <c:pt idx="188">
                  <c:v>176</c:v>
                </c:pt>
                <c:pt idx="189">
                  <c:v>25</c:v>
                </c:pt>
                <c:pt idx="190">
                  <c:v>394</c:v>
                </c:pt>
                <c:pt idx="191">
                  <c:v>170</c:v>
                </c:pt>
                <c:pt idx="192">
                  <c:v>465</c:v>
                </c:pt>
                <c:pt idx="193">
                  <c:v>0</c:v>
                </c:pt>
                <c:pt idx="194">
                  <c:v>20</c:v>
                </c:pt>
                <c:pt idx="195">
                  <c:v>10</c:v>
                </c:pt>
                <c:pt idx="196">
                  <c:v>90</c:v>
                </c:pt>
                <c:pt idx="197">
                  <c:v>0</c:v>
                </c:pt>
                <c:pt idx="198">
                  <c:v>210</c:v>
                </c:pt>
                <c:pt idx="199">
                  <c:v>0</c:v>
                </c:pt>
                <c:pt idx="200">
                  <c:v>470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100</c:v>
                </c:pt>
                <c:pt idx="207">
                  <c:v>150</c:v>
                </c:pt>
                <c:pt idx="208">
                  <c:v>218</c:v>
                </c:pt>
                <c:pt idx="209">
                  <c:v>0</c:v>
                </c:pt>
                <c:pt idx="210">
                  <c:v>0</c:v>
                </c:pt>
                <c:pt idx="211">
                  <c:v>250</c:v>
                </c:pt>
                <c:pt idx="212">
                  <c:v>0</c:v>
                </c:pt>
                <c:pt idx="213">
                  <c:v>10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220</c:v>
                </c:pt>
                <c:pt idx="239">
                  <c:v>0</c:v>
                </c:pt>
                <c:pt idx="240">
                  <c:v>330</c:v>
                </c:pt>
                <c:pt idx="241">
                  <c:v>101</c:v>
                </c:pt>
                <c:pt idx="242">
                  <c:v>387</c:v>
                </c:pt>
                <c:pt idx="243">
                  <c:v>0</c:v>
                </c:pt>
                <c:pt idx="244">
                  <c:v>20</c:v>
                </c:pt>
                <c:pt idx="245">
                  <c:v>200</c:v>
                </c:pt>
                <c:pt idx="246">
                  <c:v>52</c:v>
                </c:pt>
              </c:numCache>
            </c:numRef>
          </c:val>
        </c:ser>
        <c:gapWidth val="0"/>
        <c:axId val="132736896"/>
        <c:axId val="132738432"/>
      </c:barChart>
      <c:lineChart>
        <c:grouping val="standard"/>
        <c:ser>
          <c:idx val="3"/>
          <c:order val="1"/>
          <c:tx>
            <c:strRef>
              <c:f>[1]FMG5!$O$2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[1]FMG5!$A$202:$A$448</c:f>
              <c:numCache>
                <c:formatCode>General</c:formatCode>
                <c:ptCount val="247"/>
                <c:pt idx="0">
                  <c:v>37635</c:v>
                </c:pt>
                <c:pt idx="1">
                  <c:v>37636</c:v>
                </c:pt>
                <c:pt idx="2">
                  <c:v>37637</c:v>
                </c:pt>
                <c:pt idx="3">
                  <c:v>37638</c:v>
                </c:pt>
                <c:pt idx="4">
                  <c:v>37641</c:v>
                </c:pt>
                <c:pt idx="5">
                  <c:v>37642</c:v>
                </c:pt>
                <c:pt idx="6">
                  <c:v>37643</c:v>
                </c:pt>
                <c:pt idx="7">
                  <c:v>37644</c:v>
                </c:pt>
                <c:pt idx="8">
                  <c:v>37645</c:v>
                </c:pt>
                <c:pt idx="9">
                  <c:v>37648</c:v>
                </c:pt>
                <c:pt idx="10">
                  <c:v>37649</c:v>
                </c:pt>
                <c:pt idx="11">
                  <c:v>37650</c:v>
                </c:pt>
                <c:pt idx="12">
                  <c:v>37651</c:v>
                </c:pt>
                <c:pt idx="13">
                  <c:v>37657</c:v>
                </c:pt>
                <c:pt idx="14">
                  <c:v>37658</c:v>
                </c:pt>
                <c:pt idx="15">
                  <c:v>37659</c:v>
                </c:pt>
                <c:pt idx="16">
                  <c:v>37662</c:v>
                </c:pt>
                <c:pt idx="17">
                  <c:v>37663</c:v>
                </c:pt>
                <c:pt idx="18">
                  <c:v>37665</c:v>
                </c:pt>
                <c:pt idx="19">
                  <c:v>37666</c:v>
                </c:pt>
                <c:pt idx="20">
                  <c:v>37669</c:v>
                </c:pt>
                <c:pt idx="21">
                  <c:v>37670</c:v>
                </c:pt>
                <c:pt idx="22">
                  <c:v>37671</c:v>
                </c:pt>
                <c:pt idx="23">
                  <c:v>37672</c:v>
                </c:pt>
                <c:pt idx="24">
                  <c:v>37673</c:v>
                </c:pt>
                <c:pt idx="25">
                  <c:v>37676</c:v>
                </c:pt>
                <c:pt idx="26">
                  <c:v>37677</c:v>
                </c:pt>
                <c:pt idx="27">
                  <c:v>37678</c:v>
                </c:pt>
                <c:pt idx="28">
                  <c:v>37679</c:v>
                </c:pt>
                <c:pt idx="29">
                  <c:v>37680</c:v>
                </c:pt>
                <c:pt idx="30">
                  <c:v>37683</c:v>
                </c:pt>
                <c:pt idx="31">
                  <c:v>37685</c:v>
                </c:pt>
                <c:pt idx="32">
                  <c:v>37686</c:v>
                </c:pt>
                <c:pt idx="33">
                  <c:v>37687</c:v>
                </c:pt>
                <c:pt idx="34">
                  <c:v>37690</c:v>
                </c:pt>
                <c:pt idx="35">
                  <c:v>37691</c:v>
                </c:pt>
                <c:pt idx="36">
                  <c:v>37692</c:v>
                </c:pt>
                <c:pt idx="37">
                  <c:v>37693</c:v>
                </c:pt>
                <c:pt idx="38">
                  <c:v>37694</c:v>
                </c:pt>
                <c:pt idx="39">
                  <c:v>37697</c:v>
                </c:pt>
                <c:pt idx="40">
                  <c:v>37698</c:v>
                </c:pt>
                <c:pt idx="41">
                  <c:v>37699</c:v>
                </c:pt>
                <c:pt idx="42">
                  <c:v>37700</c:v>
                </c:pt>
                <c:pt idx="43">
                  <c:v>37701</c:v>
                </c:pt>
                <c:pt idx="44">
                  <c:v>37704</c:v>
                </c:pt>
                <c:pt idx="45">
                  <c:v>37705</c:v>
                </c:pt>
                <c:pt idx="46">
                  <c:v>37706</c:v>
                </c:pt>
                <c:pt idx="47">
                  <c:v>37707</c:v>
                </c:pt>
                <c:pt idx="48">
                  <c:v>37708</c:v>
                </c:pt>
                <c:pt idx="49">
                  <c:v>37711</c:v>
                </c:pt>
                <c:pt idx="50">
                  <c:v>37712</c:v>
                </c:pt>
                <c:pt idx="51">
                  <c:v>37713</c:v>
                </c:pt>
                <c:pt idx="52">
                  <c:v>37714</c:v>
                </c:pt>
                <c:pt idx="53">
                  <c:v>37715</c:v>
                </c:pt>
                <c:pt idx="54">
                  <c:v>37718</c:v>
                </c:pt>
                <c:pt idx="55">
                  <c:v>37719</c:v>
                </c:pt>
                <c:pt idx="56">
                  <c:v>37720</c:v>
                </c:pt>
                <c:pt idx="57">
                  <c:v>37721</c:v>
                </c:pt>
                <c:pt idx="58">
                  <c:v>37722</c:v>
                </c:pt>
                <c:pt idx="59">
                  <c:v>37725</c:v>
                </c:pt>
                <c:pt idx="60">
                  <c:v>37726</c:v>
                </c:pt>
                <c:pt idx="61">
                  <c:v>37727</c:v>
                </c:pt>
                <c:pt idx="62">
                  <c:v>37728</c:v>
                </c:pt>
                <c:pt idx="63">
                  <c:v>37729</c:v>
                </c:pt>
                <c:pt idx="64">
                  <c:v>37732</c:v>
                </c:pt>
                <c:pt idx="65">
                  <c:v>37733</c:v>
                </c:pt>
                <c:pt idx="66">
                  <c:v>37734</c:v>
                </c:pt>
                <c:pt idx="67">
                  <c:v>37735</c:v>
                </c:pt>
                <c:pt idx="68">
                  <c:v>37736</c:v>
                </c:pt>
                <c:pt idx="69">
                  <c:v>37739</c:v>
                </c:pt>
                <c:pt idx="70">
                  <c:v>37740</c:v>
                </c:pt>
                <c:pt idx="71">
                  <c:v>37741</c:v>
                </c:pt>
                <c:pt idx="72">
                  <c:v>37743</c:v>
                </c:pt>
                <c:pt idx="73">
                  <c:v>37746</c:v>
                </c:pt>
                <c:pt idx="74">
                  <c:v>37747</c:v>
                </c:pt>
                <c:pt idx="75">
                  <c:v>37748</c:v>
                </c:pt>
                <c:pt idx="76">
                  <c:v>37749</c:v>
                </c:pt>
                <c:pt idx="77">
                  <c:v>37750</c:v>
                </c:pt>
                <c:pt idx="78">
                  <c:v>37753</c:v>
                </c:pt>
                <c:pt idx="79">
                  <c:v>37754</c:v>
                </c:pt>
                <c:pt idx="80">
                  <c:v>37757</c:v>
                </c:pt>
                <c:pt idx="81">
                  <c:v>37760</c:v>
                </c:pt>
                <c:pt idx="82">
                  <c:v>37761</c:v>
                </c:pt>
                <c:pt idx="83">
                  <c:v>37762</c:v>
                </c:pt>
                <c:pt idx="84">
                  <c:v>37763</c:v>
                </c:pt>
                <c:pt idx="85">
                  <c:v>37764</c:v>
                </c:pt>
                <c:pt idx="86">
                  <c:v>37767</c:v>
                </c:pt>
                <c:pt idx="87">
                  <c:v>37768</c:v>
                </c:pt>
                <c:pt idx="88">
                  <c:v>37769</c:v>
                </c:pt>
                <c:pt idx="89">
                  <c:v>37770</c:v>
                </c:pt>
                <c:pt idx="90">
                  <c:v>37771</c:v>
                </c:pt>
                <c:pt idx="91">
                  <c:v>37774</c:v>
                </c:pt>
                <c:pt idx="92">
                  <c:v>37775</c:v>
                </c:pt>
                <c:pt idx="93">
                  <c:v>37776</c:v>
                </c:pt>
                <c:pt idx="94">
                  <c:v>37777</c:v>
                </c:pt>
                <c:pt idx="95">
                  <c:v>37778</c:v>
                </c:pt>
                <c:pt idx="96">
                  <c:v>37781</c:v>
                </c:pt>
                <c:pt idx="97">
                  <c:v>37782</c:v>
                </c:pt>
                <c:pt idx="98">
                  <c:v>37783</c:v>
                </c:pt>
                <c:pt idx="99">
                  <c:v>37784</c:v>
                </c:pt>
                <c:pt idx="100">
                  <c:v>37785</c:v>
                </c:pt>
                <c:pt idx="101">
                  <c:v>37788</c:v>
                </c:pt>
                <c:pt idx="102">
                  <c:v>37789</c:v>
                </c:pt>
                <c:pt idx="103">
                  <c:v>37790</c:v>
                </c:pt>
                <c:pt idx="104">
                  <c:v>37791</c:v>
                </c:pt>
                <c:pt idx="105">
                  <c:v>37792</c:v>
                </c:pt>
                <c:pt idx="106">
                  <c:v>37795</c:v>
                </c:pt>
                <c:pt idx="107">
                  <c:v>37796</c:v>
                </c:pt>
                <c:pt idx="108">
                  <c:v>37797</c:v>
                </c:pt>
                <c:pt idx="109">
                  <c:v>37798</c:v>
                </c:pt>
                <c:pt idx="110">
                  <c:v>37799</c:v>
                </c:pt>
                <c:pt idx="111">
                  <c:v>37802</c:v>
                </c:pt>
                <c:pt idx="112">
                  <c:v>37803</c:v>
                </c:pt>
                <c:pt idx="113">
                  <c:v>37804</c:v>
                </c:pt>
                <c:pt idx="114">
                  <c:v>37805</c:v>
                </c:pt>
                <c:pt idx="115">
                  <c:v>37806</c:v>
                </c:pt>
                <c:pt idx="116">
                  <c:v>37809</c:v>
                </c:pt>
                <c:pt idx="117">
                  <c:v>37810</c:v>
                </c:pt>
                <c:pt idx="118">
                  <c:v>37811</c:v>
                </c:pt>
                <c:pt idx="119">
                  <c:v>37812</c:v>
                </c:pt>
                <c:pt idx="120">
                  <c:v>37813</c:v>
                </c:pt>
                <c:pt idx="121">
                  <c:v>37816</c:v>
                </c:pt>
                <c:pt idx="122">
                  <c:v>37817</c:v>
                </c:pt>
                <c:pt idx="123">
                  <c:v>37818</c:v>
                </c:pt>
                <c:pt idx="124">
                  <c:v>37819</c:v>
                </c:pt>
                <c:pt idx="125">
                  <c:v>37820</c:v>
                </c:pt>
                <c:pt idx="126">
                  <c:v>37823</c:v>
                </c:pt>
                <c:pt idx="127">
                  <c:v>37824</c:v>
                </c:pt>
                <c:pt idx="128">
                  <c:v>37825</c:v>
                </c:pt>
                <c:pt idx="129">
                  <c:v>37826</c:v>
                </c:pt>
                <c:pt idx="130">
                  <c:v>37827</c:v>
                </c:pt>
                <c:pt idx="131">
                  <c:v>37830</c:v>
                </c:pt>
                <c:pt idx="132">
                  <c:v>37831</c:v>
                </c:pt>
                <c:pt idx="133">
                  <c:v>37832</c:v>
                </c:pt>
                <c:pt idx="134">
                  <c:v>37833</c:v>
                </c:pt>
                <c:pt idx="135">
                  <c:v>37834</c:v>
                </c:pt>
                <c:pt idx="136">
                  <c:v>37837</c:v>
                </c:pt>
                <c:pt idx="137">
                  <c:v>37838</c:v>
                </c:pt>
                <c:pt idx="138">
                  <c:v>37839</c:v>
                </c:pt>
                <c:pt idx="139">
                  <c:v>37840</c:v>
                </c:pt>
                <c:pt idx="140">
                  <c:v>37841</c:v>
                </c:pt>
                <c:pt idx="141">
                  <c:v>37844</c:v>
                </c:pt>
                <c:pt idx="142">
                  <c:v>37845</c:v>
                </c:pt>
                <c:pt idx="143">
                  <c:v>37846</c:v>
                </c:pt>
                <c:pt idx="144">
                  <c:v>37847</c:v>
                </c:pt>
                <c:pt idx="145">
                  <c:v>37848</c:v>
                </c:pt>
                <c:pt idx="146">
                  <c:v>37851</c:v>
                </c:pt>
                <c:pt idx="147">
                  <c:v>37852</c:v>
                </c:pt>
                <c:pt idx="148">
                  <c:v>37853</c:v>
                </c:pt>
                <c:pt idx="149">
                  <c:v>37854</c:v>
                </c:pt>
                <c:pt idx="150">
                  <c:v>37855</c:v>
                </c:pt>
                <c:pt idx="151">
                  <c:v>37858</c:v>
                </c:pt>
                <c:pt idx="152">
                  <c:v>37859</c:v>
                </c:pt>
                <c:pt idx="153">
                  <c:v>37860</c:v>
                </c:pt>
                <c:pt idx="154">
                  <c:v>37861</c:v>
                </c:pt>
                <c:pt idx="155">
                  <c:v>37862</c:v>
                </c:pt>
                <c:pt idx="156">
                  <c:v>37866</c:v>
                </c:pt>
                <c:pt idx="157">
                  <c:v>37867</c:v>
                </c:pt>
                <c:pt idx="158">
                  <c:v>37868</c:v>
                </c:pt>
                <c:pt idx="159">
                  <c:v>37869</c:v>
                </c:pt>
                <c:pt idx="160">
                  <c:v>37872</c:v>
                </c:pt>
                <c:pt idx="161">
                  <c:v>37873</c:v>
                </c:pt>
                <c:pt idx="162">
                  <c:v>37874</c:v>
                </c:pt>
                <c:pt idx="163">
                  <c:v>37875</c:v>
                </c:pt>
                <c:pt idx="164">
                  <c:v>37876</c:v>
                </c:pt>
                <c:pt idx="165">
                  <c:v>37879</c:v>
                </c:pt>
                <c:pt idx="166">
                  <c:v>37880</c:v>
                </c:pt>
                <c:pt idx="167">
                  <c:v>37881</c:v>
                </c:pt>
                <c:pt idx="168">
                  <c:v>37882</c:v>
                </c:pt>
                <c:pt idx="169">
                  <c:v>37883</c:v>
                </c:pt>
                <c:pt idx="170">
                  <c:v>37886</c:v>
                </c:pt>
                <c:pt idx="171">
                  <c:v>37887</c:v>
                </c:pt>
                <c:pt idx="172">
                  <c:v>37888</c:v>
                </c:pt>
                <c:pt idx="173">
                  <c:v>37889</c:v>
                </c:pt>
                <c:pt idx="174">
                  <c:v>37890</c:v>
                </c:pt>
                <c:pt idx="175">
                  <c:v>37893</c:v>
                </c:pt>
                <c:pt idx="176">
                  <c:v>37894</c:v>
                </c:pt>
                <c:pt idx="177">
                  <c:v>37895</c:v>
                </c:pt>
                <c:pt idx="178">
                  <c:v>37896</c:v>
                </c:pt>
                <c:pt idx="179">
                  <c:v>37897</c:v>
                </c:pt>
                <c:pt idx="180">
                  <c:v>37900</c:v>
                </c:pt>
                <c:pt idx="181">
                  <c:v>37901</c:v>
                </c:pt>
                <c:pt idx="182">
                  <c:v>37902</c:v>
                </c:pt>
                <c:pt idx="183">
                  <c:v>37903</c:v>
                </c:pt>
                <c:pt idx="184">
                  <c:v>37904</c:v>
                </c:pt>
                <c:pt idx="185">
                  <c:v>37907</c:v>
                </c:pt>
                <c:pt idx="186">
                  <c:v>37908</c:v>
                </c:pt>
                <c:pt idx="187">
                  <c:v>37909</c:v>
                </c:pt>
                <c:pt idx="188">
                  <c:v>37910</c:v>
                </c:pt>
                <c:pt idx="189">
                  <c:v>37911</c:v>
                </c:pt>
                <c:pt idx="190">
                  <c:v>37914</c:v>
                </c:pt>
                <c:pt idx="191">
                  <c:v>37915</c:v>
                </c:pt>
                <c:pt idx="192">
                  <c:v>37916</c:v>
                </c:pt>
                <c:pt idx="193">
                  <c:v>37917</c:v>
                </c:pt>
                <c:pt idx="194">
                  <c:v>37921</c:v>
                </c:pt>
                <c:pt idx="195">
                  <c:v>37922</c:v>
                </c:pt>
                <c:pt idx="196">
                  <c:v>37923</c:v>
                </c:pt>
                <c:pt idx="197">
                  <c:v>37924</c:v>
                </c:pt>
                <c:pt idx="198">
                  <c:v>37925</c:v>
                </c:pt>
                <c:pt idx="199">
                  <c:v>37928</c:v>
                </c:pt>
                <c:pt idx="200">
                  <c:v>37929</c:v>
                </c:pt>
                <c:pt idx="201">
                  <c:v>37930</c:v>
                </c:pt>
                <c:pt idx="202">
                  <c:v>37931</c:v>
                </c:pt>
                <c:pt idx="203">
                  <c:v>37932</c:v>
                </c:pt>
                <c:pt idx="204">
                  <c:v>37935</c:v>
                </c:pt>
                <c:pt idx="205">
                  <c:v>37936</c:v>
                </c:pt>
                <c:pt idx="206">
                  <c:v>37937</c:v>
                </c:pt>
                <c:pt idx="207">
                  <c:v>37938</c:v>
                </c:pt>
                <c:pt idx="208">
                  <c:v>37939</c:v>
                </c:pt>
                <c:pt idx="209">
                  <c:v>37942</c:v>
                </c:pt>
                <c:pt idx="210">
                  <c:v>37943</c:v>
                </c:pt>
                <c:pt idx="211">
                  <c:v>37944</c:v>
                </c:pt>
                <c:pt idx="212">
                  <c:v>37945</c:v>
                </c:pt>
                <c:pt idx="213">
                  <c:v>37946</c:v>
                </c:pt>
                <c:pt idx="214">
                  <c:v>37952</c:v>
                </c:pt>
                <c:pt idx="215">
                  <c:v>37953</c:v>
                </c:pt>
                <c:pt idx="216">
                  <c:v>37956</c:v>
                </c:pt>
                <c:pt idx="217">
                  <c:v>37957</c:v>
                </c:pt>
                <c:pt idx="218">
                  <c:v>37958</c:v>
                </c:pt>
                <c:pt idx="219">
                  <c:v>37959</c:v>
                </c:pt>
                <c:pt idx="220">
                  <c:v>37960</c:v>
                </c:pt>
                <c:pt idx="221">
                  <c:v>37963</c:v>
                </c:pt>
                <c:pt idx="222">
                  <c:v>37964</c:v>
                </c:pt>
                <c:pt idx="223">
                  <c:v>37965</c:v>
                </c:pt>
                <c:pt idx="224">
                  <c:v>37966</c:v>
                </c:pt>
                <c:pt idx="225">
                  <c:v>37967</c:v>
                </c:pt>
                <c:pt idx="226">
                  <c:v>37970</c:v>
                </c:pt>
                <c:pt idx="227">
                  <c:v>37971</c:v>
                </c:pt>
                <c:pt idx="228">
                  <c:v>37972</c:v>
                </c:pt>
                <c:pt idx="229">
                  <c:v>37973</c:v>
                </c:pt>
                <c:pt idx="230">
                  <c:v>37974</c:v>
                </c:pt>
                <c:pt idx="231">
                  <c:v>37977</c:v>
                </c:pt>
                <c:pt idx="232">
                  <c:v>37978</c:v>
                </c:pt>
                <c:pt idx="233">
                  <c:v>37979</c:v>
                </c:pt>
                <c:pt idx="234">
                  <c:v>37981</c:v>
                </c:pt>
                <c:pt idx="235">
                  <c:v>37984</c:v>
                </c:pt>
                <c:pt idx="236">
                  <c:v>37985</c:v>
                </c:pt>
                <c:pt idx="237">
                  <c:v>37986</c:v>
                </c:pt>
                <c:pt idx="238">
                  <c:v>37988</c:v>
                </c:pt>
                <c:pt idx="239">
                  <c:v>37991</c:v>
                </c:pt>
                <c:pt idx="240">
                  <c:v>37992</c:v>
                </c:pt>
                <c:pt idx="241">
                  <c:v>37993</c:v>
                </c:pt>
                <c:pt idx="242">
                  <c:v>37994</c:v>
                </c:pt>
                <c:pt idx="243">
                  <c:v>37995</c:v>
                </c:pt>
                <c:pt idx="244">
                  <c:v>37998</c:v>
                </c:pt>
                <c:pt idx="245">
                  <c:v>37999</c:v>
                </c:pt>
                <c:pt idx="246">
                  <c:v>38000</c:v>
                </c:pt>
              </c:numCache>
            </c:numRef>
          </c:cat>
          <c:val>
            <c:numRef>
              <c:f>[1]FMG5!$O$202:$O$448</c:f>
              <c:numCache>
                <c:formatCode>General</c:formatCode>
                <c:ptCount val="247"/>
                <c:pt idx="0">
                  <c:v>6022</c:v>
                </c:pt>
                <c:pt idx="1">
                  <c:v>6012</c:v>
                </c:pt>
                <c:pt idx="2">
                  <c:v>5952</c:v>
                </c:pt>
                <c:pt idx="3">
                  <c:v>6033</c:v>
                </c:pt>
                <c:pt idx="4">
                  <c:v>6123</c:v>
                </c:pt>
                <c:pt idx="5">
                  <c:v>6383</c:v>
                </c:pt>
                <c:pt idx="6">
                  <c:v>6383</c:v>
                </c:pt>
                <c:pt idx="7">
                  <c:v>6658</c:v>
                </c:pt>
                <c:pt idx="8">
                  <c:v>7388</c:v>
                </c:pt>
                <c:pt idx="9">
                  <c:v>7268</c:v>
                </c:pt>
                <c:pt idx="10">
                  <c:v>7243</c:v>
                </c:pt>
                <c:pt idx="11">
                  <c:v>7263</c:v>
                </c:pt>
                <c:pt idx="12">
                  <c:v>7563</c:v>
                </c:pt>
                <c:pt idx="13">
                  <c:v>7563</c:v>
                </c:pt>
                <c:pt idx="14">
                  <c:v>7563</c:v>
                </c:pt>
                <c:pt idx="15">
                  <c:v>7563</c:v>
                </c:pt>
                <c:pt idx="16">
                  <c:v>7533</c:v>
                </c:pt>
                <c:pt idx="17">
                  <c:v>7603</c:v>
                </c:pt>
                <c:pt idx="18">
                  <c:v>8663</c:v>
                </c:pt>
                <c:pt idx="19">
                  <c:v>8623</c:v>
                </c:pt>
                <c:pt idx="20">
                  <c:v>8473</c:v>
                </c:pt>
                <c:pt idx="21">
                  <c:v>8525</c:v>
                </c:pt>
                <c:pt idx="22">
                  <c:v>8985</c:v>
                </c:pt>
                <c:pt idx="23">
                  <c:v>8865</c:v>
                </c:pt>
                <c:pt idx="24">
                  <c:v>8965</c:v>
                </c:pt>
                <c:pt idx="25">
                  <c:v>8985</c:v>
                </c:pt>
                <c:pt idx="26">
                  <c:v>8945</c:v>
                </c:pt>
                <c:pt idx="27">
                  <c:v>9180</c:v>
                </c:pt>
                <c:pt idx="28">
                  <c:v>9245</c:v>
                </c:pt>
                <c:pt idx="29">
                  <c:v>9505</c:v>
                </c:pt>
                <c:pt idx="30">
                  <c:v>9319</c:v>
                </c:pt>
                <c:pt idx="31">
                  <c:v>8744</c:v>
                </c:pt>
                <c:pt idx="32">
                  <c:v>8744</c:v>
                </c:pt>
                <c:pt idx="33">
                  <c:v>8794</c:v>
                </c:pt>
                <c:pt idx="34">
                  <c:v>8564</c:v>
                </c:pt>
                <c:pt idx="35">
                  <c:v>8384</c:v>
                </c:pt>
                <c:pt idx="36">
                  <c:v>8364</c:v>
                </c:pt>
                <c:pt idx="37">
                  <c:v>8009</c:v>
                </c:pt>
                <c:pt idx="38">
                  <c:v>8228</c:v>
                </c:pt>
                <c:pt idx="39">
                  <c:v>8273</c:v>
                </c:pt>
                <c:pt idx="40">
                  <c:v>8258</c:v>
                </c:pt>
                <c:pt idx="41">
                  <c:v>5253</c:v>
                </c:pt>
                <c:pt idx="42">
                  <c:v>5663</c:v>
                </c:pt>
                <c:pt idx="43">
                  <c:v>5783</c:v>
                </c:pt>
                <c:pt idx="44">
                  <c:v>5613</c:v>
                </c:pt>
                <c:pt idx="45">
                  <c:v>5738</c:v>
                </c:pt>
                <c:pt idx="46">
                  <c:v>6104</c:v>
                </c:pt>
                <c:pt idx="47">
                  <c:v>6254</c:v>
                </c:pt>
                <c:pt idx="48">
                  <c:v>6204</c:v>
                </c:pt>
                <c:pt idx="49">
                  <c:v>5984</c:v>
                </c:pt>
                <c:pt idx="50">
                  <c:v>6102</c:v>
                </c:pt>
                <c:pt idx="51">
                  <c:v>6597</c:v>
                </c:pt>
                <c:pt idx="52">
                  <c:v>6889</c:v>
                </c:pt>
                <c:pt idx="53">
                  <c:v>6439</c:v>
                </c:pt>
                <c:pt idx="54">
                  <c:v>6663</c:v>
                </c:pt>
                <c:pt idx="55">
                  <c:v>6776</c:v>
                </c:pt>
                <c:pt idx="56">
                  <c:v>6656</c:v>
                </c:pt>
                <c:pt idx="57">
                  <c:v>6546</c:v>
                </c:pt>
                <c:pt idx="58">
                  <c:v>6758</c:v>
                </c:pt>
                <c:pt idx="59">
                  <c:v>6758</c:v>
                </c:pt>
                <c:pt idx="60">
                  <c:v>7028</c:v>
                </c:pt>
                <c:pt idx="61">
                  <c:v>6998</c:v>
                </c:pt>
                <c:pt idx="62">
                  <c:v>6618</c:v>
                </c:pt>
                <c:pt idx="63">
                  <c:v>6598</c:v>
                </c:pt>
                <c:pt idx="64">
                  <c:v>6908</c:v>
                </c:pt>
                <c:pt idx="65">
                  <c:v>6881</c:v>
                </c:pt>
                <c:pt idx="66">
                  <c:v>6941</c:v>
                </c:pt>
                <c:pt idx="67">
                  <c:v>6991</c:v>
                </c:pt>
                <c:pt idx="68">
                  <c:v>7481</c:v>
                </c:pt>
                <c:pt idx="69">
                  <c:v>7621</c:v>
                </c:pt>
                <c:pt idx="70">
                  <c:v>7892</c:v>
                </c:pt>
                <c:pt idx="71">
                  <c:v>8972</c:v>
                </c:pt>
                <c:pt idx="72">
                  <c:v>9032</c:v>
                </c:pt>
                <c:pt idx="73">
                  <c:v>9372</c:v>
                </c:pt>
                <c:pt idx="74">
                  <c:v>9722</c:v>
                </c:pt>
                <c:pt idx="75">
                  <c:v>9792</c:v>
                </c:pt>
                <c:pt idx="76">
                  <c:v>9967</c:v>
                </c:pt>
                <c:pt idx="77">
                  <c:v>9967</c:v>
                </c:pt>
                <c:pt idx="78">
                  <c:v>9947</c:v>
                </c:pt>
                <c:pt idx="79">
                  <c:v>9947</c:v>
                </c:pt>
                <c:pt idx="80">
                  <c:v>9947</c:v>
                </c:pt>
                <c:pt idx="81">
                  <c:v>10137</c:v>
                </c:pt>
                <c:pt idx="82">
                  <c:v>10149</c:v>
                </c:pt>
                <c:pt idx="83">
                  <c:v>10521</c:v>
                </c:pt>
                <c:pt idx="84">
                  <c:v>9962</c:v>
                </c:pt>
                <c:pt idx="85">
                  <c:v>10273</c:v>
                </c:pt>
                <c:pt idx="86">
                  <c:v>10323</c:v>
                </c:pt>
                <c:pt idx="87">
                  <c:v>10283</c:v>
                </c:pt>
                <c:pt idx="88">
                  <c:v>10533</c:v>
                </c:pt>
                <c:pt idx="89">
                  <c:v>10533</c:v>
                </c:pt>
                <c:pt idx="90">
                  <c:v>10168</c:v>
                </c:pt>
                <c:pt idx="91">
                  <c:v>10138</c:v>
                </c:pt>
                <c:pt idx="92">
                  <c:v>10138</c:v>
                </c:pt>
                <c:pt idx="93">
                  <c:v>10408</c:v>
                </c:pt>
                <c:pt idx="94">
                  <c:v>10038</c:v>
                </c:pt>
                <c:pt idx="95">
                  <c:v>10126</c:v>
                </c:pt>
                <c:pt idx="96">
                  <c:v>10409</c:v>
                </c:pt>
                <c:pt idx="97">
                  <c:v>10709</c:v>
                </c:pt>
                <c:pt idx="98">
                  <c:v>10359</c:v>
                </c:pt>
                <c:pt idx="99">
                  <c:v>10359</c:v>
                </c:pt>
                <c:pt idx="100">
                  <c:v>10329</c:v>
                </c:pt>
                <c:pt idx="101">
                  <c:v>10529</c:v>
                </c:pt>
                <c:pt idx="102">
                  <c:v>10679</c:v>
                </c:pt>
                <c:pt idx="103">
                  <c:v>5952</c:v>
                </c:pt>
                <c:pt idx="104">
                  <c:v>6192</c:v>
                </c:pt>
                <c:pt idx="105">
                  <c:v>6842</c:v>
                </c:pt>
                <c:pt idx="106">
                  <c:v>6812</c:v>
                </c:pt>
                <c:pt idx="107">
                  <c:v>6862</c:v>
                </c:pt>
                <c:pt idx="108">
                  <c:v>6110</c:v>
                </c:pt>
                <c:pt idx="109">
                  <c:v>5985</c:v>
                </c:pt>
                <c:pt idx="110">
                  <c:v>6357</c:v>
                </c:pt>
                <c:pt idx="111">
                  <c:v>6207</c:v>
                </c:pt>
                <c:pt idx="112">
                  <c:v>6044</c:v>
                </c:pt>
                <c:pt idx="113">
                  <c:v>5309</c:v>
                </c:pt>
                <c:pt idx="114">
                  <c:v>5274</c:v>
                </c:pt>
                <c:pt idx="115">
                  <c:v>5034</c:v>
                </c:pt>
                <c:pt idx="116">
                  <c:v>5134</c:v>
                </c:pt>
                <c:pt idx="117">
                  <c:v>5184</c:v>
                </c:pt>
                <c:pt idx="118">
                  <c:v>5404</c:v>
                </c:pt>
                <c:pt idx="119">
                  <c:v>5344</c:v>
                </c:pt>
                <c:pt idx="120">
                  <c:v>5294</c:v>
                </c:pt>
                <c:pt idx="121">
                  <c:v>5539</c:v>
                </c:pt>
                <c:pt idx="122">
                  <c:v>5494</c:v>
                </c:pt>
                <c:pt idx="123">
                  <c:v>6144</c:v>
                </c:pt>
                <c:pt idx="124">
                  <c:v>5759</c:v>
                </c:pt>
                <c:pt idx="125">
                  <c:v>5984</c:v>
                </c:pt>
                <c:pt idx="126">
                  <c:v>6034</c:v>
                </c:pt>
                <c:pt idx="127">
                  <c:v>5549</c:v>
                </c:pt>
                <c:pt idx="128">
                  <c:v>6079</c:v>
                </c:pt>
                <c:pt idx="129">
                  <c:v>6189</c:v>
                </c:pt>
                <c:pt idx="130">
                  <c:v>6119</c:v>
                </c:pt>
                <c:pt idx="131">
                  <c:v>6014</c:v>
                </c:pt>
                <c:pt idx="132">
                  <c:v>4584</c:v>
                </c:pt>
                <c:pt idx="133">
                  <c:v>4522</c:v>
                </c:pt>
                <c:pt idx="134">
                  <c:v>4672</c:v>
                </c:pt>
                <c:pt idx="135">
                  <c:v>5160</c:v>
                </c:pt>
                <c:pt idx="136">
                  <c:v>5161</c:v>
                </c:pt>
                <c:pt idx="137">
                  <c:v>5211</c:v>
                </c:pt>
                <c:pt idx="138">
                  <c:v>5151</c:v>
                </c:pt>
                <c:pt idx="139">
                  <c:v>5056</c:v>
                </c:pt>
                <c:pt idx="140">
                  <c:v>5056</c:v>
                </c:pt>
                <c:pt idx="141">
                  <c:v>5056</c:v>
                </c:pt>
                <c:pt idx="142">
                  <c:v>4806</c:v>
                </c:pt>
                <c:pt idx="143">
                  <c:v>4672</c:v>
                </c:pt>
                <c:pt idx="144">
                  <c:v>4662</c:v>
                </c:pt>
                <c:pt idx="145">
                  <c:v>4312</c:v>
                </c:pt>
                <c:pt idx="146">
                  <c:v>4312</c:v>
                </c:pt>
                <c:pt idx="147">
                  <c:v>4522</c:v>
                </c:pt>
                <c:pt idx="148">
                  <c:v>4572</c:v>
                </c:pt>
                <c:pt idx="149">
                  <c:v>4322</c:v>
                </c:pt>
                <c:pt idx="150">
                  <c:v>3532</c:v>
                </c:pt>
                <c:pt idx="151">
                  <c:v>3532</c:v>
                </c:pt>
                <c:pt idx="152">
                  <c:v>3476</c:v>
                </c:pt>
                <c:pt idx="153">
                  <c:v>3476</c:v>
                </c:pt>
                <c:pt idx="154">
                  <c:v>3648</c:v>
                </c:pt>
                <c:pt idx="155">
                  <c:v>3753</c:v>
                </c:pt>
                <c:pt idx="156">
                  <c:v>3698</c:v>
                </c:pt>
                <c:pt idx="157">
                  <c:v>3698</c:v>
                </c:pt>
                <c:pt idx="158">
                  <c:v>3698</c:v>
                </c:pt>
                <c:pt idx="159">
                  <c:v>3748</c:v>
                </c:pt>
                <c:pt idx="160">
                  <c:v>3748</c:v>
                </c:pt>
                <c:pt idx="161">
                  <c:v>3698</c:v>
                </c:pt>
                <c:pt idx="162">
                  <c:v>3748</c:v>
                </c:pt>
                <c:pt idx="163">
                  <c:v>3898</c:v>
                </c:pt>
                <c:pt idx="164">
                  <c:v>3898</c:v>
                </c:pt>
                <c:pt idx="165">
                  <c:v>3918</c:v>
                </c:pt>
                <c:pt idx="166">
                  <c:v>3683</c:v>
                </c:pt>
                <c:pt idx="167">
                  <c:v>2147</c:v>
                </c:pt>
                <c:pt idx="168">
                  <c:v>2042</c:v>
                </c:pt>
                <c:pt idx="169">
                  <c:v>2042</c:v>
                </c:pt>
                <c:pt idx="170">
                  <c:v>2077</c:v>
                </c:pt>
                <c:pt idx="171">
                  <c:v>2077</c:v>
                </c:pt>
                <c:pt idx="172">
                  <c:v>2127</c:v>
                </c:pt>
                <c:pt idx="173">
                  <c:v>2189</c:v>
                </c:pt>
                <c:pt idx="174">
                  <c:v>2189</c:v>
                </c:pt>
                <c:pt idx="175">
                  <c:v>2254</c:v>
                </c:pt>
                <c:pt idx="176">
                  <c:v>1944</c:v>
                </c:pt>
                <c:pt idx="177">
                  <c:v>2004</c:v>
                </c:pt>
                <c:pt idx="178">
                  <c:v>2154</c:v>
                </c:pt>
                <c:pt idx="179">
                  <c:v>2314</c:v>
                </c:pt>
                <c:pt idx="180">
                  <c:v>2414</c:v>
                </c:pt>
                <c:pt idx="181">
                  <c:v>2404</c:v>
                </c:pt>
                <c:pt idx="182">
                  <c:v>2619</c:v>
                </c:pt>
                <c:pt idx="183">
                  <c:v>2414</c:v>
                </c:pt>
                <c:pt idx="184">
                  <c:v>2066</c:v>
                </c:pt>
                <c:pt idx="185">
                  <c:v>2166</c:v>
                </c:pt>
                <c:pt idx="186">
                  <c:v>2141</c:v>
                </c:pt>
                <c:pt idx="187">
                  <c:v>2086</c:v>
                </c:pt>
                <c:pt idx="188">
                  <c:v>2157</c:v>
                </c:pt>
                <c:pt idx="189">
                  <c:v>2157</c:v>
                </c:pt>
                <c:pt idx="190">
                  <c:v>1909</c:v>
                </c:pt>
                <c:pt idx="191">
                  <c:v>1961</c:v>
                </c:pt>
                <c:pt idx="192">
                  <c:v>2161</c:v>
                </c:pt>
                <c:pt idx="193">
                  <c:v>2161</c:v>
                </c:pt>
                <c:pt idx="194">
                  <c:v>2161</c:v>
                </c:pt>
                <c:pt idx="195">
                  <c:v>2171</c:v>
                </c:pt>
                <c:pt idx="196">
                  <c:v>2141</c:v>
                </c:pt>
                <c:pt idx="197">
                  <c:v>2141</c:v>
                </c:pt>
                <c:pt idx="198">
                  <c:v>2041</c:v>
                </c:pt>
                <c:pt idx="199">
                  <c:v>2041</c:v>
                </c:pt>
                <c:pt idx="200">
                  <c:v>1921</c:v>
                </c:pt>
                <c:pt idx="201">
                  <c:v>1921</c:v>
                </c:pt>
                <c:pt idx="202">
                  <c:v>1921</c:v>
                </c:pt>
                <c:pt idx="203">
                  <c:v>1921</c:v>
                </c:pt>
                <c:pt idx="204">
                  <c:v>1921</c:v>
                </c:pt>
                <c:pt idx="205">
                  <c:v>1921</c:v>
                </c:pt>
                <c:pt idx="206">
                  <c:v>1871</c:v>
                </c:pt>
                <c:pt idx="207">
                  <c:v>1844</c:v>
                </c:pt>
                <c:pt idx="208">
                  <c:v>1724</c:v>
                </c:pt>
                <c:pt idx="209">
                  <c:v>1724</c:v>
                </c:pt>
                <c:pt idx="210">
                  <c:v>1724</c:v>
                </c:pt>
                <c:pt idx="211">
                  <c:v>1574</c:v>
                </c:pt>
                <c:pt idx="212">
                  <c:v>1574</c:v>
                </c:pt>
                <c:pt idx="213">
                  <c:v>1574</c:v>
                </c:pt>
                <c:pt idx="214">
                  <c:v>1574</c:v>
                </c:pt>
                <c:pt idx="215">
                  <c:v>1574</c:v>
                </c:pt>
                <c:pt idx="216">
                  <c:v>1574</c:v>
                </c:pt>
                <c:pt idx="217">
                  <c:v>1574</c:v>
                </c:pt>
                <c:pt idx="218">
                  <c:v>1574</c:v>
                </c:pt>
                <c:pt idx="219">
                  <c:v>1574</c:v>
                </c:pt>
                <c:pt idx="220">
                  <c:v>1574</c:v>
                </c:pt>
                <c:pt idx="221">
                  <c:v>1574</c:v>
                </c:pt>
                <c:pt idx="222">
                  <c:v>1574</c:v>
                </c:pt>
                <c:pt idx="223">
                  <c:v>1574</c:v>
                </c:pt>
                <c:pt idx="224">
                  <c:v>1574</c:v>
                </c:pt>
                <c:pt idx="225">
                  <c:v>1574</c:v>
                </c:pt>
                <c:pt idx="226">
                  <c:v>1574</c:v>
                </c:pt>
                <c:pt idx="227">
                  <c:v>1574</c:v>
                </c:pt>
                <c:pt idx="228">
                  <c:v>127</c:v>
                </c:pt>
                <c:pt idx="229">
                  <c:v>127</c:v>
                </c:pt>
                <c:pt idx="230">
                  <c:v>127</c:v>
                </c:pt>
                <c:pt idx="231">
                  <c:v>127</c:v>
                </c:pt>
                <c:pt idx="232">
                  <c:v>127</c:v>
                </c:pt>
                <c:pt idx="233">
                  <c:v>127</c:v>
                </c:pt>
                <c:pt idx="234">
                  <c:v>127</c:v>
                </c:pt>
                <c:pt idx="235">
                  <c:v>127</c:v>
                </c:pt>
                <c:pt idx="236">
                  <c:v>127</c:v>
                </c:pt>
                <c:pt idx="237">
                  <c:v>127</c:v>
                </c:pt>
                <c:pt idx="238">
                  <c:v>337</c:v>
                </c:pt>
                <c:pt idx="239">
                  <c:v>337</c:v>
                </c:pt>
                <c:pt idx="240">
                  <c:v>637</c:v>
                </c:pt>
                <c:pt idx="241">
                  <c:v>688</c:v>
                </c:pt>
                <c:pt idx="242">
                  <c:v>933</c:v>
                </c:pt>
                <c:pt idx="243">
                  <c:v>933</c:v>
                </c:pt>
                <c:pt idx="244">
                  <c:v>913</c:v>
                </c:pt>
                <c:pt idx="245">
                  <c:v>998</c:v>
                </c:pt>
                <c:pt idx="246">
                  <c:v>1047</c:v>
                </c:pt>
              </c:numCache>
            </c:numRef>
          </c:val>
        </c:ser>
        <c:marker val="1"/>
        <c:axId val="132756608"/>
        <c:axId val="132758144"/>
      </c:lineChart>
      <c:catAx>
        <c:axId val="132736896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38432"/>
        <c:crosses val="autoZero"/>
        <c:lblAlgn val="ctr"/>
        <c:lblOffset val="100"/>
        <c:tickLblSkip val="7"/>
        <c:tickMarkSkip val="1"/>
      </c:catAx>
      <c:valAx>
        <c:axId val="132738432"/>
        <c:scaling>
          <c:orientation val="minMax"/>
          <c:max val="35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36896"/>
        <c:crosses val="autoZero"/>
        <c:crossBetween val="between"/>
        <c:majorUnit val="500"/>
        <c:minorUnit val="100"/>
      </c:valAx>
      <c:catAx>
        <c:axId val="132756608"/>
        <c:scaling>
          <c:orientation val="minMax"/>
        </c:scaling>
        <c:delete val="1"/>
        <c:axPos val="b"/>
        <c:numFmt formatCode="General" sourceLinked="1"/>
        <c:tickLblPos val="nextTo"/>
        <c:crossAx val="132758144"/>
        <c:crosses val="autoZero"/>
        <c:lblAlgn val="ctr"/>
        <c:lblOffset val="100"/>
      </c:catAx>
      <c:valAx>
        <c:axId val="132758144"/>
        <c:scaling>
          <c:orientation val="minMax"/>
          <c:max val="12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56608"/>
        <c:crosses val="max"/>
        <c:crossBetween val="between"/>
        <c:majorUnit val="10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52291421856648"/>
          <c:y val="0.92682926829268319"/>
          <c:w val="0.37955346650998834"/>
          <c:h val="6.271777003484325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FMG5 1st Quarterly Contract Month</a:t>
            </a:r>
          </a:p>
        </c:rich>
      </c:tx>
      <c:layout>
        <c:manualLayout>
          <c:xMode val="edge"/>
          <c:yMode val="edge"/>
          <c:x val="0.40823552862794615"/>
          <c:y val="2.0905923344947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23574691851264E-2"/>
          <c:y val="5.2264808362369311E-2"/>
          <c:w val="0.90352993079614563"/>
          <c:h val="0.74564459930313631"/>
        </c:manualLayout>
      </c:layout>
      <c:lineChart>
        <c:grouping val="standard"/>
        <c:ser>
          <c:idx val="2"/>
          <c:order val="0"/>
          <c:tx>
            <c:strRef>
              <c:f>[1]FMG5!$B$2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[1]FMG5!$A$200:$A$448</c:f>
              <c:numCache>
                <c:formatCode>General</c:formatCode>
                <c:ptCount val="249"/>
                <c:pt idx="0">
                  <c:v>37631</c:v>
                </c:pt>
                <c:pt idx="1">
                  <c:v>37634</c:v>
                </c:pt>
                <c:pt idx="2">
                  <c:v>37635</c:v>
                </c:pt>
                <c:pt idx="3">
                  <c:v>37636</c:v>
                </c:pt>
                <c:pt idx="4">
                  <c:v>37637</c:v>
                </c:pt>
                <c:pt idx="5">
                  <c:v>37638</c:v>
                </c:pt>
                <c:pt idx="6">
                  <c:v>37641</c:v>
                </c:pt>
                <c:pt idx="7">
                  <c:v>37642</c:v>
                </c:pt>
                <c:pt idx="8">
                  <c:v>37643</c:v>
                </c:pt>
                <c:pt idx="9">
                  <c:v>37644</c:v>
                </c:pt>
                <c:pt idx="10">
                  <c:v>37645</c:v>
                </c:pt>
                <c:pt idx="11">
                  <c:v>37648</c:v>
                </c:pt>
                <c:pt idx="12">
                  <c:v>37649</c:v>
                </c:pt>
                <c:pt idx="13">
                  <c:v>37650</c:v>
                </c:pt>
                <c:pt idx="14">
                  <c:v>37651</c:v>
                </c:pt>
                <c:pt idx="15">
                  <c:v>37657</c:v>
                </c:pt>
                <c:pt idx="16">
                  <c:v>37658</c:v>
                </c:pt>
                <c:pt idx="17">
                  <c:v>37659</c:v>
                </c:pt>
                <c:pt idx="18">
                  <c:v>37662</c:v>
                </c:pt>
                <c:pt idx="19">
                  <c:v>37663</c:v>
                </c:pt>
                <c:pt idx="20">
                  <c:v>37665</c:v>
                </c:pt>
                <c:pt idx="21">
                  <c:v>37666</c:v>
                </c:pt>
                <c:pt idx="22">
                  <c:v>37669</c:v>
                </c:pt>
                <c:pt idx="23">
                  <c:v>37670</c:v>
                </c:pt>
                <c:pt idx="24">
                  <c:v>37671</c:v>
                </c:pt>
                <c:pt idx="25">
                  <c:v>37672</c:v>
                </c:pt>
                <c:pt idx="26">
                  <c:v>37673</c:v>
                </c:pt>
                <c:pt idx="27">
                  <c:v>37676</c:v>
                </c:pt>
                <c:pt idx="28">
                  <c:v>37677</c:v>
                </c:pt>
                <c:pt idx="29">
                  <c:v>37678</c:v>
                </c:pt>
                <c:pt idx="30">
                  <c:v>37679</c:v>
                </c:pt>
                <c:pt idx="31">
                  <c:v>37680</c:v>
                </c:pt>
                <c:pt idx="32">
                  <c:v>37683</c:v>
                </c:pt>
                <c:pt idx="33">
                  <c:v>37685</c:v>
                </c:pt>
                <c:pt idx="34">
                  <c:v>37686</c:v>
                </c:pt>
                <c:pt idx="35">
                  <c:v>37687</c:v>
                </c:pt>
                <c:pt idx="36">
                  <c:v>37690</c:v>
                </c:pt>
                <c:pt idx="37">
                  <c:v>37691</c:v>
                </c:pt>
                <c:pt idx="38">
                  <c:v>37692</c:v>
                </c:pt>
                <c:pt idx="39">
                  <c:v>37693</c:v>
                </c:pt>
                <c:pt idx="40">
                  <c:v>37694</c:v>
                </c:pt>
                <c:pt idx="41">
                  <c:v>37697</c:v>
                </c:pt>
                <c:pt idx="42">
                  <c:v>37698</c:v>
                </c:pt>
                <c:pt idx="43">
                  <c:v>37699</c:v>
                </c:pt>
                <c:pt idx="44">
                  <c:v>37700</c:v>
                </c:pt>
                <c:pt idx="45">
                  <c:v>37701</c:v>
                </c:pt>
                <c:pt idx="46">
                  <c:v>37704</c:v>
                </c:pt>
                <c:pt idx="47">
                  <c:v>37705</c:v>
                </c:pt>
                <c:pt idx="48">
                  <c:v>37706</c:v>
                </c:pt>
                <c:pt idx="49">
                  <c:v>37707</c:v>
                </c:pt>
                <c:pt idx="50">
                  <c:v>37708</c:v>
                </c:pt>
                <c:pt idx="51">
                  <c:v>37711</c:v>
                </c:pt>
                <c:pt idx="52">
                  <c:v>37712</c:v>
                </c:pt>
                <c:pt idx="53">
                  <c:v>37713</c:v>
                </c:pt>
                <c:pt idx="54">
                  <c:v>37714</c:v>
                </c:pt>
                <c:pt idx="55">
                  <c:v>37715</c:v>
                </c:pt>
                <c:pt idx="56">
                  <c:v>37718</c:v>
                </c:pt>
                <c:pt idx="57">
                  <c:v>37719</c:v>
                </c:pt>
                <c:pt idx="58">
                  <c:v>37720</c:v>
                </c:pt>
                <c:pt idx="59">
                  <c:v>37721</c:v>
                </c:pt>
                <c:pt idx="60">
                  <c:v>37722</c:v>
                </c:pt>
                <c:pt idx="61">
                  <c:v>37725</c:v>
                </c:pt>
                <c:pt idx="62">
                  <c:v>37726</c:v>
                </c:pt>
                <c:pt idx="63">
                  <c:v>37727</c:v>
                </c:pt>
                <c:pt idx="64">
                  <c:v>37728</c:v>
                </c:pt>
                <c:pt idx="65">
                  <c:v>37729</c:v>
                </c:pt>
                <c:pt idx="66">
                  <c:v>37732</c:v>
                </c:pt>
                <c:pt idx="67">
                  <c:v>37733</c:v>
                </c:pt>
                <c:pt idx="68">
                  <c:v>37734</c:v>
                </c:pt>
                <c:pt idx="69">
                  <c:v>37735</c:v>
                </c:pt>
                <c:pt idx="70">
                  <c:v>37736</c:v>
                </c:pt>
                <c:pt idx="71">
                  <c:v>37739</c:v>
                </c:pt>
                <c:pt idx="72">
                  <c:v>37740</c:v>
                </c:pt>
                <c:pt idx="73">
                  <c:v>37741</c:v>
                </c:pt>
                <c:pt idx="74">
                  <c:v>37743</c:v>
                </c:pt>
                <c:pt idx="75">
                  <c:v>37746</c:v>
                </c:pt>
                <c:pt idx="76">
                  <c:v>37747</c:v>
                </c:pt>
                <c:pt idx="77">
                  <c:v>37748</c:v>
                </c:pt>
                <c:pt idx="78">
                  <c:v>37749</c:v>
                </c:pt>
                <c:pt idx="79">
                  <c:v>37750</c:v>
                </c:pt>
                <c:pt idx="80">
                  <c:v>37753</c:v>
                </c:pt>
                <c:pt idx="81">
                  <c:v>37754</c:v>
                </c:pt>
                <c:pt idx="82">
                  <c:v>37757</c:v>
                </c:pt>
                <c:pt idx="83">
                  <c:v>37760</c:v>
                </c:pt>
                <c:pt idx="84">
                  <c:v>37761</c:v>
                </c:pt>
                <c:pt idx="85">
                  <c:v>37762</c:v>
                </c:pt>
                <c:pt idx="86">
                  <c:v>37763</c:v>
                </c:pt>
                <c:pt idx="87">
                  <c:v>37764</c:v>
                </c:pt>
                <c:pt idx="88">
                  <c:v>37767</c:v>
                </c:pt>
                <c:pt idx="89">
                  <c:v>37768</c:v>
                </c:pt>
                <c:pt idx="90">
                  <c:v>37769</c:v>
                </c:pt>
                <c:pt idx="91">
                  <c:v>37770</c:v>
                </c:pt>
                <c:pt idx="92">
                  <c:v>37771</c:v>
                </c:pt>
                <c:pt idx="93">
                  <c:v>37774</c:v>
                </c:pt>
                <c:pt idx="94">
                  <c:v>37775</c:v>
                </c:pt>
                <c:pt idx="95">
                  <c:v>37776</c:v>
                </c:pt>
                <c:pt idx="96">
                  <c:v>37777</c:v>
                </c:pt>
                <c:pt idx="97">
                  <c:v>37778</c:v>
                </c:pt>
                <c:pt idx="98">
                  <c:v>37781</c:v>
                </c:pt>
                <c:pt idx="99">
                  <c:v>37782</c:v>
                </c:pt>
                <c:pt idx="100">
                  <c:v>37783</c:v>
                </c:pt>
                <c:pt idx="101">
                  <c:v>37784</c:v>
                </c:pt>
                <c:pt idx="102">
                  <c:v>37785</c:v>
                </c:pt>
                <c:pt idx="103">
                  <c:v>37788</c:v>
                </c:pt>
                <c:pt idx="104">
                  <c:v>37789</c:v>
                </c:pt>
                <c:pt idx="105">
                  <c:v>37790</c:v>
                </c:pt>
                <c:pt idx="106">
                  <c:v>37791</c:v>
                </c:pt>
                <c:pt idx="107">
                  <c:v>37792</c:v>
                </c:pt>
                <c:pt idx="108">
                  <c:v>37795</c:v>
                </c:pt>
                <c:pt idx="109">
                  <c:v>37796</c:v>
                </c:pt>
                <c:pt idx="110">
                  <c:v>37797</c:v>
                </c:pt>
                <c:pt idx="111">
                  <c:v>37798</c:v>
                </c:pt>
                <c:pt idx="112">
                  <c:v>37799</c:v>
                </c:pt>
                <c:pt idx="113">
                  <c:v>37802</c:v>
                </c:pt>
                <c:pt idx="114">
                  <c:v>37803</c:v>
                </c:pt>
                <c:pt idx="115">
                  <c:v>37804</c:v>
                </c:pt>
                <c:pt idx="116">
                  <c:v>37805</c:v>
                </c:pt>
                <c:pt idx="117">
                  <c:v>37806</c:v>
                </c:pt>
                <c:pt idx="118">
                  <c:v>37809</c:v>
                </c:pt>
                <c:pt idx="119">
                  <c:v>37810</c:v>
                </c:pt>
                <c:pt idx="120">
                  <c:v>37811</c:v>
                </c:pt>
                <c:pt idx="121">
                  <c:v>37812</c:v>
                </c:pt>
                <c:pt idx="122">
                  <c:v>37813</c:v>
                </c:pt>
                <c:pt idx="123">
                  <c:v>37816</c:v>
                </c:pt>
                <c:pt idx="124">
                  <c:v>37817</c:v>
                </c:pt>
                <c:pt idx="125">
                  <c:v>37818</c:v>
                </c:pt>
                <c:pt idx="126">
                  <c:v>37819</c:v>
                </c:pt>
                <c:pt idx="127">
                  <c:v>37820</c:v>
                </c:pt>
                <c:pt idx="128">
                  <c:v>37823</c:v>
                </c:pt>
                <c:pt idx="129">
                  <c:v>37824</c:v>
                </c:pt>
                <c:pt idx="130">
                  <c:v>37825</c:v>
                </c:pt>
                <c:pt idx="131">
                  <c:v>37826</c:v>
                </c:pt>
                <c:pt idx="132">
                  <c:v>37827</c:v>
                </c:pt>
                <c:pt idx="133">
                  <c:v>37830</c:v>
                </c:pt>
                <c:pt idx="134">
                  <c:v>37831</c:v>
                </c:pt>
                <c:pt idx="135">
                  <c:v>37832</c:v>
                </c:pt>
                <c:pt idx="136">
                  <c:v>37833</c:v>
                </c:pt>
                <c:pt idx="137">
                  <c:v>37834</c:v>
                </c:pt>
                <c:pt idx="138">
                  <c:v>37837</c:v>
                </c:pt>
                <c:pt idx="139">
                  <c:v>37838</c:v>
                </c:pt>
                <c:pt idx="140">
                  <c:v>37839</c:v>
                </c:pt>
                <c:pt idx="141">
                  <c:v>37840</c:v>
                </c:pt>
                <c:pt idx="142">
                  <c:v>37841</c:v>
                </c:pt>
                <c:pt idx="143">
                  <c:v>37844</c:v>
                </c:pt>
                <c:pt idx="144">
                  <c:v>37845</c:v>
                </c:pt>
                <c:pt idx="145">
                  <c:v>37846</c:v>
                </c:pt>
                <c:pt idx="146">
                  <c:v>37847</c:v>
                </c:pt>
                <c:pt idx="147">
                  <c:v>37848</c:v>
                </c:pt>
                <c:pt idx="148">
                  <c:v>37851</c:v>
                </c:pt>
                <c:pt idx="149">
                  <c:v>37852</c:v>
                </c:pt>
                <c:pt idx="150">
                  <c:v>37853</c:v>
                </c:pt>
                <c:pt idx="151">
                  <c:v>37854</c:v>
                </c:pt>
                <c:pt idx="152">
                  <c:v>37855</c:v>
                </c:pt>
                <c:pt idx="153">
                  <c:v>37858</c:v>
                </c:pt>
                <c:pt idx="154">
                  <c:v>37859</c:v>
                </c:pt>
                <c:pt idx="155">
                  <c:v>37860</c:v>
                </c:pt>
                <c:pt idx="156">
                  <c:v>37861</c:v>
                </c:pt>
                <c:pt idx="157">
                  <c:v>37862</c:v>
                </c:pt>
                <c:pt idx="158">
                  <c:v>37866</c:v>
                </c:pt>
                <c:pt idx="159">
                  <c:v>37867</c:v>
                </c:pt>
                <c:pt idx="160">
                  <c:v>37868</c:v>
                </c:pt>
                <c:pt idx="161">
                  <c:v>37869</c:v>
                </c:pt>
                <c:pt idx="162">
                  <c:v>37872</c:v>
                </c:pt>
                <c:pt idx="163">
                  <c:v>37873</c:v>
                </c:pt>
                <c:pt idx="164">
                  <c:v>37874</c:v>
                </c:pt>
                <c:pt idx="165">
                  <c:v>37875</c:v>
                </c:pt>
                <c:pt idx="166">
                  <c:v>37876</c:v>
                </c:pt>
                <c:pt idx="167">
                  <c:v>37879</c:v>
                </c:pt>
                <c:pt idx="168">
                  <c:v>37880</c:v>
                </c:pt>
                <c:pt idx="169">
                  <c:v>37881</c:v>
                </c:pt>
                <c:pt idx="170">
                  <c:v>37882</c:v>
                </c:pt>
                <c:pt idx="171">
                  <c:v>37883</c:v>
                </c:pt>
                <c:pt idx="172">
                  <c:v>37886</c:v>
                </c:pt>
                <c:pt idx="173">
                  <c:v>37887</c:v>
                </c:pt>
                <c:pt idx="174">
                  <c:v>37888</c:v>
                </c:pt>
                <c:pt idx="175">
                  <c:v>37889</c:v>
                </c:pt>
                <c:pt idx="176">
                  <c:v>37890</c:v>
                </c:pt>
                <c:pt idx="177">
                  <c:v>37893</c:v>
                </c:pt>
                <c:pt idx="178">
                  <c:v>37894</c:v>
                </c:pt>
                <c:pt idx="179">
                  <c:v>37895</c:v>
                </c:pt>
                <c:pt idx="180">
                  <c:v>37896</c:v>
                </c:pt>
                <c:pt idx="181">
                  <c:v>37897</c:v>
                </c:pt>
                <c:pt idx="182">
                  <c:v>37900</c:v>
                </c:pt>
                <c:pt idx="183">
                  <c:v>37901</c:v>
                </c:pt>
                <c:pt idx="184">
                  <c:v>37902</c:v>
                </c:pt>
                <c:pt idx="185">
                  <c:v>37903</c:v>
                </c:pt>
                <c:pt idx="186">
                  <c:v>37904</c:v>
                </c:pt>
                <c:pt idx="187">
                  <c:v>37907</c:v>
                </c:pt>
                <c:pt idx="188">
                  <c:v>37908</c:v>
                </c:pt>
                <c:pt idx="189">
                  <c:v>37909</c:v>
                </c:pt>
                <c:pt idx="190">
                  <c:v>37910</c:v>
                </c:pt>
                <c:pt idx="191">
                  <c:v>37911</c:v>
                </c:pt>
                <c:pt idx="192">
                  <c:v>37914</c:v>
                </c:pt>
                <c:pt idx="193">
                  <c:v>37915</c:v>
                </c:pt>
                <c:pt idx="194">
                  <c:v>37916</c:v>
                </c:pt>
                <c:pt idx="195">
                  <c:v>37917</c:v>
                </c:pt>
                <c:pt idx="196">
                  <c:v>37921</c:v>
                </c:pt>
                <c:pt idx="197">
                  <c:v>37922</c:v>
                </c:pt>
                <c:pt idx="198">
                  <c:v>37923</c:v>
                </c:pt>
                <c:pt idx="199">
                  <c:v>37924</c:v>
                </c:pt>
                <c:pt idx="200">
                  <c:v>37925</c:v>
                </c:pt>
                <c:pt idx="201">
                  <c:v>37928</c:v>
                </c:pt>
                <c:pt idx="202">
                  <c:v>37929</c:v>
                </c:pt>
                <c:pt idx="203">
                  <c:v>37930</c:v>
                </c:pt>
                <c:pt idx="204">
                  <c:v>37931</c:v>
                </c:pt>
                <c:pt idx="205">
                  <c:v>37932</c:v>
                </c:pt>
                <c:pt idx="206">
                  <c:v>37935</c:v>
                </c:pt>
                <c:pt idx="207">
                  <c:v>37936</c:v>
                </c:pt>
                <c:pt idx="208">
                  <c:v>37937</c:v>
                </c:pt>
                <c:pt idx="209">
                  <c:v>37938</c:v>
                </c:pt>
                <c:pt idx="210">
                  <c:v>37939</c:v>
                </c:pt>
                <c:pt idx="211">
                  <c:v>37942</c:v>
                </c:pt>
                <c:pt idx="212">
                  <c:v>37943</c:v>
                </c:pt>
                <c:pt idx="213">
                  <c:v>37944</c:v>
                </c:pt>
                <c:pt idx="214">
                  <c:v>37945</c:v>
                </c:pt>
                <c:pt idx="215">
                  <c:v>37946</c:v>
                </c:pt>
                <c:pt idx="216">
                  <c:v>37952</c:v>
                </c:pt>
                <c:pt idx="217">
                  <c:v>37953</c:v>
                </c:pt>
                <c:pt idx="218">
                  <c:v>37956</c:v>
                </c:pt>
                <c:pt idx="219">
                  <c:v>37957</c:v>
                </c:pt>
                <c:pt idx="220">
                  <c:v>37958</c:v>
                </c:pt>
                <c:pt idx="221">
                  <c:v>37959</c:v>
                </c:pt>
                <c:pt idx="222">
                  <c:v>37960</c:v>
                </c:pt>
                <c:pt idx="223">
                  <c:v>37963</c:v>
                </c:pt>
                <c:pt idx="224">
                  <c:v>37964</c:v>
                </c:pt>
                <c:pt idx="225">
                  <c:v>37965</c:v>
                </c:pt>
                <c:pt idx="226">
                  <c:v>37966</c:v>
                </c:pt>
                <c:pt idx="227">
                  <c:v>37967</c:v>
                </c:pt>
                <c:pt idx="228">
                  <c:v>37970</c:v>
                </c:pt>
                <c:pt idx="229">
                  <c:v>37971</c:v>
                </c:pt>
                <c:pt idx="230">
                  <c:v>37972</c:v>
                </c:pt>
                <c:pt idx="231">
                  <c:v>37973</c:v>
                </c:pt>
                <c:pt idx="232">
                  <c:v>37974</c:v>
                </c:pt>
                <c:pt idx="233">
                  <c:v>37977</c:v>
                </c:pt>
                <c:pt idx="234">
                  <c:v>37978</c:v>
                </c:pt>
                <c:pt idx="235">
                  <c:v>37979</c:v>
                </c:pt>
                <c:pt idx="236">
                  <c:v>37981</c:v>
                </c:pt>
                <c:pt idx="237">
                  <c:v>37984</c:v>
                </c:pt>
                <c:pt idx="238">
                  <c:v>37985</c:v>
                </c:pt>
                <c:pt idx="239">
                  <c:v>37986</c:v>
                </c:pt>
                <c:pt idx="240">
                  <c:v>37988</c:v>
                </c:pt>
                <c:pt idx="241">
                  <c:v>37991</c:v>
                </c:pt>
                <c:pt idx="242">
                  <c:v>37992</c:v>
                </c:pt>
                <c:pt idx="243">
                  <c:v>37993</c:v>
                </c:pt>
                <c:pt idx="244">
                  <c:v>37994</c:v>
                </c:pt>
                <c:pt idx="245">
                  <c:v>37995</c:v>
                </c:pt>
                <c:pt idx="246">
                  <c:v>37998</c:v>
                </c:pt>
                <c:pt idx="247">
                  <c:v>37999</c:v>
                </c:pt>
                <c:pt idx="248">
                  <c:v>38000</c:v>
                </c:pt>
              </c:numCache>
            </c:numRef>
          </c:cat>
          <c:val>
            <c:numRef>
              <c:f>[1]FMG5!$B$200:$B$448</c:f>
              <c:numCache>
                <c:formatCode>General</c:formatCode>
                <c:ptCount val="249"/>
                <c:pt idx="0">
                  <c:v>112.89</c:v>
                </c:pt>
                <c:pt idx="1">
                  <c:v>112.78</c:v>
                </c:pt>
                <c:pt idx="2">
                  <c:v>112.85</c:v>
                </c:pt>
                <c:pt idx="3">
                  <c:v>112.86</c:v>
                </c:pt>
                <c:pt idx="4">
                  <c:v>112.9</c:v>
                </c:pt>
                <c:pt idx="5">
                  <c:v>112.91</c:v>
                </c:pt>
                <c:pt idx="6">
                  <c:v>112.91</c:v>
                </c:pt>
                <c:pt idx="7">
                  <c:v>112.91</c:v>
                </c:pt>
                <c:pt idx="8">
                  <c:v>112.92</c:v>
                </c:pt>
                <c:pt idx="9">
                  <c:v>112.98</c:v>
                </c:pt>
                <c:pt idx="10">
                  <c:v>113.1</c:v>
                </c:pt>
                <c:pt idx="11">
                  <c:v>113.17</c:v>
                </c:pt>
                <c:pt idx="12">
                  <c:v>113.12</c:v>
                </c:pt>
                <c:pt idx="13">
                  <c:v>113.1</c:v>
                </c:pt>
                <c:pt idx="14">
                  <c:v>113.08</c:v>
                </c:pt>
                <c:pt idx="15">
                  <c:v>113.12</c:v>
                </c:pt>
                <c:pt idx="16">
                  <c:v>113.12</c:v>
                </c:pt>
                <c:pt idx="17">
                  <c:v>113.12</c:v>
                </c:pt>
                <c:pt idx="18">
                  <c:v>113.22</c:v>
                </c:pt>
                <c:pt idx="19">
                  <c:v>113.24</c:v>
                </c:pt>
                <c:pt idx="20">
                  <c:v>113.3</c:v>
                </c:pt>
                <c:pt idx="21">
                  <c:v>113.29</c:v>
                </c:pt>
                <c:pt idx="22">
                  <c:v>113.28</c:v>
                </c:pt>
                <c:pt idx="23">
                  <c:v>113.3</c:v>
                </c:pt>
                <c:pt idx="24">
                  <c:v>113.3</c:v>
                </c:pt>
                <c:pt idx="25">
                  <c:v>113.33</c:v>
                </c:pt>
                <c:pt idx="26">
                  <c:v>113.24</c:v>
                </c:pt>
                <c:pt idx="27">
                  <c:v>113.24</c:v>
                </c:pt>
                <c:pt idx="28">
                  <c:v>113.24</c:v>
                </c:pt>
                <c:pt idx="29">
                  <c:v>113.2</c:v>
                </c:pt>
                <c:pt idx="30">
                  <c:v>113.1</c:v>
                </c:pt>
                <c:pt idx="31">
                  <c:v>113.09</c:v>
                </c:pt>
                <c:pt idx="32">
                  <c:v>113.13</c:v>
                </c:pt>
                <c:pt idx="33">
                  <c:v>113.27</c:v>
                </c:pt>
                <c:pt idx="34">
                  <c:v>113.22</c:v>
                </c:pt>
                <c:pt idx="35">
                  <c:v>113.2</c:v>
                </c:pt>
                <c:pt idx="36">
                  <c:v>113.3</c:v>
                </c:pt>
                <c:pt idx="37">
                  <c:v>113.27</c:v>
                </c:pt>
                <c:pt idx="38">
                  <c:v>113.27</c:v>
                </c:pt>
                <c:pt idx="39">
                  <c:v>113.18</c:v>
                </c:pt>
                <c:pt idx="40">
                  <c:v>113.15</c:v>
                </c:pt>
                <c:pt idx="41">
                  <c:v>113.24</c:v>
                </c:pt>
                <c:pt idx="42">
                  <c:v>113.19</c:v>
                </c:pt>
                <c:pt idx="43">
                  <c:v>113.19</c:v>
                </c:pt>
                <c:pt idx="44">
                  <c:v>112.8</c:v>
                </c:pt>
                <c:pt idx="45">
                  <c:v>112.89</c:v>
                </c:pt>
                <c:pt idx="46">
                  <c:v>112.95</c:v>
                </c:pt>
                <c:pt idx="47">
                  <c:v>113.04</c:v>
                </c:pt>
                <c:pt idx="48">
                  <c:v>113.07</c:v>
                </c:pt>
                <c:pt idx="49">
                  <c:v>113.07</c:v>
                </c:pt>
                <c:pt idx="50">
                  <c:v>113.02</c:v>
                </c:pt>
                <c:pt idx="51">
                  <c:v>113.11</c:v>
                </c:pt>
                <c:pt idx="52">
                  <c:v>113.12</c:v>
                </c:pt>
                <c:pt idx="53">
                  <c:v>113.06</c:v>
                </c:pt>
                <c:pt idx="54">
                  <c:v>113.05</c:v>
                </c:pt>
                <c:pt idx="55">
                  <c:v>113.04</c:v>
                </c:pt>
                <c:pt idx="56">
                  <c:v>112.91</c:v>
                </c:pt>
                <c:pt idx="57">
                  <c:v>113</c:v>
                </c:pt>
                <c:pt idx="58">
                  <c:v>113.02</c:v>
                </c:pt>
                <c:pt idx="59">
                  <c:v>113.1</c:v>
                </c:pt>
                <c:pt idx="60">
                  <c:v>113.06</c:v>
                </c:pt>
                <c:pt idx="61">
                  <c:v>113.06</c:v>
                </c:pt>
                <c:pt idx="62">
                  <c:v>113.07</c:v>
                </c:pt>
                <c:pt idx="63">
                  <c:v>113.1</c:v>
                </c:pt>
                <c:pt idx="64">
                  <c:v>113.14</c:v>
                </c:pt>
                <c:pt idx="65">
                  <c:v>113.14</c:v>
                </c:pt>
                <c:pt idx="66">
                  <c:v>113.16</c:v>
                </c:pt>
                <c:pt idx="67">
                  <c:v>113.2</c:v>
                </c:pt>
                <c:pt idx="68">
                  <c:v>113.2</c:v>
                </c:pt>
                <c:pt idx="69">
                  <c:v>113.2</c:v>
                </c:pt>
                <c:pt idx="70">
                  <c:v>113.17</c:v>
                </c:pt>
                <c:pt idx="71">
                  <c:v>113.22</c:v>
                </c:pt>
                <c:pt idx="72">
                  <c:v>113.16</c:v>
                </c:pt>
                <c:pt idx="73">
                  <c:v>113.17</c:v>
                </c:pt>
                <c:pt idx="74">
                  <c:v>113.19</c:v>
                </c:pt>
                <c:pt idx="75">
                  <c:v>113.18</c:v>
                </c:pt>
                <c:pt idx="76">
                  <c:v>113.17</c:v>
                </c:pt>
                <c:pt idx="77">
                  <c:v>113.25</c:v>
                </c:pt>
                <c:pt idx="78">
                  <c:v>113.31</c:v>
                </c:pt>
                <c:pt idx="79">
                  <c:v>113.28</c:v>
                </c:pt>
                <c:pt idx="80">
                  <c:v>113.12</c:v>
                </c:pt>
                <c:pt idx="81">
                  <c:v>113.3</c:v>
                </c:pt>
                <c:pt idx="82">
                  <c:v>113.32</c:v>
                </c:pt>
                <c:pt idx="83">
                  <c:v>113.42</c:v>
                </c:pt>
                <c:pt idx="84">
                  <c:v>113.45</c:v>
                </c:pt>
                <c:pt idx="85">
                  <c:v>113.5</c:v>
                </c:pt>
                <c:pt idx="86">
                  <c:v>113.55</c:v>
                </c:pt>
                <c:pt idx="87">
                  <c:v>113.4</c:v>
                </c:pt>
                <c:pt idx="88">
                  <c:v>113.34</c:v>
                </c:pt>
                <c:pt idx="89">
                  <c:v>113.37</c:v>
                </c:pt>
                <c:pt idx="90">
                  <c:v>113.3</c:v>
                </c:pt>
                <c:pt idx="91">
                  <c:v>113.3</c:v>
                </c:pt>
                <c:pt idx="92">
                  <c:v>113.28</c:v>
                </c:pt>
                <c:pt idx="93">
                  <c:v>113.23</c:v>
                </c:pt>
                <c:pt idx="94">
                  <c:v>113.32</c:v>
                </c:pt>
                <c:pt idx="95">
                  <c:v>113.38</c:v>
                </c:pt>
                <c:pt idx="96">
                  <c:v>113.42</c:v>
                </c:pt>
                <c:pt idx="97">
                  <c:v>113.47</c:v>
                </c:pt>
                <c:pt idx="98">
                  <c:v>113.47</c:v>
                </c:pt>
                <c:pt idx="99">
                  <c:v>113.5</c:v>
                </c:pt>
                <c:pt idx="100">
                  <c:v>113.55</c:v>
                </c:pt>
                <c:pt idx="101">
                  <c:v>113.55</c:v>
                </c:pt>
                <c:pt idx="102">
                  <c:v>113.55</c:v>
                </c:pt>
                <c:pt idx="103">
                  <c:v>113.59</c:v>
                </c:pt>
                <c:pt idx="104">
                  <c:v>113.56</c:v>
                </c:pt>
                <c:pt idx="105">
                  <c:v>113.51</c:v>
                </c:pt>
                <c:pt idx="106">
                  <c:v>113.25</c:v>
                </c:pt>
                <c:pt idx="107">
                  <c:v>113.25</c:v>
                </c:pt>
                <c:pt idx="108">
                  <c:v>113.15</c:v>
                </c:pt>
                <c:pt idx="109">
                  <c:v>113.08</c:v>
                </c:pt>
                <c:pt idx="110">
                  <c:v>113.13</c:v>
                </c:pt>
                <c:pt idx="111">
                  <c:v>113.1</c:v>
                </c:pt>
                <c:pt idx="112">
                  <c:v>113.16</c:v>
                </c:pt>
                <c:pt idx="113">
                  <c:v>113.2</c:v>
                </c:pt>
                <c:pt idx="114">
                  <c:v>113.25</c:v>
                </c:pt>
                <c:pt idx="115">
                  <c:v>113.2</c:v>
                </c:pt>
                <c:pt idx="116">
                  <c:v>113.1</c:v>
                </c:pt>
                <c:pt idx="117">
                  <c:v>113.15</c:v>
                </c:pt>
                <c:pt idx="118">
                  <c:v>113.13</c:v>
                </c:pt>
                <c:pt idx="119">
                  <c:v>113.12</c:v>
                </c:pt>
                <c:pt idx="120">
                  <c:v>113.17</c:v>
                </c:pt>
                <c:pt idx="121">
                  <c:v>113.18</c:v>
                </c:pt>
                <c:pt idx="122">
                  <c:v>113.12</c:v>
                </c:pt>
                <c:pt idx="123">
                  <c:v>112.98</c:v>
                </c:pt>
                <c:pt idx="124">
                  <c:v>112.8</c:v>
                </c:pt>
                <c:pt idx="125">
                  <c:v>112.47</c:v>
                </c:pt>
                <c:pt idx="126">
                  <c:v>112.67</c:v>
                </c:pt>
                <c:pt idx="127">
                  <c:v>112.48</c:v>
                </c:pt>
                <c:pt idx="128">
                  <c:v>112.18</c:v>
                </c:pt>
                <c:pt idx="129">
                  <c:v>111.45</c:v>
                </c:pt>
                <c:pt idx="130">
                  <c:v>111.7</c:v>
                </c:pt>
                <c:pt idx="131">
                  <c:v>111.75</c:v>
                </c:pt>
                <c:pt idx="132">
                  <c:v>111.18</c:v>
                </c:pt>
                <c:pt idx="133">
                  <c:v>109</c:v>
                </c:pt>
                <c:pt idx="134">
                  <c:v>109.45</c:v>
                </c:pt>
                <c:pt idx="135">
                  <c:v>110.15</c:v>
                </c:pt>
                <c:pt idx="136">
                  <c:v>110.2</c:v>
                </c:pt>
                <c:pt idx="137">
                  <c:v>108.6</c:v>
                </c:pt>
                <c:pt idx="138">
                  <c:v>109</c:v>
                </c:pt>
                <c:pt idx="139">
                  <c:v>109.2</c:v>
                </c:pt>
                <c:pt idx="140">
                  <c:v>108.4</c:v>
                </c:pt>
                <c:pt idx="141">
                  <c:v>108.65</c:v>
                </c:pt>
                <c:pt idx="142">
                  <c:v>108.65</c:v>
                </c:pt>
                <c:pt idx="143">
                  <c:v>108.65</c:v>
                </c:pt>
                <c:pt idx="144">
                  <c:v>108.45</c:v>
                </c:pt>
                <c:pt idx="145">
                  <c:v>108.6</c:v>
                </c:pt>
                <c:pt idx="146">
                  <c:v>108.55</c:v>
                </c:pt>
                <c:pt idx="147">
                  <c:v>108.6</c:v>
                </c:pt>
                <c:pt idx="148">
                  <c:v>107.95</c:v>
                </c:pt>
                <c:pt idx="149">
                  <c:v>108.35</c:v>
                </c:pt>
                <c:pt idx="150">
                  <c:v>108.25</c:v>
                </c:pt>
                <c:pt idx="151">
                  <c:v>108.4</c:v>
                </c:pt>
                <c:pt idx="152">
                  <c:v>108.55</c:v>
                </c:pt>
                <c:pt idx="153">
                  <c:v>108.6</c:v>
                </c:pt>
                <c:pt idx="154">
                  <c:v>108.8</c:v>
                </c:pt>
                <c:pt idx="155">
                  <c:v>108.8</c:v>
                </c:pt>
                <c:pt idx="156">
                  <c:v>108.9</c:v>
                </c:pt>
                <c:pt idx="157">
                  <c:v>109</c:v>
                </c:pt>
                <c:pt idx="158">
                  <c:v>108.5</c:v>
                </c:pt>
                <c:pt idx="159">
                  <c:v>108.5</c:v>
                </c:pt>
                <c:pt idx="160">
                  <c:v>108.47</c:v>
                </c:pt>
                <c:pt idx="161">
                  <c:v>108.68</c:v>
                </c:pt>
                <c:pt idx="162">
                  <c:v>108.85</c:v>
                </c:pt>
                <c:pt idx="163">
                  <c:v>108.9</c:v>
                </c:pt>
                <c:pt idx="164">
                  <c:v>108.99</c:v>
                </c:pt>
                <c:pt idx="165">
                  <c:v>108.99</c:v>
                </c:pt>
                <c:pt idx="166">
                  <c:v>108.99</c:v>
                </c:pt>
                <c:pt idx="167">
                  <c:v>109</c:v>
                </c:pt>
                <c:pt idx="168">
                  <c:v>109.1</c:v>
                </c:pt>
                <c:pt idx="169">
                  <c:v>109.02</c:v>
                </c:pt>
                <c:pt idx="170">
                  <c:v>108.75</c:v>
                </c:pt>
                <c:pt idx="171">
                  <c:v>108.6</c:v>
                </c:pt>
                <c:pt idx="172">
                  <c:v>108.2</c:v>
                </c:pt>
                <c:pt idx="173">
                  <c:v>108.65</c:v>
                </c:pt>
                <c:pt idx="174">
                  <c:v>108.7</c:v>
                </c:pt>
                <c:pt idx="175">
                  <c:v>108.9</c:v>
                </c:pt>
                <c:pt idx="176">
                  <c:v>109.1</c:v>
                </c:pt>
                <c:pt idx="177">
                  <c:v>108.9</c:v>
                </c:pt>
                <c:pt idx="178">
                  <c:v>108.63</c:v>
                </c:pt>
                <c:pt idx="179">
                  <c:v>108.63</c:v>
                </c:pt>
                <c:pt idx="180">
                  <c:v>108.57</c:v>
                </c:pt>
                <c:pt idx="181">
                  <c:v>108.4</c:v>
                </c:pt>
                <c:pt idx="182">
                  <c:v>107.85</c:v>
                </c:pt>
                <c:pt idx="183">
                  <c:v>107</c:v>
                </c:pt>
                <c:pt idx="184">
                  <c:v>106.2</c:v>
                </c:pt>
                <c:pt idx="185">
                  <c:v>105.7</c:v>
                </c:pt>
                <c:pt idx="186">
                  <c:v>106.5</c:v>
                </c:pt>
                <c:pt idx="187">
                  <c:v>106.8</c:v>
                </c:pt>
                <c:pt idx="188">
                  <c:v>106.3</c:v>
                </c:pt>
                <c:pt idx="189">
                  <c:v>106.3</c:v>
                </c:pt>
                <c:pt idx="190">
                  <c:v>106</c:v>
                </c:pt>
                <c:pt idx="191">
                  <c:v>105.8</c:v>
                </c:pt>
                <c:pt idx="192">
                  <c:v>104.7</c:v>
                </c:pt>
                <c:pt idx="193">
                  <c:v>104.5</c:v>
                </c:pt>
                <c:pt idx="194">
                  <c:v>105.2</c:v>
                </c:pt>
                <c:pt idx="195">
                  <c:v>105.75</c:v>
                </c:pt>
                <c:pt idx="196">
                  <c:v>106</c:v>
                </c:pt>
                <c:pt idx="197">
                  <c:v>105.9</c:v>
                </c:pt>
                <c:pt idx="198">
                  <c:v>105.6</c:v>
                </c:pt>
                <c:pt idx="199">
                  <c:v>105.6</c:v>
                </c:pt>
                <c:pt idx="200">
                  <c:v>105.5</c:v>
                </c:pt>
                <c:pt idx="201">
                  <c:v>105.5</c:v>
                </c:pt>
                <c:pt idx="202">
                  <c:v>105.5</c:v>
                </c:pt>
                <c:pt idx="203">
                  <c:v>105.5</c:v>
                </c:pt>
                <c:pt idx="204">
                  <c:v>105.5</c:v>
                </c:pt>
                <c:pt idx="205">
                  <c:v>105.5</c:v>
                </c:pt>
                <c:pt idx="206">
                  <c:v>105</c:v>
                </c:pt>
                <c:pt idx="207">
                  <c:v>105</c:v>
                </c:pt>
                <c:pt idx="208">
                  <c:v>105.45</c:v>
                </c:pt>
                <c:pt idx="209">
                  <c:v>105.55</c:v>
                </c:pt>
                <c:pt idx="210">
                  <c:v>106</c:v>
                </c:pt>
                <c:pt idx="211">
                  <c:v>106</c:v>
                </c:pt>
                <c:pt idx="212">
                  <c:v>106</c:v>
                </c:pt>
                <c:pt idx="213">
                  <c:v>106.23</c:v>
                </c:pt>
                <c:pt idx="214">
                  <c:v>106.23</c:v>
                </c:pt>
                <c:pt idx="215">
                  <c:v>106.8</c:v>
                </c:pt>
                <c:pt idx="216">
                  <c:v>106.8</c:v>
                </c:pt>
                <c:pt idx="217">
                  <c:v>106.4</c:v>
                </c:pt>
                <c:pt idx="218">
                  <c:v>106.2</c:v>
                </c:pt>
                <c:pt idx="219">
                  <c:v>106.2</c:v>
                </c:pt>
                <c:pt idx="220">
                  <c:v>106.2</c:v>
                </c:pt>
                <c:pt idx="221">
                  <c:v>106.2</c:v>
                </c:pt>
                <c:pt idx="222">
                  <c:v>106.5</c:v>
                </c:pt>
                <c:pt idx="223">
                  <c:v>106.51</c:v>
                </c:pt>
                <c:pt idx="224">
                  <c:v>106.51</c:v>
                </c:pt>
                <c:pt idx="225">
                  <c:v>106.51</c:v>
                </c:pt>
                <c:pt idx="226">
                  <c:v>106.55</c:v>
                </c:pt>
                <c:pt idx="227">
                  <c:v>106.81</c:v>
                </c:pt>
                <c:pt idx="228">
                  <c:v>106.81</c:v>
                </c:pt>
                <c:pt idx="229">
                  <c:v>106.81</c:v>
                </c:pt>
                <c:pt idx="230">
                  <c:v>106.86</c:v>
                </c:pt>
                <c:pt idx="231">
                  <c:v>105.654</c:v>
                </c:pt>
                <c:pt idx="232">
                  <c:v>105.65</c:v>
                </c:pt>
                <c:pt idx="233">
                  <c:v>105.9</c:v>
                </c:pt>
                <c:pt idx="234">
                  <c:v>106</c:v>
                </c:pt>
                <c:pt idx="235">
                  <c:v>106</c:v>
                </c:pt>
                <c:pt idx="236">
                  <c:v>106</c:v>
                </c:pt>
                <c:pt idx="237">
                  <c:v>106.25</c:v>
                </c:pt>
                <c:pt idx="238">
                  <c:v>106.25</c:v>
                </c:pt>
                <c:pt idx="239">
                  <c:v>106.25</c:v>
                </c:pt>
                <c:pt idx="240">
                  <c:v>107</c:v>
                </c:pt>
                <c:pt idx="241">
                  <c:v>107</c:v>
                </c:pt>
                <c:pt idx="242">
                  <c:v>108.07</c:v>
                </c:pt>
                <c:pt idx="243">
                  <c:v>107.8</c:v>
                </c:pt>
                <c:pt idx="244">
                  <c:v>108.4</c:v>
                </c:pt>
                <c:pt idx="245">
                  <c:v>108.4</c:v>
                </c:pt>
                <c:pt idx="246">
                  <c:v>108.36</c:v>
                </c:pt>
                <c:pt idx="247">
                  <c:v>108.75</c:v>
                </c:pt>
                <c:pt idx="248">
                  <c:v>108.65</c:v>
                </c:pt>
              </c:numCache>
            </c:numRef>
          </c:val>
        </c:ser>
        <c:marker val="1"/>
        <c:axId val="132786432"/>
        <c:axId val="132800512"/>
      </c:lineChart>
      <c:catAx>
        <c:axId val="132786432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800512"/>
        <c:crossesAt val="96"/>
        <c:lblAlgn val="ctr"/>
        <c:lblOffset val="100"/>
        <c:tickLblSkip val="7"/>
        <c:tickMarkSkip val="1"/>
      </c:catAx>
      <c:valAx>
        <c:axId val="132800512"/>
        <c:scaling>
          <c:orientation val="minMax"/>
          <c:max val="115"/>
          <c:min val="104"/>
        </c:scaling>
        <c:axPos val="l"/>
        <c:numFmt formatCode="#,##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786432"/>
        <c:crosses val="autoZero"/>
        <c:crossBetween val="midCat"/>
        <c:majorUnit val="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647094236612066"/>
          <c:y val="0.10452961672473868"/>
          <c:w val="0.3517649079531871"/>
          <c:h val="5.574912891986062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yyyy/mm/dd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0"/>
        <c:axId val="133359104"/>
        <c:axId val="133360640"/>
      </c:barChart>
      <c:lineChart>
        <c:grouping val="standard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yyyy/mm/dd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3359104"/>
        <c:axId val="133360640"/>
      </c:lineChart>
      <c:catAx>
        <c:axId val="133359104"/>
        <c:scaling>
          <c:orientation val="minMax"/>
        </c:scaling>
        <c:axPos val="b"/>
        <c:numFmt formatCode="dd/mmm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60640"/>
        <c:crosses val="autoZero"/>
        <c:lblAlgn val="ctr"/>
        <c:lblOffset val="100"/>
        <c:tickLblSkip val="20"/>
        <c:tickMarkSkip val="20"/>
      </c:catAx>
      <c:valAx>
        <c:axId val="133360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359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FKLI Monthly Volume &amp; Month-End Open Interest</a:t>
            </a:r>
          </a:p>
        </c:rich>
      </c:tx>
      <c:layout>
        <c:manualLayout>
          <c:xMode val="edge"/>
          <c:yMode val="edge"/>
          <c:x val="0.4293951147919069"/>
          <c:y val="2.3364539291899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132622627982196E-2"/>
          <c:y val="7.4766525734077799E-2"/>
          <c:w val="0.83573545831981921"/>
          <c:h val="0.71962781019049904"/>
        </c:manualLayout>
      </c:layout>
      <c:barChart>
        <c:barDir val="col"/>
        <c:grouping val="clustered"/>
        <c:ser>
          <c:idx val="0"/>
          <c:order val="0"/>
          <c:tx>
            <c:strRef>
              <c:f>Monthly_vol_op!$B$4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Monthly_vol_op!$A$5:$A$100</c:f>
              <c:numCache>
                <c:formatCode>mmm\-yy</c:formatCode>
                <c:ptCount val="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</c:numCache>
            </c:numRef>
          </c:cat>
          <c:val>
            <c:numRef>
              <c:f>Monthly_vol_op!$B$5:$B$100</c:f>
              <c:numCache>
                <c:formatCode>#,##0</c:formatCode>
                <c:ptCount val="96"/>
                <c:pt idx="0">
                  <c:v>672</c:v>
                </c:pt>
                <c:pt idx="1">
                  <c:v>2354</c:v>
                </c:pt>
                <c:pt idx="2">
                  <c:v>2118</c:v>
                </c:pt>
                <c:pt idx="3">
                  <c:v>5539</c:v>
                </c:pt>
                <c:pt idx="4">
                  <c:v>6468</c:v>
                </c:pt>
                <c:pt idx="5">
                  <c:v>6550</c:v>
                </c:pt>
                <c:pt idx="6">
                  <c:v>5733</c:v>
                </c:pt>
                <c:pt idx="7">
                  <c:v>7147</c:v>
                </c:pt>
                <c:pt idx="8">
                  <c:v>7858</c:v>
                </c:pt>
                <c:pt idx="9">
                  <c:v>6288</c:v>
                </c:pt>
                <c:pt idx="10">
                  <c:v>9486</c:v>
                </c:pt>
                <c:pt idx="11">
                  <c:v>7075</c:v>
                </c:pt>
                <c:pt idx="12">
                  <c:v>10665</c:v>
                </c:pt>
                <c:pt idx="13">
                  <c:v>10901</c:v>
                </c:pt>
                <c:pt idx="14">
                  <c:v>8655</c:v>
                </c:pt>
                <c:pt idx="15">
                  <c:v>11199</c:v>
                </c:pt>
                <c:pt idx="16">
                  <c:v>18366</c:v>
                </c:pt>
                <c:pt idx="17">
                  <c:v>24293</c:v>
                </c:pt>
                <c:pt idx="18">
                  <c:v>19991</c:v>
                </c:pt>
                <c:pt idx="19">
                  <c:v>25080</c:v>
                </c:pt>
                <c:pt idx="20">
                  <c:v>44407</c:v>
                </c:pt>
                <c:pt idx="21">
                  <c:v>61236</c:v>
                </c:pt>
                <c:pt idx="22">
                  <c:v>51405</c:v>
                </c:pt>
                <c:pt idx="23">
                  <c:v>54654</c:v>
                </c:pt>
                <c:pt idx="24">
                  <c:v>52787</c:v>
                </c:pt>
                <c:pt idx="25">
                  <c:v>48767</c:v>
                </c:pt>
                <c:pt idx="26">
                  <c:v>70112</c:v>
                </c:pt>
                <c:pt idx="27">
                  <c:v>57992</c:v>
                </c:pt>
                <c:pt idx="28">
                  <c:v>84560</c:v>
                </c:pt>
                <c:pt idx="29">
                  <c:v>83605</c:v>
                </c:pt>
                <c:pt idx="30">
                  <c:v>94850</c:v>
                </c:pt>
                <c:pt idx="31">
                  <c:v>93106</c:v>
                </c:pt>
                <c:pt idx="32">
                  <c:v>92927</c:v>
                </c:pt>
                <c:pt idx="33">
                  <c:v>75348</c:v>
                </c:pt>
                <c:pt idx="34">
                  <c:v>16893</c:v>
                </c:pt>
                <c:pt idx="35">
                  <c:v>25484</c:v>
                </c:pt>
                <c:pt idx="36">
                  <c:v>27600</c:v>
                </c:pt>
                <c:pt idx="37">
                  <c:v>23755</c:v>
                </c:pt>
                <c:pt idx="38">
                  <c:v>35770</c:v>
                </c:pt>
                <c:pt idx="39">
                  <c:v>34817</c:v>
                </c:pt>
                <c:pt idx="40">
                  <c:v>56542</c:v>
                </c:pt>
                <c:pt idx="41">
                  <c:v>58378</c:v>
                </c:pt>
                <c:pt idx="42">
                  <c:v>46973</c:v>
                </c:pt>
                <c:pt idx="43">
                  <c:v>41173</c:v>
                </c:pt>
                <c:pt idx="44">
                  <c:v>44288</c:v>
                </c:pt>
                <c:pt idx="45">
                  <c:v>29451</c:v>
                </c:pt>
                <c:pt idx="46">
                  <c:v>31079</c:v>
                </c:pt>
                <c:pt idx="47">
                  <c:v>17584</c:v>
                </c:pt>
                <c:pt idx="48">
                  <c:v>16868</c:v>
                </c:pt>
                <c:pt idx="49">
                  <c:v>39595</c:v>
                </c:pt>
                <c:pt idx="50">
                  <c:v>29311</c:v>
                </c:pt>
                <c:pt idx="51">
                  <c:v>38877</c:v>
                </c:pt>
                <c:pt idx="52">
                  <c:v>27905</c:v>
                </c:pt>
                <c:pt idx="53">
                  <c:v>32154</c:v>
                </c:pt>
                <c:pt idx="54">
                  <c:v>35997</c:v>
                </c:pt>
                <c:pt idx="55">
                  <c:v>32968</c:v>
                </c:pt>
                <c:pt idx="56">
                  <c:v>20228</c:v>
                </c:pt>
                <c:pt idx="57">
                  <c:v>29259</c:v>
                </c:pt>
                <c:pt idx="58">
                  <c:v>34279</c:v>
                </c:pt>
                <c:pt idx="59">
                  <c:v>27552</c:v>
                </c:pt>
                <c:pt idx="60">
                  <c:v>18817</c:v>
                </c:pt>
                <c:pt idx="61">
                  <c:v>22974</c:v>
                </c:pt>
                <c:pt idx="62">
                  <c:v>22076</c:v>
                </c:pt>
                <c:pt idx="63">
                  <c:v>20961</c:v>
                </c:pt>
                <c:pt idx="64">
                  <c:v>36447</c:v>
                </c:pt>
                <c:pt idx="65">
                  <c:v>26089</c:v>
                </c:pt>
                <c:pt idx="66">
                  <c:v>19693</c:v>
                </c:pt>
                <c:pt idx="67">
                  <c:v>28487</c:v>
                </c:pt>
                <c:pt idx="68">
                  <c:v>21717</c:v>
                </c:pt>
                <c:pt idx="69">
                  <c:v>28940</c:v>
                </c:pt>
                <c:pt idx="70">
                  <c:v>19939</c:v>
                </c:pt>
                <c:pt idx="71">
                  <c:v>23097</c:v>
                </c:pt>
                <c:pt idx="72">
                  <c:v>17108</c:v>
                </c:pt>
                <c:pt idx="73">
                  <c:v>20037</c:v>
                </c:pt>
                <c:pt idx="74">
                  <c:v>16320</c:v>
                </c:pt>
                <c:pt idx="75">
                  <c:v>20429</c:v>
                </c:pt>
                <c:pt idx="76">
                  <c:v>22848</c:v>
                </c:pt>
                <c:pt idx="77">
                  <c:v>18316</c:v>
                </c:pt>
                <c:pt idx="78">
                  <c:v>19155</c:v>
                </c:pt>
                <c:pt idx="79">
                  <c:v>24752</c:v>
                </c:pt>
                <c:pt idx="80">
                  <c:v>16817</c:v>
                </c:pt>
                <c:pt idx="81">
                  <c:v>24506</c:v>
                </c:pt>
                <c:pt idx="82">
                  <c:v>24779</c:v>
                </c:pt>
                <c:pt idx="83">
                  <c:v>15373</c:v>
                </c:pt>
                <c:pt idx="84">
                  <c:v>10531</c:v>
                </c:pt>
                <c:pt idx="85">
                  <c:v>19633</c:v>
                </c:pt>
                <c:pt idx="86">
                  <c:v>12296</c:v>
                </c:pt>
                <c:pt idx="87">
                  <c:v>14720</c:v>
                </c:pt>
                <c:pt idx="88">
                  <c:v>14493</c:v>
                </c:pt>
                <c:pt idx="89">
                  <c:v>14521</c:v>
                </c:pt>
                <c:pt idx="90">
                  <c:v>21750</c:v>
                </c:pt>
                <c:pt idx="91">
                  <c:v>29007</c:v>
                </c:pt>
                <c:pt idx="92">
                  <c:v>21560</c:v>
                </c:pt>
                <c:pt idx="93">
                  <c:v>29605</c:v>
                </c:pt>
                <c:pt idx="94">
                  <c:v>54864</c:v>
                </c:pt>
                <c:pt idx="95">
                  <c:v>43550</c:v>
                </c:pt>
              </c:numCache>
            </c:numRef>
          </c:val>
        </c:ser>
        <c:gapWidth val="60"/>
        <c:axId val="133477504"/>
        <c:axId val="133484544"/>
      </c:barChart>
      <c:lineChart>
        <c:grouping val="standard"/>
        <c:ser>
          <c:idx val="1"/>
          <c:order val="1"/>
          <c:tx>
            <c:strRef>
              <c:f>Monthly_vol_op!$F$4</c:f>
              <c:strCache>
                <c:ptCount val="1"/>
                <c:pt idx="0">
                  <c:v>Open Interest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Monthly_vol_op!$A$5:$A$100</c:f>
              <c:numCache>
                <c:formatCode>mmm\-yy</c:formatCode>
                <c:ptCount val="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</c:numCache>
            </c:numRef>
          </c:cat>
          <c:val>
            <c:numRef>
              <c:f>Monthly_vol_op!$F$5:$F$100</c:f>
              <c:numCache>
                <c:formatCode>#,##0</c:formatCode>
                <c:ptCount val="96"/>
                <c:pt idx="0">
                  <c:v>69</c:v>
                </c:pt>
                <c:pt idx="1">
                  <c:v>316</c:v>
                </c:pt>
                <c:pt idx="2">
                  <c:v>527</c:v>
                </c:pt>
                <c:pt idx="3">
                  <c:v>689</c:v>
                </c:pt>
                <c:pt idx="4">
                  <c:v>987</c:v>
                </c:pt>
                <c:pt idx="5">
                  <c:v>1138</c:v>
                </c:pt>
                <c:pt idx="6">
                  <c:v>1333</c:v>
                </c:pt>
                <c:pt idx="7">
                  <c:v>1507</c:v>
                </c:pt>
                <c:pt idx="8">
                  <c:v>1388</c:v>
                </c:pt>
                <c:pt idx="9">
                  <c:v>1533</c:v>
                </c:pt>
                <c:pt idx="10">
                  <c:v>1823</c:v>
                </c:pt>
                <c:pt idx="11">
                  <c:v>1169</c:v>
                </c:pt>
                <c:pt idx="12">
                  <c:v>1312</c:v>
                </c:pt>
                <c:pt idx="13">
                  <c:v>2031</c:v>
                </c:pt>
                <c:pt idx="14">
                  <c:v>1850</c:v>
                </c:pt>
                <c:pt idx="15">
                  <c:v>2140</c:v>
                </c:pt>
                <c:pt idx="16">
                  <c:v>2112</c:v>
                </c:pt>
                <c:pt idx="17">
                  <c:v>2589</c:v>
                </c:pt>
                <c:pt idx="18">
                  <c:v>2604</c:v>
                </c:pt>
                <c:pt idx="19">
                  <c:v>3103</c:v>
                </c:pt>
                <c:pt idx="20">
                  <c:v>6439</c:v>
                </c:pt>
                <c:pt idx="21">
                  <c:v>5492</c:v>
                </c:pt>
                <c:pt idx="22">
                  <c:v>8169</c:v>
                </c:pt>
                <c:pt idx="23">
                  <c:v>8089</c:v>
                </c:pt>
                <c:pt idx="24">
                  <c:v>7614</c:v>
                </c:pt>
                <c:pt idx="25">
                  <c:v>8787</c:v>
                </c:pt>
                <c:pt idx="26">
                  <c:v>8844</c:v>
                </c:pt>
                <c:pt idx="27">
                  <c:v>8603</c:v>
                </c:pt>
                <c:pt idx="28">
                  <c:v>14527</c:v>
                </c:pt>
                <c:pt idx="29">
                  <c:v>15973</c:v>
                </c:pt>
                <c:pt idx="30">
                  <c:v>18442</c:v>
                </c:pt>
                <c:pt idx="31">
                  <c:v>16446</c:v>
                </c:pt>
                <c:pt idx="32">
                  <c:v>14293</c:v>
                </c:pt>
                <c:pt idx="33">
                  <c:v>681</c:v>
                </c:pt>
                <c:pt idx="34">
                  <c:v>1240</c:v>
                </c:pt>
                <c:pt idx="35">
                  <c:v>1519</c:v>
                </c:pt>
                <c:pt idx="36">
                  <c:v>1650</c:v>
                </c:pt>
                <c:pt idx="37">
                  <c:v>2682</c:v>
                </c:pt>
                <c:pt idx="38">
                  <c:v>2546</c:v>
                </c:pt>
                <c:pt idx="39">
                  <c:v>2048</c:v>
                </c:pt>
                <c:pt idx="40">
                  <c:v>4878</c:v>
                </c:pt>
                <c:pt idx="41">
                  <c:v>3450</c:v>
                </c:pt>
                <c:pt idx="42">
                  <c:v>3939</c:v>
                </c:pt>
                <c:pt idx="43">
                  <c:v>3019</c:v>
                </c:pt>
                <c:pt idx="44">
                  <c:v>2903</c:v>
                </c:pt>
                <c:pt idx="45">
                  <c:v>1909</c:v>
                </c:pt>
                <c:pt idx="46">
                  <c:v>2219</c:v>
                </c:pt>
                <c:pt idx="47">
                  <c:v>2141</c:v>
                </c:pt>
                <c:pt idx="48">
                  <c:v>2432</c:v>
                </c:pt>
                <c:pt idx="49">
                  <c:v>3152</c:v>
                </c:pt>
                <c:pt idx="50">
                  <c:v>2990</c:v>
                </c:pt>
                <c:pt idx="51">
                  <c:v>2891</c:v>
                </c:pt>
                <c:pt idx="52">
                  <c:v>2926</c:v>
                </c:pt>
                <c:pt idx="53">
                  <c:v>2701</c:v>
                </c:pt>
                <c:pt idx="54">
                  <c:v>3173</c:v>
                </c:pt>
                <c:pt idx="55">
                  <c:v>2986</c:v>
                </c:pt>
                <c:pt idx="56">
                  <c:v>2685</c:v>
                </c:pt>
                <c:pt idx="57">
                  <c:v>2705</c:v>
                </c:pt>
                <c:pt idx="58">
                  <c:v>2322</c:v>
                </c:pt>
                <c:pt idx="59">
                  <c:v>2246</c:v>
                </c:pt>
                <c:pt idx="60">
                  <c:v>1644</c:v>
                </c:pt>
                <c:pt idx="61">
                  <c:v>2008</c:v>
                </c:pt>
                <c:pt idx="62">
                  <c:v>2361</c:v>
                </c:pt>
                <c:pt idx="63">
                  <c:v>2416</c:v>
                </c:pt>
                <c:pt idx="64">
                  <c:v>1340</c:v>
                </c:pt>
                <c:pt idx="65">
                  <c:v>1936</c:v>
                </c:pt>
                <c:pt idx="66">
                  <c:v>1854</c:v>
                </c:pt>
                <c:pt idx="67">
                  <c:v>1781</c:v>
                </c:pt>
                <c:pt idx="68">
                  <c:v>1741</c:v>
                </c:pt>
                <c:pt idx="69">
                  <c:v>1871</c:v>
                </c:pt>
                <c:pt idx="70">
                  <c:v>1831</c:v>
                </c:pt>
                <c:pt idx="71">
                  <c:v>2552</c:v>
                </c:pt>
                <c:pt idx="72">
                  <c:v>2164</c:v>
                </c:pt>
                <c:pt idx="73">
                  <c:v>2490</c:v>
                </c:pt>
                <c:pt idx="74">
                  <c:v>2696</c:v>
                </c:pt>
                <c:pt idx="75">
                  <c:v>2633</c:v>
                </c:pt>
                <c:pt idx="76">
                  <c:v>2636</c:v>
                </c:pt>
                <c:pt idx="77">
                  <c:v>2172</c:v>
                </c:pt>
                <c:pt idx="78">
                  <c:v>2563</c:v>
                </c:pt>
                <c:pt idx="79">
                  <c:v>2286</c:v>
                </c:pt>
                <c:pt idx="80">
                  <c:v>2939</c:v>
                </c:pt>
                <c:pt idx="81">
                  <c:v>2431</c:v>
                </c:pt>
                <c:pt idx="82">
                  <c:v>2623</c:v>
                </c:pt>
                <c:pt idx="83">
                  <c:v>2112</c:v>
                </c:pt>
                <c:pt idx="84">
                  <c:v>1485</c:v>
                </c:pt>
                <c:pt idx="85">
                  <c:v>2066</c:v>
                </c:pt>
                <c:pt idx="86">
                  <c:v>1659</c:v>
                </c:pt>
                <c:pt idx="87">
                  <c:v>1774</c:v>
                </c:pt>
                <c:pt idx="88">
                  <c:v>1567</c:v>
                </c:pt>
                <c:pt idx="89">
                  <c:v>2489</c:v>
                </c:pt>
                <c:pt idx="90">
                  <c:v>3736</c:v>
                </c:pt>
                <c:pt idx="91">
                  <c:v>4001</c:v>
                </c:pt>
                <c:pt idx="92">
                  <c:v>2774</c:v>
                </c:pt>
                <c:pt idx="93">
                  <c:v>5690</c:v>
                </c:pt>
                <c:pt idx="94">
                  <c:v>7602</c:v>
                </c:pt>
                <c:pt idx="95">
                  <c:v>7681</c:v>
                </c:pt>
              </c:numCache>
            </c:numRef>
          </c:val>
        </c:ser>
        <c:marker val="1"/>
        <c:axId val="133486464"/>
        <c:axId val="133488000"/>
      </c:lineChart>
      <c:catAx>
        <c:axId val="133477504"/>
        <c:scaling>
          <c:orientation val="minMax"/>
        </c:scaling>
        <c:axPos val="b"/>
        <c:numFmt formatCode="mmm\-yy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84544"/>
        <c:crosses val="autoZero"/>
        <c:lblAlgn val="ctr"/>
        <c:lblOffset val="100"/>
        <c:tickLblSkip val="3"/>
        <c:tickMarkSkip val="1"/>
      </c:catAx>
      <c:valAx>
        <c:axId val="133484544"/>
        <c:scaling>
          <c:orientation val="minMax"/>
          <c:max val="100000"/>
        </c:scaling>
        <c:axPos val="l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7.2046160199984383E-3"/>
              <c:y val="0.2570099322108923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77504"/>
        <c:crosses val="autoZero"/>
        <c:crossBetween val="between"/>
      </c:valAx>
      <c:catAx>
        <c:axId val="133486464"/>
        <c:scaling>
          <c:orientation val="minMax"/>
        </c:scaling>
        <c:delete val="1"/>
        <c:axPos val="b"/>
        <c:numFmt formatCode="mmm\-yy" sourceLinked="1"/>
        <c:tickLblPos val="nextTo"/>
        <c:crossAx val="133488000"/>
        <c:crosses val="autoZero"/>
        <c:lblAlgn val="ctr"/>
        <c:lblOffset val="100"/>
      </c:catAx>
      <c:valAx>
        <c:axId val="133488000"/>
        <c:scaling>
          <c:orientation val="minMax"/>
          <c:max val="20000"/>
        </c:scaling>
        <c:axPos val="r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0.96974131629179017"/>
              <c:y val="0.3551409972368696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86464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32312139989066"/>
          <c:y val="0.13084142003463611"/>
          <c:w val="0.38472649546791682"/>
          <c:h val="5.60748943005583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-4" verticalDpi="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44"/>
      <c:hPercent val="8"/>
      <c:rotY val="44"/>
      <c:depthPercent val="2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lang="ko-KR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lang="ko-KR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lang="ko-KR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lang="ko-KR"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gapDepth val="0"/>
        <c:shape val="box"/>
        <c:axId val="133562752"/>
        <c:axId val="133564288"/>
        <c:axId val="0"/>
      </c:bar3DChart>
      <c:catAx>
        <c:axId val="1335627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64288"/>
        <c:crosses val="autoZero"/>
        <c:lblAlgn val="ctr"/>
        <c:lblOffset val="100"/>
        <c:tickLblSkip val="1"/>
        <c:tickMarkSkip val="1"/>
      </c:catAx>
      <c:valAx>
        <c:axId val="133564288"/>
        <c:scaling>
          <c:orientation val="minMax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62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150" verticalDpi="15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[2]DATA!$A$4:$A$509</c:f>
              <c:numCache>
                <c:formatCode>General</c:formatCode>
                <c:ptCount val="506"/>
                <c:pt idx="0">
                  <c:v>35048</c:v>
                </c:pt>
                <c:pt idx="1">
                  <c:v>35051</c:v>
                </c:pt>
                <c:pt idx="2">
                  <c:v>35052</c:v>
                </c:pt>
                <c:pt idx="3">
                  <c:v>35053</c:v>
                </c:pt>
                <c:pt idx="4">
                  <c:v>35054</c:v>
                </c:pt>
                <c:pt idx="5">
                  <c:v>35055</c:v>
                </c:pt>
                <c:pt idx="6">
                  <c:v>35059</c:v>
                </c:pt>
                <c:pt idx="7">
                  <c:v>35060</c:v>
                </c:pt>
                <c:pt idx="8">
                  <c:v>35061</c:v>
                </c:pt>
                <c:pt idx="9">
                  <c:v>35062</c:v>
                </c:pt>
                <c:pt idx="10">
                  <c:v>35066</c:v>
                </c:pt>
                <c:pt idx="11">
                  <c:v>35067</c:v>
                </c:pt>
                <c:pt idx="12">
                  <c:v>35068</c:v>
                </c:pt>
                <c:pt idx="13">
                  <c:v>35069</c:v>
                </c:pt>
                <c:pt idx="14">
                  <c:v>35072</c:v>
                </c:pt>
                <c:pt idx="15">
                  <c:v>35073</c:v>
                </c:pt>
                <c:pt idx="16">
                  <c:v>35074</c:v>
                </c:pt>
                <c:pt idx="17">
                  <c:v>35075</c:v>
                </c:pt>
                <c:pt idx="18">
                  <c:v>35076</c:v>
                </c:pt>
                <c:pt idx="19">
                  <c:v>35079</c:v>
                </c:pt>
                <c:pt idx="20">
                  <c:v>35080</c:v>
                </c:pt>
                <c:pt idx="21">
                  <c:v>35081</c:v>
                </c:pt>
                <c:pt idx="22">
                  <c:v>35082</c:v>
                </c:pt>
                <c:pt idx="23">
                  <c:v>35083</c:v>
                </c:pt>
                <c:pt idx="24">
                  <c:v>35086</c:v>
                </c:pt>
                <c:pt idx="25">
                  <c:v>35087</c:v>
                </c:pt>
                <c:pt idx="26">
                  <c:v>35088</c:v>
                </c:pt>
                <c:pt idx="27">
                  <c:v>35089</c:v>
                </c:pt>
                <c:pt idx="28">
                  <c:v>35090</c:v>
                </c:pt>
                <c:pt idx="29">
                  <c:v>35093</c:v>
                </c:pt>
                <c:pt idx="30">
                  <c:v>35094</c:v>
                </c:pt>
                <c:pt idx="31">
                  <c:v>35095</c:v>
                </c:pt>
                <c:pt idx="32">
                  <c:v>35097</c:v>
                </c:pt>
                <c:pt idx="33">
                  <c:v>35100</c:v>
                </c:pt>
                <c:pt idx="34">
                  <c:v>35101</c:v>
                </c:pt>
                <c:pt idx="35">
                  <c:v>35102</c:v>
                </c:pt>
                <c:pt idx="36">
                  <c:v>35103</c:v>
                </c:pt>
                <c:pt idx="37">
                  <c:v>35104</c:v>
                </c:pt>
                <c:pt idx="38">
                  <c:v>35107</c:v>
                </c:pt>
                <c:pt idx="39">
                  <c:v>35108</c:v>
                </c:pt>
                <c:pt idx="40">
                  <c:v>35109</c:v>
                </c:pt>
                <c:pt idx="41">
                  <c:v>35110</c:v>
                </c:pt>
                <c:pt idx="42">
                  <c:v>35111</c:v>
                </c:pt>
                <c:pt idx="43">
                  <c:v>35121</c:v>
                </c:pt>
                <c:pt idx="44">
                  <c:v>35122</c:v>
                </c:pt>
                <c:pt idx="45">
                  <c:v>35123</c:v>
                </c:pt>
                <c:pt idx="46">
                  <c:v>35124</c:v>
                </c:pt>
                <c:pt idx="47">
                  <c:v>35125</c:v>
                </c:pt>
                <c:pt idx="48">
                  <c:v>35128</c:v>
                </c:pt>
                <c:pt idx="49">
                  <c:v>35129</c:v>
                </c:pt>
                <c:pt idx="50">
                  <c:v>35130</c:v>
                </c:pt>
                <c:pt idx="51">
                  <c:v>35131</c:v>
                </c:pt>
                <c:pt idx="52">
                  <c:v>35132</c:v>
                </c:pt>
                <c:pt idx="53">
                  <c:v>35135</c:v>
                </c:pt>
                <c:pt idx="54">
                  <c:v>35136</c:v>
                </c:pt>
                <c:pt idx="55">
                  <c:v>35137</c:v>
                </c:pt>
                <c:pt idx="56">
                  <c:v>35138</c:v>
                </c:pt>
                <c:pt idx="57">
                  <c:v>35139</c:v>
                </c:pt>
                <c:pt idx="58">
                  <c:v>35142</c:v>
                </c:pt>
                <c:pt idx="59">
                  <c:v>35143</c:v>
                </c:pt>
                <c:pt idx="60">
                  <c:v>35144</c:v>
                </c:pt>
                <c:pt idx="61">
                  <c:v>35145</c:v>
                </c:pt>
                <c:pt idx="62">
                  <c:v>35146</c:v>
                </c:pt>
                <c:pt idx="63">
                  <c:v>35149</c:v>
                </c:pt>
                <c:pt idx="64">
                  <c:v>35150</c:v>
                </c:pt>
                <c:pt idx="65">
                  <c:v>35151</c:v>
                </c:pt>
                <c:pt idx="66">
                  <c:v>35152</c:v>
                </c:pt>
                <c:pt idx="67">
                  <c:v>35153</c:v>
                </c:pt>
                <c:pt idx="68">
                  <c:v>35156</c:v>
                </c:pt>
                <c:pt idx="69">
                  <c:v>35157</c:v>
                </c:pt>
                <c:pt idx="70">
                  <c:v>35158</c:v>
                </c:pt>
                <c:pt idx="71">
                  <c:v>35159</c:v>
                </c:pt>
                <c:pt idx="72">
                  <c:v>35160</c:v>
                </c:pt>
                <c:pt idx="73">
                  <c:v>35163</c:v>
                </c:pt>
                <c:pt idx="74">
                  <c:v>35164</c:v>
                </c:pt>
                <c:pt idx="75">
                  <c:v>35165</c:v>
                </c:pt>
                <c:pt idx="76">
                  <c:v>35166</c:v>
                </c:pt>
                <c:pt idx="77">
                  <c:v>35167</c:v>
                </c:pt>
                <c:pt idx="78">
                  <c:v>35170</c:v>
                </c:pt>
                <c:pt idx="79">
                  <c:v>35171</c:v>
                </c:pt>
                <c:pt idx="80">
                  <c:v>35172</c:v>
                </c:pt>
                <c:pt idx="81">
                  <c:v>35173</c:v>
                </c:pt>
                <c:pt idx="82">
                  <c:v>35174</c:v>
                </c:pt>
                <c:pt idx="83">
                  <c:v>35177</c:v>
                </c:pt>
                <c:pt idx="84">
                  <c:v>35178</c:v>
                </c:pt>
                <c:pt idx="85">
                  <c:v>35179</c:v>
                </c:pt>
                <c:pt idx="86">
                  <c:v>35180</c:v>
                </c:pt>
                <c:pt idx="87">
                  <c:v>35181</c:v>
                </c:pt>
                <c:pt idx="88">
                  <c:v>35185</c:v>
                </c:pt>
                <c:pt idx="89">
                  <c:v>35187</c:v>
                </c:pt>
                <c:pt idx="90">
                  <c:v>35188</c:v>
                </c:pt>
                <c:pt idx="91">
                  <c:v>35191</c:v>
                </c:pt>
                <c:pt idx="92">
                  <c:v>35192</c:v>
                </c:pt>
                <c:pt idx="93">
                  <c:v>35193</c:v>
                </c:pt>
                <c:pt idx="94">
                  <c:v>35194</c:v>
                </c:pt>
                <c:pt idx="95">
                  <c:v>35195</c:v>
                </c:pt>
                <c:pt idx="96">
                  <c:v>35198</c:v>
                </c:pt>
                <c:pt idx="97">
                  <c:v>35199</c:v>
                </c:pt>
                <c:pt idx="98">
                  <c:v>35200</c:v>
                </c:pt>
                <c:pt idx="99">
                  <c:v>35201</c:v>
                </c:pt>
                <c:pt idx="100">
                  <c:v>35202</c:v>
                </c:pt>
                <c:pt idx="101">
                  <c:v>35206</c:v>
                </c:pt>
                <c:pt idx="102">
                  <c:v>35207</c:v>
                </c:pt>
                <c:pt idx="103">
                  <c:v>35208</c:v>
                </c:pt>
                <c:pt idx="104">
                  <c:v>35209</c:v>
                </c:pt>
                <c:pt idx="105">
                  <c:v>35212</c:v>
                </c:pt>
                <c:pt idx="106">
                  <c:v>35213</c:v>
                </c:pt>
                <c:pt idx="107">
                  <c:v>35214</c:v>
                </c:pt>
                <c:pt idx="108">
                  <c:v>35215</c:v>
                </c:pt>
                <c:pt idx="109">
                  <c:v>35219</c:v>
                </c:pt>
                <c:pt idx="110">
                  <c:v>35220</c:v>
                </c:pt>
                <c:pt idx="111">
                  <c:v>35221</c:v>
                </c:pt>
                <c:pt idx="112">
                  <c:v>35222</c:v>
                </c:pt>
                <c:pt idx="113">
                  <c:v>35223</c:v>
                </c:pt>
                <c:pt idx="114">
                  <c:v>35226</c:v>
                </c:pt>
                <c:pt idx="115">
                  <c:v>35227</c:v>
                </c:pt>
                <c:pt idx="116">
                  <c:v>35228</c:v>
                </c:pt>
                <c:pt idx="117">
                  <c:v>35229</c:v>
                </c:pt>
                <c:pt idx="118">
                  <c:v>35230</c:v>
                </c:pt>
                <c:pt idx="119">
                  <c:v>35233</c:v>
                </c:pt>
                <c:pt idx="120">
                  <c:v>35234</c:v>
                </c:pt>
                <c:pt idx="121">
                  <c:v>35235</c:v>
                </c:pt>
                <c:pt idx="122">
                  <c:v>35236</c:v>
                </c:pt>
                <c:pt idx="123">
                  <c:v>35237</c:v>
                </c:pt>
                <c:pt idx="124">
                  <c:v>35240</c:v>
                </c:pt>
                <c:pt idx="125">
                  <c:v>35241</c:v>
                </c:pt>
                <c:pt idx="126">
                  <c:v>35242</c:v>
                </c:pt>
                <c:pt idx="127">
                  <c:v>35243</c:v>
                </c:pt>
                <c:pt idx="128">
                  <c:v>35244</c:v>
                </c:pt>
                <c:pt idx="129">
                  <c:v>35247</c:v>
                </c:pt>
                <c:pt idx="130">
                  <c:v>35248</c:v>
                </c:pt>
                <c:pt idx="131">
                  <c:v>35249</c:v>
                </c:pt>
                <c:pt idx="132">
                  <c:v>35250</c:v>
                </c:pt>
                <c:pt idx="133">
                  <c:v>35251</c:v>
                </c:pt>
                <c:pt idx="134">
                  <c:v>35254</c:v>
                </c:pt>
                <c:pt idx="135">
                  <c:v>35255</c:v>
                </c:pt>
                <c:pt idx="136">
                  <c:v>35256</c:v>
                </c:pt>
                <c:pt idx="137">
                  <c:v>35257</c:v>
                </c:pt>
                <c:pt idx="138">
                  <c:v>35258</c:v>
                </c:pt>
                <c:pt idx="139">
                  <c:v>35261</c:v>
                </c:pt>
                <c:pt idx="140">
                  <c:v>35262</c:v>
                </c:pt>
                <c:pt idx="141">
                  <c:v>35263</c:v>
                </c:pt>
                <c:pt idx="142">
                  <c:v>35264</c:v>
                </c:pt>
                <c:pt idx="143">
                  <c:v>35265</c:v>
                </c:pt>
                <c:pt idx="144">
                  <c:v>35268</c:v>
                </c:pt>
                <c:pt idx="145">
                  <c:v>35269</c:v>
                </c:pt>
                <c:pt idx="146">
                  <c:v>35270</c:v>
                </c:pt>
                <c:pt idx="147">
                  <c:v>35271</c:v>
                </c:pt>
                <c:pt idx="148">
                  <c:v>35272</c:v>
                </c:pt>
                <c:pt idx="149">
                  <c:v>35276</c:v>
                </c:pt>
                <c:pt idx="150">
                  <c:v>35277</c:v>
                </c:pt>
                <c:pt idx="151">
                  <c:v>35278</c:v>
                </c:pt>
                <c:pt idx="152">
                  <c:v>35279</c:v>
                </c:pt>
                <c:pt idx="153">
                  <c:v>35282</c:v>
                </c:pt>
                <c:pt idx="154">
                  <c:v>35283</c:v>
                </c:pt>
                <c:pt idx="155">
                  <c:v>35284</c:v>
                </c:pt>
                <c:pt idx="156">
                  <c:v>35285</c:v>
                </c:pt>
                <c:pt idx="157">
                  <c:v>35286</c:v>
                </c:pt>
                <c:pt idx="158">
                  <c:v>35289</c:v>
                </c:pt>
                <c:pt idx="159">
                  <c:v>35290</c:v>
                </c:pt>
                <c:pt idx="160">
                  <c:v>35291</c:v>
                </c:pt>
                <c:pt idx="161">
                  <c:v>35292</c:v>
                </c:pt>
                <c:pt idx="162">
                  <c:v>35293</c:v>
                </c:pt>
                <c:pt idx="163">
                  <c:v>35296</c:v>
                </c:pt>
                <c:pt idx="164">
                  <c:v>35297</c:v>
                </c:pt>
                <c:pt idx="165">
                  <c:v>35298</c:v>
                </c:pt>
                <c:pt idx="166">
                  <c:v>35299</c:v>
                </c:pt>
                <c:pt idx="167">
                  <c:v>35300</c:v>
                </c:pt>
                <c:pt idx="168">
                  <c:v>35303</c:v>
                </c:pt>
                <c:pt idx="169">
                  <c:v>35304</c:v>
                </c:pt>
                <c:pt idx="170">
                  <c:v>35305</c:v>
                </c:pt>
                <c:pt idx="171">
                  <c:v>35306</c:v>
                </c:pt>
                <c:pt idx="172">
                  <c:v>35307</c:v>
                </c:pt>
                <c:pt idx="173">
                  <c:v>35310</c:v>
                </c:pt>
                <c:pt idx="174">
                  <c:v>35311</c:v>
                </c:pt>
                <c:pt idx="175">
                  <c:v>35312</c:v>
                </c:pt>
                <c:pt idx="176">
                  <c:v>35313</c:v>
                </c:pt>
                <c:pt idx="177">
                  <c:v>35314</c:v>
                </c:pt>
                <c:pt idx="178">
                  <c:v>35317</c:v>
                </c:pt>
                <c:pt idx="179">
                  <c:v>35318</c:v>
                </c:pt>
                <c:pt idx="180">
                  <c:v>35319</c:v>
                </c:pt>
                <c:pt idx="181">
                  <c:v>35320</c:v>
                </c:pt>
                <c:pt idx="182">
                  <c:v>35321</c:v>
                </c:pt>
                <c:pt idx="183">
                  <c:v>35324</c:v>
                </c:pt>
                <c:pt idx="184">
                  <c:v>35325</c:v>
                </c:pt>
                <c:pt idx="185">
                  <c:v>35326</c:v>
                </c:pt>
                <c:pt idx="186">
                  <c:v>35327</c:v>
                </c:pt>
                <c:pt idx="187">
                  <c:v>35328</c:v>
                </c:pt>
                <c:pt idx="188">
                  <c:v>35331</c:v>
                </c:pt>
                <c:pt idx="189">
                  <c:v>35332</c:v>
                </c:pt>
                <c:pt idx="190">
                  <c:v>35333</c:v>
                </c:pt>
                <c:pt idx="191">
                  <c:v>35334</c:v>
                </c:pt>
                <c:pt idx="192">
                  <c:v>35335</c:v>
                </c:pt>
                <c:pt idx="193">
                  <c:v>35338</c:v>
                </c:pt>
                <c:pt idx="194">
                  <c:v>35339</c:v>
                </c:pt>
                <c:pt idx="195">
                  <c:v>35340</c:v>
                </c:pt>
                <c:pt idx="196">
                  <c:v>35341</c:v>
                </c:pt>
                <c:pt idx="197">
                  <c:v>35342</c:v>
                </c:pt>
                <c:pt idx="198">
                  <c:v>35345</c:v>
                </c:pt>
                <c:pt idx="199">
                  <c:v>35346</c:v>
                </c:pt>
                <c:pt idx="200">
                  <c:v>35347</c:v>
                </c:pt>
                <c:pt idx="201">
                  <c:v>35348</c:v>
                </c:pt>
                <c:pt idx="202">
                  <c:v>35349</c:v>
                </c:pt>
                <c:pt idx="203">
                  <c:v>35352</c:v>
                </c:pt>
                <c:pt idx="204">
                  <c:v>35353</c:v>
                </c:pt>
                <c:pt idx="205">
                  <c:v>35354</c:v>
                </c:pt>
                <c:pt idx="206">
                  <c:v>35355</c:v>
                </c:pt>
                <c:pt idx="207">
                  <c:v>35356</c:v>
                </c:pt>
                <c:pt idx="208">
                  <c:v>35359</c:v>
                </c:pt>
                <c:pt idx="209">
                  <c:v>35360</c:v>
                </c:pt>
                <c:pt idx="210">
                  <c:v>35361</c:v>
                </c:pt>
                <c:pt idx="211">
                  <c:v>35362</c:v>
                </c:pt>
                <c:pt idx="212">
                  <c:v>35363</c:v>
                </c:pt>
                <c:pt idx="213">
                  <c:v>35366</c:v>
                </c:pt>
                <c:pt idx="214">
                  <c:v>35367</c:v>
                </c:pt>
                <c:pt idx="215">
                  <c:v>35368</c:v>
                </c:pt>
                <c:pt idx="216">
                  <c:v>35369</c:v>
                </c:pt>
                <c:pt idx="217">
                  <c:v>35370</c:v>
                </c:pt>
                <c:pt idx="218">
                  <c:v>35373</c:v>
                </c:pt>
                <c:pt idx="219">
                  <c:v>35374</c:v>
                </c:pt>
                <c:pt idx="220">
                  <c:v>35375</c:v>
                </c:pt>
                <c:pt idx="221">
                  <c:v>35376</c:v>
                </c:pt>
                <c:pt idx="222">
                  <c:v>35377</c:v>
                </c:pt>
                <c:pt idx="223">
                  <c:v>35381</c:v>
                </c:pt>
                <c:pt idx="224">
                  <c:v>35382</c:v>
                </c:pt>
                <c:pt idx="225">
                  <c:v>35383</c:v>
                </c:pt>
                <c:pt idx="226">
                  <c:v>35384</c:v>
                </c:pt>
                <c:pt idx="227">
                  <c:v>35387</c:v>
                </c:pt>
                <c:pt idx="228">
                  <c:v>35388</c:v>
                </c:pt>
                <c:pt idx="229">
                  <c:v>35389</c:v>
                </c:pt>
                <c:pt idx="230">
                  <c:v>35390</c:v>
                </c:pt>
                <c:pt idx="231">
                  <c:v>35391</c:v>
                </c:pt>
                <c:pt idx="232">
                  <c:v>35394</c:v>
                </c:pt>
                <c:pt idx="233">
                  <c:v>35395</c:v>
                </c:pt>
                <c:pt idx="234">
                  <c:v>35396</c:v>
                </c:pt>
                <c:pt idx="235">
                  <c:v>35397</c:v>
                </c:pt>
                <c:pt idx="236">
                  <c:v>35398</c:v>
                </c:pt>
                <c:pt idx="237">
                  <c:v>35401</c:v>
                </c:pt>
                <c:pt idx="238">
                  <c:v>35402</c:v>
                </c:pt>
                <c:pt idx="239">
                  <c:v>35403</c:v>
                </c:pt>
                <c:pt idx="240">
                  <c:v>35404</c:v>
                </c:pt>
                <c:pt idx="241">
                  <c:v>35405</c:v>
                </c:pt>
                <c:pt idx="242">
                  <c:v>35408</c:v>
                </c:pt>
                <c:pt idx="243">
                  <c:v>35409</c:v>
                </c:pt>
                <c:pt idx="244">
                  <c:v>35410</c:v>
                </c:pt>
                <c:pt idx="245">
                  <c:v>35411</c:v>
                </c:pt>
                <c:pt idx="246">
                  <c:v>35412</c:v>
                </c:pt>
                <c:pt idx="247">
                  <c:v>35415</c:v>
                </c:pt>
                <c:pt idx="248">
                  <c:v>35416</c:v>
                </c:pt>
                <c:pt idx="249">
                  <c:v>35417</c:v>
                </c:pt>
                <c:pt idx="250">
                  <c:v>35418</c:v>
                </c:pt>
                <c:pt idx="251">
                  <c:v>35419</c:v>
                </c:pt>
                <c:pt idx="252">
                  <c:v>35422</c:v>
                </c:pt>
                <c:pt idx="253">
                  <c:v>35423</c:v>
                </c:pt>
                <c:pt idx="254">
                  <c:v>35425</c:v>
                </c:pt>
                <c:pt idx="255">
                  <c:v>35426</c:v>
                </c:pt>
                <c:pt idx="256">
                  <c:v>35429</c:v>
                </c:pt>
                <c:pt idx="257">
                  <c:v>35430</c:v>
                </c:pt>
                <c:pt idx="258">
                  <c:v>35432</c:v>
                </c:pt>
                <c:pt idx="259">
                  <c:v>35433</c:v>
                </c:pt>
                <c:pt idx="260">
                  <c:v>35436</c:v>
                </c:pt>
                <c:pt idx="261">
                  <c:v>35437</c:v>
                </c:pt>
                <c:pt idx="262">
                  <c:v>35438</c:v>
                </c:pt>
                <c:pt idx="263">
                  <c:v>35439</c:v>
                </c:pt>
                <c:pt idx="264">
                  <c:v>35440</c:v>
                </c:pt>
                <c:pt idx="265">
                  <c:v>35443</c:v>
                </c:pt>
                <c:pt idx="266">
                  <c:v>35444</c:v>
                </c:pt>
                <c:pt idx="267">
                  <c:v>35445</c:v>
                </c:pt>
                <c:pt idx="268">
                  <c:v>35446</c:v>
                </c:pt>
                <c:pt idx="269">
                  <c:v>35447</c:v>
                </c:pt>
                <c:pt idx="270">
                  <c:v>35450</c:v>
                </c:pt>
                <c:pt idx="271">
                  <c:v>35451</c:v>
                </c:pt>
                <c:pt idx="272">
                  <c:v>35452</c:v>
                </c:pt>
                <c:pt idx="273">
                  <c:v>35453</c:v>
                </c:pt>
                <c:pt idx="274">
                  <c:v>35454</c:v>
                </c:pt>
                <c:pt idx="275">
                  <c:v>35457</c:v>
                </c:pt>
                <c:pt idx="276">
                  <c:v>35458</c:v>
                </c:pt>
                <c:pt idx="277">
                  <c:v>35459</c:v>
                </c:pt>
                <c:pt idx="278">
                  <c:v>35460</c:v>
                </c:pt>
                <c:pt idx="279">
                  <c:v>35461</c:v>
                </c:pt>
                <c:pt idx="280">
                  <c:v>35464</c:v>
                </c:pt>
                <c:pt idx="281">
                  <c:v>35465</c:v>
                </c:pt>
                <c:pt idx="282">
                  <c:v>35466</c:v>
                </c:pt>
                <c:pt idx="283">
                  <c:v>35473</c:v>
                </c:pt>
                <c:pt idx="284">
                  <c:v>35474</c:v>
                </c:pt>
                <c:pt idx="285">
                  <c:v>35475</c:v>
                </c:pt>
                <c:pt idx="286">
                  <c:v>35478</c:v>
                </c:pt>
                <c:pt idx="287">
                  <c:v>35479</c:v>
                </c:pt>
                <c:pt idx="288">
                  <c:v>35480</c:v>
                </c:pt>
                <c:pt idx="289">
                  <c:v>35481</c:v>
                </c:pt>
                <c:pt idx="290">
                  <c:v>35482</c:v>
                </c:pt>
                <c:pt idx="291">
                  <c:v>35485</c:v>
                </c:pt>
                <c:pt idx="292">
                  <c:v>35486</c:v>
                </c:pt>
                <c:pt idx="293">
                  <c:v>35487</c:v>
                </c:pt>
                <c:pt idx="294">
                  <c:v>35488</c:v>
                </c:pt>
                <c:pt idx="295">
                  <c:v>35489</c:v>
                </c:pt>
                <c:pt idx="296">
                  <c:v>35492</c:v>
                </c:pt>
                <c:pt idx="297">
                  <c:v>35493</c:v>
                </c:pt>
                <c:pt idx="298">
                  <c:v>35494</c:v>
                </c:pt>
                <c:pt idx="299">
                  <c:v>35495</c:v>
                </c:pt>
                <c:pt idx="300">
                  <c:v>35496</c:v>
                </c:pt>
                <c:pt idx="301">
                  <c:v>35499</c:v>
                </c:pt>
                <c:pt idx="302">
                  <c:v>35500</c:v>
                </c:pt>
                <c:pt idx="303">
                  <c:v>35501</c:v>
                </c:pt>
                <c:pt idx="304">
                  <c:v>35502</c:v>
                </c:pt>
                <c:pt idx="305">
                  <c:v>35503</c:v>
                </c:pt>
                <c:pt idx="306">
                  <c:v>35506</c:v>
                </c:pt>
                <c:pt idx="307">
                  <c:v>35507</c:v>
                </c:pt>
                <c:pt idx="308">
                  <c:v>35508</c:v>
                </c:pt>
                <c:pt idx="309">
                  <c:v>35509</c:v>
                </c:pt>
                <c:pt idx="310">
                  <c:v>35510</c:v>
                </c:pt>
                <c:pt idx="311">
                  <c:v>35513</c:v>
                </c:pt>
                <c:pt idx="312">
                  <c:v>35514</c:v>
                </c:pt>
                <c:pt idx="313">
                  <c:v>35515</c:v>
                </c:pt>
                <c:pt idx="314">
                  <c:v>35516</c:v>
                </c:pt>
                <c:pt idx="315">
                  <c:v>35517</c:v>
                </c:pt>
                <c:pt idx="316">
                  <c:v>35520</c:v>
                </c:pt>
                <c:pt idx="317">
                  <c:v>35521</c:v>
                </c:pt>
                <c:pt idx="318">
                  <c:v>35522</c:v>
                </c:pt>
                <c:pt idx="319">
                  <c:v>35523</c:v>
                </c:pt>
                <c:pt idx="320">
                  <c:v>35524</c:v>
                </c:pt>
                <c:pt idx="321">
                  <c:v>35527</c:v>
                </c:pt>
                <c:pt idx="322">
                  <c:v>35528</c:v>
                </c:pt>
                <c:pt idx="323">
                  <c:v>35529</c:v>
                </c:pt>
                <c:pt idx="324">
                  <c:v>35530</c:v>
                </c:pt>
                <c:pt idx="325">
                  <c:v>35531</c:v>
                </c:pt>
                <c:pt idx="326">
                  <c:v>35534</c:v>
                </c:pt>
                <c:pt idx="327">
                  <c:v>35535</c:v>
                </c:pt>
                <c:pt idx="328">
                  <c:v>35536</c:v>
                </c:pt>
                <c:pt idx="329">
                  <c:v>35537</c:v>
                </c:pt>
                <c:pt idx="330">
                  <c:v>35541</c:v>
                </c:pt>
                <c:pt idx="331">
                  <c:v>35542</c:v>
                </c:pt>
                <c:pt idx="332">
                  <c:v>35543</c:v>
                </c:pt>
                <c:pt idx="333">
                  <c:v>35544</c:v>
                </c:pt>
                <c:pt idx="334">
                  <c:v>35545</c:v>
                </c:pt>
                <c:pt idx="335">
                  <c:v>35548</c:v>
                </c:pt>
                <c:pt idx="336">
                  <c:v>35549</c:v>
                </c:pt>
                <c:pt idx="337">
                  <c:v>35550</c:v>
                </c:pt>
                <c:pt idx="338">
                  <c:v>35552</c:v>
                </c:pt>
                <c:pt idx="339">
                  <c:v>35555</c:v>
                </c:pt>
                <c:pt idx="340">
                  <c:v>35556</c:v>
                </c:pt>
                <c:pt idx="341">
                  <c:v>35557</c:v>
                </c:pt>
                <c:pt idx="342">
                  <c:v>35559</c:v>
                </c:pt>
                <c:pt idx="343">
                  <c:v>35562</c:v>
                </c:pt>
                <c:pt idx="344">
                  <c:v>35563</c:v>
                </c:pt>
                <c:pt idx="345">
                  <c:v>35564</c:v>
                </c:pt>
                <c:pt idx="346">
                  <c:v>35565</c:v>
                </c:pt>
                <c:pt idx="347">
                  <c:v>35566</c:v>
                </c:pt>
                <c:pt idx="348">
                  <c:v>35569</c:v>
                </c:pt>
                <c:pt idx="349">
                  <c:v>35570</c:v>
                </c:pt>
                <c:pt idx="350">
                  <c:v>35572</c:v>
                </c:pt>
                <c:pt idx="351">
                  <c:v>35573</c:v>
                </c:pt>
                <c:pt idx="352">
                  <c:v>35576</c:v>
                </c:pt>
                <c:pt idx="353">
                  <c:v>35577</c:v>
                </c:pt>
                <c:pt idx="354">
                  <c:v>35578</c:v>
                </c:pt>
                <c:pt idx="355">
                  <c:v>35579</c:v>
                </c:pt>
                <c:pt idx="356">
                  <c:v>35580</c:v>
                </c:pt>
                <c:pt idx="357">
                  <c:v>35583</c:v>
                </c:pt>
                <c:pt idx="358">
                  <c:v>35584</c:v>
                </c:pt>
                <c:pt idx="359">
                  <c:v>35585</c:v>
                </c:pt>
                <c:pt idx="360">
                  <c:v>35586</c:v>
                </c:pt>
                <c:pt idx="361">
                  <c:v>35587</c:v>
                </c:pt>
                <c:pt idx="362">
                  <c:v>35590</c:v>
                </c:pt>
                <c:pt idx="363">
                  <c:v>35591</c:v>
                </c:pt>
                <c:pt idx="364">
                  <c:v>35592</c:v>
                </c:pt>
                <c:pt idx="365">
                  <c:v>35593</c:v>
                </c:pt>
                <c:pt idx="366">
                  <c:v>35594</c:v>
                </c:pt>
                <c:pt idx="367">
                  <c:v>35597</c:v>
                </c:pt>
                <c:pt idx="368">
                  <c:v>35598</c:v>
                </c:pt>
                <c:pt idx="369">
                  <c:v>35599</c:v>
                </c:pt>
                <c:pt idx="370">
                  <c:v>35600</c:v>
                </c:pt>
                <c:pt idx="371">
                  <c:v>35601</c:v>
                </c:pt>
                <c:pt idx="372">
                  <c:v>35604</c:v>
                </c:pt>
                <c:pt idx="373">
                  <c:v>35605</c:v>
                </c:pt>
                <c:pt idx="374">
                  <c:v>35606</c:v>
                </c:pt>
                <c:pt idx="375">
                  <c:v>35607</c:v>
                </c:pt>
                <c:pt idx="376">
                  <c:v>35608</c:v>
                </c:pt>
                <c:pt idx="377">
                  <c:v>35611</c:v>
                </c:pt>
                <c:pt idx="378">
                  <c:v>35612</c:v>
                </c:pt>
                <c:pt idx="379">
                  <c:v>35613</c:v>
                </c:pt>
                <c:pt idx="380">
                  <c:v>35614</c:v>
                </c:pt>
                <c:pt idx="381">
                  <c:v>35615</c:v>
                </c:pt>
                <c:pt idx="382">
                  <c:v>35618</c:v>
                </c:pt>
                <c:pt idx="383">
                  <c:v>35619</c:v>
                </c:pt>
                <c:pt idx="384">
                  <c:v>35620</c:v>
                </c:pt>
                <c:pt idx="385">
                  <c:v>35621</c:v>
                </c:pt>
                <c:pt idx="386">
                  <c:v>35622</c:v>
                </c:pt>
                <c:pt idx="387">
                  <c:v>35625</c:v>
                </c:pt>
                <c:pt idx="388">
                  <c:v>35626</c:v>
                </c:pt>
                <c:pt idx="389">
                  <c:v>35627</c:v>
                </c:pt>
                <c:pt idx="390">
                  <c:v>35629</c:v>
                </c:pt>
                <c:pt idx="391">
                  <c:v>35632</c:v>
                </c:pt>
                <c:pt idx="392">
                  <c:v>35633</c:v>
                </c:pt>
                <c:pt idx="393">
                  <c:v>35634</c:v>
                </c:pt>
                <c:pt idx="394">
                  <c:v>35635</c:v>
                </c:pt>
                <c:pt idx="395">
                  <c:v>35636</c:v>
                </c:pt>
                <c:pt idx="396">
                  <c:v>35639</c:v>
                </c:pt>
                <c:pt idx="397">
                  <c:v>35640</c:v>
                </c:pt>
                <c:pt idx="398">
                  <c:v>35641</c:v>
                </c:pt>
                <c:pt idx="399">
                  <c:v>35642</c:v>
                </c:pt>
                <c:pt idx="400">
                  <c:v>35643</c:v>
                </c:pt>
                <c:pt idx="401">
                  <c:v>35646</c:v>
                </c:pt>
                <c:pt idx="402">
                  <c:v>35647</c:v>
                </c:pt>
                <c:pt idx="403">
                  <c:v>35648</c:v>
                </c:pt>
                <c:pt idx="404">
                  <c:v>35649</c:v>
                </c:pt>
                <c:pt idx="405">
                  <c:v>35650</c:v>
                </c:pt>
                <c:pt idx="406">
                  <c:v>35653</c:v>
                </c:pt>
                <c:pt idx="407">
                  <c:v>35654</c:v>
                </c:pt>
                <c:pt idx="408">
                  <c:v>35655</c:v>
                </c:pt>
                <c:pt idx="409">
                  <c:v>35656</c:v>
                </c:pt>
                <c:pt idx="410">
                  <c:v>35657</c:v>
                </c:pt>
                <c:pt idx="411">
                  <c:v>35660</c:v>
                </c:pt>
                <c:pt idx="412">
                  <c:v>35661</c:v>
                </c:pt>
                <c:pt idx="413">
                  <c:v>35662</c:v>
                </c:pt>
                <c:pt idx="414">
                  <c:v>35663</c:v>
                </c:pt>
                <c:pt idx="415">
                  <c:v>35664</c:v>
                </c:pt>
                <c:pt idx="416">
                  <c:v>35667</c:v>
                </c:pt>
                <c:pt idx="417">
                  <c:v>35668</c:v>
                </c:pt>
                <c:pt idx="418">
                  <c:v>35669</c:v>
                </c:pt>
                <c:pt idx="419">
                  <c:v>35670</c:v>
                </c:pt>
                <c:pt idx="420">
                  <c:v>35671</c:v>
                </c:pt>
                <c:pt idx="421">
                  <c:v>35675</c:v>
                </c:pt>
                <c:pt idx="422">
                  <c:v>35676</c:v>
                </c:pt>
                <c:pt idx="423">
                  <c:v>35677</c:v>
                </c:pt>
                <c:pt idx="424">
                  <c:v>35678</c:v>
                </c:pt>
                <c:pt idx="425">
                  <c:v>35681</c:v>
                </c:pt>
                <c:pt idx="426">
                  <c:v>35682</c:v>
                </c:pt>
                <c:pt idx="427">
                  <c:v>35683</c:v>
                </c:pt>
                <c:pt idx="428">
                  <c:v>35684</c:v>
                </c:pt>
                <c:pt idx="429">
                  <c:v>35685</c:v>
                </c:pt>
                <c:pt idx="430">
                  <c:v>35688</c:v>
                </c:pt>
                <c:pt idx="431">
                  <c:v>35689</c:v>
                </c:pt>
                <c:pt idx="432">
                  <c:v>35690</c:v>
                </c:pt>
                <c:pt idx="433">
                  <c:v>35691</c:v>
                </c:pt>
                <c:pt idx="434">
                  <c:v>35692</c:v>
                </c:pt>
                <c:pt idx="435">
                  <c:v>35695</c:v>
                </c:pt>
                <c:pt idx="436">
                  <c:v>35696</c:v>
                </c:pt>
                <c:pt idx="437">
                  <c:v>35697</c:v>
                </c:pt>
                <c:pt idx="438">
                  <c:v>35698</c:v>
                </c:pt>
                <c:pt idx="439">
                  <c:v>35699</c:v>
                </c:pt>
                <c:pt idx="440">
                  <c:v>35702</c:v>
                </c:pt>
                <c:pt idx="441">
                  <c:v>35703</c:v>
                </c:pt>
                <c:pt idx="442">
                  <c:v>35704</c:v>
                </c:pt>
                <c:pt idx="443">
                  <c:v>35705</c:v>
                </c:pt>
                <c:pt idx="444">
                  <c:v>35706</c:v>
                </c:pt>
                <c:pt idx="445">
                  <c:v>35709</c:v>
                </c:pt>
                <c:pt idx="446">
                  <c:v>35710</c:v>
                </c:pt>
                <c:pt idx="447">
                  <c:v>35711</c:v>
                </c:pt>
                <c:pt idx="448">
                  <c:v>35712</c:v>
                </c:pt>
                <c:pt idx="449">
                  <c:v>35713</c:v>
                </c:pt>
                <c:pt idx="450">
                  <c:v>35716</c:v>
                </c:pt>
                <c:pt idx="451">
                  <c:v>35717</c:v>
                </c:pt>
                <c:pt idx="452">
                  <c:v>35718</c:v>
                </c:pt>
                <c:pt idx="453">
                  <c:v>35719</c:v>
                </c:pt>
                <c:pt idx="454">
                  <c:v>35720</c:v>
                </c:pt>
                <c:pt idx="455">
                  <c:v>35723</c:v>
                </c:pt>
                <c:pt idx="456">
                  <c:v>35724</c:v>
                </c:pt>
                <c:pt idx="457">
                  <c:v>35725</c:v>
                </c:pt>
                <c:pt idx="458">
                  <c:v>35726</c:v>
                </c:pt>
                <c:pt idx="459">
                  <c:v>35727</c:v>
                </c:pt>
                <c:pt idx="460">
                  <c:v>35730</c:v>
                </c:pt>
                <c:pt idx="461">
                  <c:v>35731</c:v>
                </c:pt>
                <c:pt idx="462">
                  <c:v>35732</c:v>
                </c:pt>
                <c:pt idx="463">
                  <c:v>35734</c:v>
                </c:pt>
                <c:pt idx="464">
                  <c:v>35737</c:v>
                </c:pt>
                <c:pt idx="465">
                  <c:v>35738</c:v>
                </c:pt>
                <c:pt idx="466">
                  <c:v>35739</c:v>
                </c:pt>
                <c:pt idx="467">
                  <c:v>35740</c:v>
                </c:pt>
                <c:pt idx="468">
                  <c:v>35741</c:v>
                </c:pt>
                <c:pt idx="469">
                  <c:v>35744</c:v>
                </c:pt>
                <c:pt idx="470">
                  <c:v>35745</c:v>
                </c:pt>
                <c:pt idx="471">
                  <c:v>35746</c:v>
                </c:pt>
                <c:pt idx="472">
                  <c:v>35747</c:v>
                </c:pt>
                <c:pt idx="473">
                  <c:v>35748</c:v>
                </c:pt>
                <c:pt idx="474">
                  <c:v>35751</c:v>
                </c:pt>
                <c:pt idx="475">
                  <c:v>35752</c:v>
                </c:pt>
                <c:pt idx="476">
                  <c:v>35753</c:v>
                </c:pt>
                <c:pt idx="477">
                  <c:v>35754</c:v>
                </c:pt>
                <c:pt idx="478">
                  <c:v>35755</c:v>
                </c:pt>
                <c:pt idx="479">
                  <c:v>35758</c:v>
                </c:pt>
                <c:pt idx="480">
                  <c:v>35759</c:v>
                </c:pt>
                <c:pt idx="481">
                  <c:v>35760</c:v>
                </c:pt>
                <c:pt idx="482">
                  <c:v>35761</c:v>
                </c:pt>
                <c:pt idx="483">
                  <c:v>35762</c:v>
                </c:pt>
                <c:pt idx="484">
                  <c:v>35765</c:v>
                </c:pt>
                <c:pt idx="485">
                  <c:v>35766</c:v>
                </c:pt>
                <c:pt idx="486">
                  <c:v>35767</c:v>
                </c:pt>
                <c:pt idx="487">
                  <c:v>35768</c:v>
                </c:pt>
                <c:pt idx="488">
                  <c:v>35769</c:v>
                </c:pt>
                <c:pt idx="489">
                  <c:v>35772</c:v>
                </c:pt>
                <c:pt idx="490">
                  <c:v>35773</c:v>
                </c:pt>
                <c:pt idx="491">
                  <c:v>35774</c:v>
                </c:pt>
                <c:pt idx="492">
                  <c:v>35775</c:v>
                </c:pt>
                <c:pt idx="493">
                  <c:v>35776</c:v>
                </c:pt>
                <c:pt idx="494">
                  <c:v>35779</c:v>
                </c:pt>
                <c:pt idx="495">
                  <c:v>35780</c:v>
                </c:pt>
                <c:pt idx="496">
                  <c:v>35781</c:v>
                </c:pt>
                <c:pt idx="497">
                  <c:v>35782</c:v>
                </c:pt>
                <c:pt idx="498">
                  <c:v>35783</c:v>
                </c:pt>
                <c:pt idx="499">
                  <c:v>35786</c:v>
                </c:pt>
                <c:pt idx="500">
                  <c:v>35787</c:v>
                </c:pt>
                <c:pt idx="501">
                  <c:v>35788</c:v>
                </c:pt>
                <c:pt idx="502">
                  <c:v>35790</c:v>
                </c:pt>
                <c:pt idx="503">
                  <c:v>35793</c:v>
                </c:pt>
                <c:pt idx="504">
                  <c:v>35794</c:v>
                </c:pt>
                <c:pt idx="505">
                  <c:v>35795</c:v>
                </c:pt>
              </c:numCache>
            </c:numRef>
          </c:cat>
          <c:val>
            <c:numRef>
              <c:f>[2]DATA!$C$4:$C$509</c:f>
              <c:numCache>
                <c:formatCode>General</c:formatCode>
                <c:ptCount val="506"/>
                <c:pt idx="0">
                  <c:v>111</c:v>
                </c:pt>
                <c:pt idx="1">
                  <c:v>56</c:v>
                </c:pt>
                <c:pt idx="2">
                  <c:v>89</c:v>
                </c:pt>
                <c:pt idx="3">
                  <c:v>54</c:v>
                </c:pt>
                <c:pt idx="4">
                  <c:v>78</c:v>
                </c:pt>
                <c:pt idx="5">
                  <c:v>77</c:v>
                </c:pt>
                <c:pt idx="6">
                  <c:v>18</c:v>
                </c:pt>
                <c:pt idx="7">
                  <c:v>23</c:v>
                </c:pt>
                <c:pt idx="8">
                  <c:v>65</c:v>
                </c:pt>
                <c:pt idx="9">
                  <c:v>101</c:v>
                </c:pt>
                <c:pt idx="10">
                  <c:v>17</c:v>
                </c:pt>
                <c:pt idx="11">
                  <c:v>100</c:v>
                </c:pt>
                <c:pt idx="12">
                  <c:v>97</c:v>
                </c:pt>
                <c:pt idx="13">
                  <c:v>46</c:v>
                </c:pt>
                <c:pt idx="14">
                  <c:v>27</c:v>
                </c:pt>
                <c:pt idx="15">
                  <c:v>52</c:v>
                </c:pt>
                <c:pt idx="16">
                  <c:v>75</c:v>
                </c:pt>
                <c:pt idx="17">
                  <c:v>45</c:v>
                </c:pt>
                <c:pt idx="18">
                  <c:v>110</c:v>
                </c:pt>
                <c:pt idx="19">
                  <c:v>95</c:v>
                </c:pt>
                <c:pt idx="20">
                  <c:v>56</c:v>
                </c:pt>
                <c:pt idx="21">
                  <c:v>94</c:v>
                </c:pt>
                <c:pt idx="22">
                  <c:v>143</c:v>
                </c:pt>
                <c:pt idx="23">
                  <c:v>176</c:v>
                </c:pt>
                <c:pt idx="24">
                  <c:v>219</c:v>
                </c:pt>
                <c:pt idx="25">
                  <c:v>90</c:v>
                </c:pt>
                <c:pt idx="26">
                  <c:v>189</c:v>
                </c:pt>
                <c:pt idx="27">
                  <c:v>116</c:v>
                </c:pt>
                <c:pt idx="28">
                  <c:v>114</c:v>
                </c:pt>
                <c:pt idx="29">
                  <c:v>129</c:v>
                </c:pt>
                <c:pt idx="30">
                  <c:v>140</c:v>
                </c:pt>
                <c:pt idx="31">
                  <c:v>224</c:v>
                </c:pt>
                <c:pt idx="32">
                  <c:v>184</c:v>
                </c:pt>
                <c:pt idx="33">
                  <c:v>131</c:v>
                </c:pt>
                <c:pt idx="34">
                  <c:v>121</c:v>
                </c:pt>
                <c:pt idx="35">
                  <c:v>56</c:v>
                </c:pt>
                <c:pt idx="36">
                  <c:v>83</c:v>
                </c:pt>
                <c:pt idx="37">
                  <c:v>210</c:v>
                </c:pt>
                <c:pt idx="38">
                  <c:v>80</c:v>
                </c:pt>
                <c:pt idx="39">
                  <c:v>39</c:v>
                </c:pt>
                <c:pt idx="40">
                  <c:v>76</c:v>
                </c:pt>
                <c:pt idx="41">
                  <c:v>268</c:v>
                </c:pt>
                <c:pt idx="42">
                  <c:v>125</c:v>
                </c:pt>
                <c:pt idx="43">
                  <c:v>146</c:v>
                </c:pt>
                <c:pt idx="44">
                  <c:v>321</c:v>
                </c:pt>
                <c:pt idx="45">
                  <c:v>61</c:v>
                </c:pt>
                <c:pt idx="46">
                  <c:v>217</c:v>
                </c:pt>
                <c:pt idx="47">
                  <c:v>100</c:v>
                </c:pt>
                <c:pt idx="48">
                  <c:v>187</c:v>
                </c:pt>
                <c:pt idx="49">
                  <c:v>206</c:v>
                </c:pt>
                <c:pt idx="50">
                  <c:v>308</c:v>
                </c:pt>
                <c:pt idx="51">
                  <c:v>246</c:v>
                </c:pt>
                <c:pt idx="52">
                  <c:v>279</c:v>
                </c:pt>
                <c:pt idx="53">
                  <c:v>416</c:v>
                </c:pt>
                <c:pt idx="54">
                  <c:v>242</c:v>
                </c:pt>
                <c:pt idx="55">
                  <c:v>158</c:v>
                </c:pt>
                <c:pt idx="56">
                  <c:v>222</c:v>
                </c:pt>
                <c:pt idx="57">
                  <c:v>230</c:v>
                </c:pt>
                <c:pt idx="58">
                  <c:v>71</c:v>
                </c:pt>
                <c:pt idx="59">
                  <c:v>126</c:v>
                </c:pt>
                <c:pt idx="60">
                  <c:v>88</c:v>
                </c:pt>
                <c:pt idx="61">
                  <c:v>317</c:v>
                </c:pt>
                <c:pt idx="62">
                  <c:v>302</c:v>
                </c:pt>
                <c:pt idx="63">
                  <c:v>388</c:v>
                </c:pt>
                <c:pt idx="64">
                  <c:v>606</c:v>
                </c:pt>
                <c:pt idx="65">
                  <c:v>326</c:v>
                </c:pt>
                <c:pt idx="66">
                  <c:v>274</c:v>
                </c:pt>
                <c:pt idx="67">
                  <c:v>447</c:v>
                </c:pt>
                <c:pt idx="68">
                  <c:v>184</c:v>
                </c:pt>
                <c:pt idx="69">
                  <c:v>264</c:v>
                </c:pt>
                <c:pt idx="70">
                  <c:v>107</c:v>
                </c:pt>
                <c:pt idx="71">
                  <c:v>135</c:v>
                </c:pt>
                <c:pt idx="72">
                  <c:v>113</c:v>
                </c:pt>
                <c:pt idx="73">
                  <c:v>421</c:v>
                </c:pt>
                <c:pt idx="74">
                  <c:v>363</c:v>
                </c:pt>
                <c:pt idx="75">
                  <c:v>361</c:v>
                </c:pt>
                <c:pt idx="76">
                  <c:v>302</c:v>
                </c:pt>
                <c:pt idx="77">
                  <c:v>164</c:v>
                </c:pt>
                <c:pt idx="78">
                  <c:v>285</c:v>
                </c:pt>
                <c:pt idx="79">
                  <c:v>276</c:v>
                </c:pt>
                <c:pt idx="80">
                  <c:v>240</c:v>
                </c:pt>
                <c:pt idx="81">
                  <c:v>235</c:v>
                </c:pt>
                <c:pt idx="82">
                  <c:v>175</c:v>
                </c:pt>
                <c:pt idx="83">
                  <c:v>346</c:v>
                </c:pt>
                <c:pt idx="84">
                  <c:v>414</c:v>
                </c:pt>
                <c:pt idx="85">
                  <c:v>484</c:v>
                </c:pt>
                <c:pt idx="86">
                  <c:v>371</c:v>
                </c:pt>
                <c:pt idx="87">
                  <c:v>488</c:v>
                </c:pt>
                <c:pt idx="88">
                  <c:v>740</c:v>
                </c:pt>
                <c:pt idx="89">
                  <c:v>124</c:v>
                </c:pt>
                <c:pt idx="90">
                  <c:v>200</c:v>
                </c:pt>
                <c:pt idx="91">
                  <c:v>177</c:v>
                </c:pt>
                <c:pt idx="92">
                  <c:v>197</c:v>
                </c:pt>
                <c:pt idx="93">
                  <c:v>234</c:v>
                </c:pt>
                <c:pt idx="94">
                  <c:v>329</c:v>
                </c:pt>
                <c:pt idx="95">
                  <c:v>113</c:v>
                </c:pt>
                <c:pt idx="96">
                  <c:v>141</c:v>
                </c:pt>
                <c:pt idx="97">
                  <c:v>121</c:v>
                </c:pt>
                <c:pt idx="98">
                  <c:v>202</c:v>
                </c:pt>
                <c:pt idx="99">
                  <c:v>383</c:v>
                </c:pt>
                <c:pt idx="100">
                  <c:v>301</c:v>
                </c:pt>
                <c:pt idx="101">
                  <c:v>241</c:v>
                </c:pt>
                <c:pt idx="102">
                  <c:v>374</c:v>
                </c:pt>
                <c:pt idx="103">
                  <c:v>397</c:v>
                </c:pt>
                <c:pt idx="104">
                  <c:v>477</c:v>
                </c:pt>
                <c:pt idx="105">
                  <c:v>399</c:v>
                </c:pt>
                <c:pt idx="106">
                  <c:v>950</c:v>
                </c:pt>
                <c:pt idx="107">
                  <c:v>623</c:v>
                </c:pt>
                <c:pt idx="108">
                  <c:v>567</c:v>
                </c:pt>
                <c:pt idx="109">
                  <c:v>203</c:v>
                </c:pt>
                <c:pt idx="110">
                  <c:v>315</c:v>
                </c:pt>
                <c:pt idx="111">
                  <c:v>134</c:v>
                </c:pt>
                <c:pt idx="112">
                  <c:v>129</c:v>
                </c:pt>
                <c:pt idx="113">
                  <c:v>94</c:v>
                </c:pt>
                <c:pt idx="114">
                  <c:v>89</c:v>
                </c:pt>
                <c:pt idx="115">
                  <c:v>198</c:v>
                </c:pt>
                <c:pt idx="116">
                  <c:v>340</c:v>
                </c:pt>
                <c:pt idx="117">
                  <c:v>227</c:v>
                </c:pt>
                <c:pt idx="118">
                  <c:v>165</c:v>
                </c:pt>
                <c:pt idx="119">
                  <c:v>109</c:v>
                </c:pt>
                <c:pt idx="120">
                  <c:v>147</c:v>
                </c:pt>
                <c:pt idx="121">
                  <c:v>366</c:v>
                </c:pt>
                <c:pt idx="122">
                  <c:v>244</c:v>
                </c:pt>
                <c:pt idx="123">
                  <c:v>544</c:v>
                </c:pt>
                <c:pt idx="124">
                  <c:v>463</c:v>
                </c:pt>
                <c:pt idx="125">
                  <c:v>566</c:v>
                </c:pt>
                <c:pt idx="126">
                  <c:v>599</c:v>
                </c:pt>
                <c:pt idx="127">
                  <c:v>418</c:v>
                </c:pt>
                <c:pt idx="128">
                  <c:v>383</c:v>
                </c:pt>
                <c:pt idx="129">
                  <c:v>117</c:v>
                </c:pt>
                <c:pt idx="130">
                  <c:v>198</c:v>
                </c:pt>
                <c:pt idx="131">
                  <c:v>121</c:v>
                </c:pt>
                <c:pt idx="132">
                  <c:v>182</c:v>
                </c:pt>
                <c:pt idx="133">
                  <c:v>69</c:v>
                </c:pt>
                <c:pt idx="134">
                  <c:v>482</c:v>
                </c:pt>
                <c:pt idx="135">
                  <c:v>195</c:v>
                </c:pt>
                <c:pt idx="136">
                  <c:v>176</c:v>
                </c:pt>
                <c:pt idx="137">
                  <c:v>123</c:v>
                </c:pt>
                <c:pt idx="138">
                  <c:v>219</c:v>
                </c:pt>
                <c:pt idx="139">
                  <c:v>153</c:v>
                </c:pt>
                <c:pt idx="140">
                  <c:v>382</c:v>
                </c:pt>
                <c:pt idx="141">
                  <c:v>381</c:v>
                </c:pt>
                <c:pt idx="142">
                  <c:v>110</c:v>
                </c:pt>
                <c:pt idx="143">
                  <c:v>79</c:v>
                </c:pt>
                <c:pt idx="144">
                  <c:v>382</c:v>
                </c:pt>
                <c:pt idx="145">
                  <c:v>491</c:v>
                </c:pt>
                <c:pt idx="146">
                  <c:v>388</c:v>
                </c:pt>
                <c:pt idx="147">
                  <c:v>581</c:v>
                </c:pt>
                <c:pt idx="148">
                  <c:v>481</c:v>
                </c:pt>
                <c:pt idx="149">
                  <c:v>1157</c:v>
                </c:pt>
                <c:pt idx="150">
                  <c:v>680</c:v>
                </c:pt>
                <c:pt idx="151">
                  <c:v>559</c:v>
                </c:pt>
                <c:pt idx="152">
                  <c:v>504</c:v>
                </c:pt>
                <c:pt idx="153">
                  <c:v>935</c:v>
                </c:pt>
                <c:pt idx="154">
                  <c:v>527</c:v>
                </c:pt>
                <c:pt idx="155">
                  <c:v>391</c:v>
                </c:pt>
                <c:pt idx="156">
                  <c:v>176</c:v>
                </c:pt>
                <c:pt idx="157">
                  <c:v>51</c:v>
                </c:pt>
                <c:pt idx="158">
                  <c:v>67</c:v>
                </c:pt>
                <c:pt idx="159">
                  <c:v>75</c:v>
                </c:pt>
                <c:pt idx="160">
                  <c:v>98</c:v>
                </c:pt>
                <c:pt idx="161">
                  <c:v>74</c:v>
                </c:pt>
                <c:pt idx="162">
                  <c:v>147</c:v>
                </c:pt>
                <c:pt idx="163">
                  <c:v>225</c:v>
                </c:pt>
                <c:pt idx="164">
                  <c:v>205</c:v>
                </c:pt>
                <c:pt idx="165">
                  <c:v>683</c:v>
                </c:pt>
                <c:pt idx="166">
                  <c:v>564</c:v>
                </c:pt>
                <c:pt idx="167">
                  <c:v>431</c:v>
                </c:pt>
                <c:pt idx="168">
                  <c:v>321</c:v>
                </c:pt>
                <c:pt idx="169">
                  <c:v>283</c:v>
                </c:pt>
                <c:pt idx="170">
                  <c:v>389</c:v>
                </c:pt>
                <c:pt idx="171">
                  <c:v>602</c:v>
                </c:pt>
                <c:pt idx="172">
                  <c:v>551</c:v>
                </c:pt>
                <c:pt idx="173">
                  <c:v>94</c:v>
                </c:pt>
                <c:pt idx="174">
                  <c:v>442</c:v>
                </c:pt>
                <c:pt idx="175">
                  <c:v>337</c:v>
                </c:pt>
                <c:pt idx="176">
                  <c:v>116</c:v>
                </c:pt>
                <c:pt idx="177">
                  <c:v>208</c:v>
                </c:pt>
                <c:pt idx="178">
                  <c:v>122</c:v>
                </c:pt>
                <c:pt idx="179">
                  <c:v>235</c:v>
                </c:pt>
                <c:pt idx="180">
                  <c:v>50</c:v>
                </c:pt>
                <c:pt idx="181">
                  <c:v>67</c:v>
                </c:pt>
                <c:pt idx="182">
                  <c:v>235</c:v>
                </c:pt>
                <c:pt idx="183">
                  <c:v>355</c:v>
                </c:pt>
                <c:pt idx="184">
                  <c:v>487</c:v>
                </c:pt>
                <c:pt idx="185">
                  <c:v>168</c:v>
                </c:pt>
                <c:pt idx="186">
                  <c:v>282</c:v>
                </c:pt>
                <c:pt idx="187">
                  <c:v>278</c:v>
                </c:pt>
                <c:pt idx="188">
                  <c:v>450</c:v>
                </c:pt>
                <c:pt idx="189">
                  <c:v>335</c:v>
                </c:pt>
                <c:pt idx="190">
                  <c:v>694</c:v>
                </c:pt>
                <c:pt idx="191">
                  <c:v>419</c:v>
                </c:pt>
                <c:pt idx="192">
                  <c:v>378</c:v>
                </c:pt>
                <c:pt idx="193">
                  <c:v>536</c:v>
                </c:pt>
                <c:pt idx="194">
                  <c:v>168</c:v>
                </c:pt>
                <c:pt idx="195">
                  <c:v>233</c:v>
                </c:pt>
                <c:pt idx="196">
                  <c:v>294</c:v>
                </c:pt>
                <c:pt idx="197">
                  <c:v>176</c:v>
                </c:pt>
                <c:pt idx="198">
                  <c:v>282</c:v>
                </c:pt>
                <c:pt idx="199">
                  <c:v>232</c:v>
                </c:pt>
                <c:pt idx="200">
                  <c:v>555</c:v>
                </c:pt>
                <c:pt idx="201">
                  <c:v>533</c:v>
                </c:pt>
                <c:pt idx="202">
                  <c:v>107</c:v>
                </c:pt>
                <c:pt idx="203">
                  <c:v>279</c:v>
                </c:pt>
                <c:pt idx="204">
                  <c:v>331</c:v>
                </c:pt>
                <c:pt idx="205">
                  <c:v>403</c:v>
                </c:pt>
                <c:pt idx="206">
                  <c:v>312</c:v>
                </c:pt>
                <c:pt idx="207">
                  <c:v>577</c:v>
                </c:pt>
                <c:pt idx="208">
                  <c:v>365</c:v>
                </c:pt>
                <c:pt idx="209">
                  <c:v>321</c:v>
                </c:pt>
                <c:pt idx="210">
                  <c:v>349</c:v>
                </c:pt>
                <c:pt idx="211">
                  <c:v>377</c:v>
                </c:pt>
                <c:pt idx="212">
                  <c:v>517</c:v>
                </c:pt>
                <c:pt idx="213">
                  <c:v>658</c:v>
                </c:pt>
                <c:pt idx="214">
                  <c:v>794</c:v>
                </c:pt>
                <c:pt idx="215">
                  <c:v>1054</c:v>
                </c:pt>
                <c:pt idx="216">
                  <c:v>569</c:v>
                </c:pt>
                <c:pt idx="217">
                  <c:v>195</c:v>
                </c:pt>
                <c:pt idx="218">
                  <c:v>123</c:v>
                </c:pt>
                <c:pt idx="219">
                  <c:v>188</c:v>
                </c:pt>
                <c:pt idx="220">
                  <c:v>134</c:v>
                </c:pt>
                <c:pt idx="221">
                  <c:v>322</c:v>
                </c:pt>
                <c:pt idx="222">
                  <c:v>145</c:v>
                </c:pt>
                <c:pt idx="223">
                  <c:v>233</c:v>
                </c:pt>
                <c:pt idx="224">
                  <c:v>288</c:v>
                </c:pt>
                <c:pt idx="225">
                  <c:v>294</c:v>
                </c:pt>
                <c:pt idx="226">
                  <c:v>150</c:v>
                </c:pt>
                <c:pt idx="227">
                  <c:v>283</c:v>
                </c:pt>
                <c:pt idx="228">
                  <c:v>547</c:v>
                </c:pt>
                <c:pt idx="229">
                  <c:v>314</c:v>
                </c:pt>
                <c:pt idx="230">
                  <c:v>293</c:v>
                </c:pt>
                <c:pt idx="231">
                  <c:v>583</c:v>
                </c:pt>
                <c:pt idx="232">
                  <c:v>457</c:v>
                </c:pt>
                <c:pt idx="233">
                  <c:v>635</c:v>
                </c:pt>
                <c:pt idx="234">
                  <c:v>513</c:v>
                </c:pt>
                <c:pt idx="235">
                  <c:v>751</c:v>
                </c:pt>
                <c:pt idx="236">
                  <c:v>627</c:v>
                </c:pt>
                <c:pt idx="237">
                  <c:v>393</c:v>
                </c:pt>
                <c:pt idx="238">
                  <c:v>285</c:v>
                </c:pt>
                <c:pt idx="239">
                  <c:v>448</c:v>
                </c:pt>
                <c:pt idx="240">
                  <c:v>564</c:v>
                </c:pt>
                <c:pt idx="241">
                  <c:v>1696</c:v>
                </c:pt>
                <c:pt idx="242">
                  <c:v>477</c:v>
                </c:pt>
                <c:pt idx="243">
                  <c:v>298</c:v>
                </c:pt>
                <c:pt idx="244">
                  <c:v>959</c:v>
                </c:pt>
                <c:pt idx="245">
                  <c:v>381</c:v>
                </c:pt>
                <c:pt idx="246">
                  <c:v>676</c:v>
                </c:pt>
                <c:pt idx="247">
                  <c:v>171</c:v>
                </c:pt>
                <c:pt idx="248">
                  <c:v>250</c:v>
                </c:pt>
                <c:pt idx="249">
                  <c:v>308</c:v>
                </c:pt>
                <c:pt idx="250">
                  <c:v>496</c:v>
                </c:pt>
                <c:pt idx="251">
                  <c:v>573</c:v>
                </c:pt>
                <c:pt idx="252">
                  <c:v>270</c:v>
                </c:pt>
                <c:pt idx="253">
                  <c:v>873</c:v>
                </c:pt>
                <c:pt idx="254">
                  <c:v>271</c:v>
                </c:pt>
                <c:pt idx="255">
                  <c:v>354</c:v>
                </c:pt>
                <c:pt idx="256">
                  <c:v>366</c:v>
                </c:pt>
                <c:pt idx="257">
                  <c:v>556</c:v>
                </c:pt>
                <c:pt idx="258">
                  <c:v>203</c:v>
                </c:pt>
                <c:pt idx="259">
                  <c:v>290</c:v>
                </c:pt>
                <c:pt idx="260">
                  <c:v>222</c:v>
                </c:pt>
                <c:pt idx="261">
                  <c:v>210</c:v>
                </c:pt>
                <c:pt idx="262">
                  <c:v>247</c:v>
                </c:pt>
                <c:pt idx="263">
                  <c:v>514</c:v>
                </c:pt>
                <c:pt idx="264">
                  <c:v>572</c:v>
                </c:pt>
                <c:pt idx="265">
                  <c:v>375</c:v>
                </c:pt>
                <c:pt idx="266">
                  <c:v>323</c:v>
                </c:pt>
                <c:pt idx="267">
                  <c:v>576</c:v>
                </c:pt>
                <c:pt idx="268">
                  <c:v>410</c:v>
                </c:pt>
                <c:pt idx="269">
                  <c:v>560</c:v>
                </c:pt>
                <c:pt idx="270">
                  <c:v>459</c:v>
                </c:pt>
                <c:pt idx="271">
                  <c:v>569</c:v>
                </c:pt>
                <c:pt idx="272">
                  <c:v>350</c:v>
                </c:pt>
                <c:pt idx="273">
                  <c:v>470</c:v>
                </c:pt>
                <c:pt idx="274">
                  <c:v>525</c:v>
                </c:pt>
                <c:pt idx="275">
                  <c:v>629</c:v>
                </c:pt>
                <c:pt idx="276">
                  <c:v>818</c:v>
                </c:pt>
                <c:pt idx="277">
                  <c:v>1069</c:v>
                </c:pt>
                <c:pt idx="278">
                  <c:v>608</c:v>
                </c:pt>
                <c:pt idx="279">
                  <c:v>902</c:v>
                </c:pt>
                <c:pt idx="280">
                  <c:v>177</c:v>
                </c:pt>
                <c:pt idx="281">
                  <c:v>233</c:v>
                </c:pt>
                <c:pt idx="282">
                  <c:v>222</c:v>
                </c:pt>
                <c:pt idx="283">
                  <c:v>347</c:v>
                </c:pt>
                <c:pt idx="284">
                  <c:v>535</c:v>
                </c:pt>
                <c:pt idx="285">
                  <c:v>677</c:v>
                </c:pt>
                <c:pt idx="286">
                  <c:v>476</c:v>
                </c:pt>
                <c:pt idx="287">
                  <c:v>444</c:v>
                </c:pt>
                <c:pt idx="288">
                  <c:v>664</c:v>
                </c:pt>
                <c:pt idx="289">
                  <c:v>546</c:v>
                </c:pt>
                <c:pt idx="290">
                  <c:v>674</c:v>
                </c:pt>
                <c:pt idx="291">
                  <c:v>700</c:v>
                </c:pt>
                <c:pt idx="292">
                  <c:v>704</c:v>
                </c:pt>
                <c:pt idx="293">
                  <c:v>618</c:v>
                </c:pt>
                <c:pt idx="294">
                  <c:v>1025</c:v>
                </c:pt>
                <c:pt idx="295">
                  <c:v>613</c:v>
                </c:pt>
                <c:pt idx="296">
                  <c:v>428</c:v>
                </c:pt>
                <c:pt idx="297">
                  <c:v>358</c:v>
                </c:pt>
                <c:pt idx="298">
                  <c:v>596</c:v>
                </c:pt>
                <c:pt idx="299">
                  <c:v>436</c:v>
                </c:pt>
                <c:pt idx="300">
                  <c:v>251</c:v>
                </c:pt>
                <c:pt idx="301">
                  <c:v>644</c:v>
                </c:pt>
                <c:pt idx="302">
                  <c:v>722</c:v>
                </c:pt>
                <c:pt idx="303">
                  <c:v>261</c:v>
                </c:pt>
                <c:pt idx="304">
                  <c:v>275</c:v>
                </c:pt>
                <c:pt idx="305">
                  <c:v>418</c:v>
                </c:pt>
                <c:pt idx="306">
                  <c:v>225</c:v>
                </c:pt>
                <c:pt idx="307">
                  <c:v>385</c:v>
                </c:pt>
                <c:pt idx="308">
                  <c:v>421</c:v>
                </c:pt>
                <c:pt idx="309">
                  <c:v>339</c:v>
                </c:pt>
                <c:pt idx="310">
                  <c:v>577</c:v>
                </c:pt>
                <c:pt idx="311">
                  <c:v>559</c:v>
                </c:pt>
                <c:pt idx="312">
                  <c:v>1293</c:v>
                </c:pt>
                <c:pt idx="313">
                  <c:v>895</c:v>
                </c:pt>
                <c:pt idx="314">
                  <c:v>961</c:v>
                </c:pt>
                <c:pt idx="315">
                  <c:v>337</c:v>
                </c:pt>
                <c:pt idx="316">
                  <c:v>818</c:v>
                </c:pt>
                <c:pt idx="317">
                  <c:v>647</c:v>
                </c:pt>
                <c:pt idx="318">
                  <c:v>449</c:v>
                </c:pt>
                <c:pt idx="319">
                  <c:v>599</c:v>
                </c:pt>
                <c:pt idx="320">
                  <c:v>1200</c:v>
                </c:pt>
                <c:pt idx="321">
                  <c:v>558</c:v>
                </c:pt>
                <c:pt idx="322">
                  <c:v>626</c:v>
                </c:pt>
                <c:pt idx="323">
                  <c:v>621</c:v>
                </c:pt>
                <c:pt idx="324">
                  <c:v>768</c:v>
                </c:pt>
                <c:pt idx="325">
                  <c:v>533</c:v>
                </c:pt>
                <c:pt idx="326">
                  <c:v>614</c:v>
                </c:pt>
                <c:pt idx="327">
                  <c:v>801</c:v>
                </c:pt>
                <c:pt idx="328">
                  <c:v>1155</c:v>
                </c:pt>
                <c:pt idx="329">
                  <c:v>810</c:v>
                </c:pt>
                <c:pt idx="330">
                  <c:v>803</c:v>
                </c:pt>
                <c:pt idx="331">
                  <c:v>837</c:v>
                </c:pt>
                <c:pt idx="332">
                  <c:v>838</c:v>
                </c:pt>
                <c:pt idx="333">
                  <c:v>1100</c:v>
                </c:pt>
                <c:pt idx="334">
                  <c:v>1232</c:v>
                </c:pt>
                <c:pt idx="335">
                  <c:v>1513</c:v>
                </c:pt>
                <c:pt idx="336">
                  <c:v>1179</c:v>
                </c:pt>
                <c:pt idx="337">
                  <c:v>1483</c:v>
                </c:pt>
                <c:pt idx="338">
                  <c:v>1037</c:v>
                </c:pt>
                <c:pt idx="339">
                  <c:v>827</c:v>
                </c:pt>
                <c:pt idx="340">
                  <c:v>961</c:v>
                </c:pt>
                <c:pt idx="341">
                  <c:v>1178</c:v>
                </c:pt>
                <c:pt idx="342">
                  <c:v>1113</c:v>
                </c:pt>
                <c:pt idx="343">
                  <c:v>775</c:v>
                </c:pt>
                <c:pt idx="344">
                  <c:v>759</c:v>
                </c:pt>
                <c:pt idx="345">
                  <c:v>1297</c:v>
                </c:pt>
                <c:pt idx="346">
                  <c:v>1992</c:v>
                </c:pt>
                <c:pt idx="347">
                  <c:v>2050</c:v>
                </c:pt>
                <c:pt idx="348">
                  <c:v>1003</c:v>
                </c:pt>
                <c:pt idx="349">
                  <c:v>1105</c:v>
                </c:pt>
                <c:pt idx="350">
                  <c:v>1458</c:v>
                </c:pt>
                <c:pt idx="351">
                  <c:v>1229</c:v>
                </c:pt>
                <c:pt idx="352">
                  <c:v>1491</c:v>
                </c:pt>
                <c:pt idx="353">
                  <c:v>1618</c:v>
                </c:pt>
                <c:pt idx="354">
                  <c:v>1761</c:v>
                </c:pt>
                <c:pt idx="355">
                  <c:v>1594</c:v>
                </c:pt>
                <c:pt idx="356">
                  <c:v>1045</c:v>
                </c:pt>
                <c:pt idx="357">
                  <c:v>1129</c:v>
                </c:pt>
                <c:pt idx="358">
                  <c:v>1418</c:v>
                </c:pt>
                <c:pt idx="359">
                  <c:v>888</c:v>
                </c:pt>
                <c:pt idx="360">
                  <c:v>1053</c:v>
                </c:pt>
                <c:pt idx="361">
                  <c:v>642</c:v>
                </c:pt>
                <c:pt idx="362">
                  <c:v>317</c:v>
                </c:pt>
                <c:pt idx="363">
                  <c:v>508</c:v>
                </c:pt>
                <c:pt idx="364">
                  <c:v>705</c:v>
                </c:pt>
                <c:pt idx="365">
                  <c:v>887</c:v>
                </c:pt>
                <c:pt idx="366">
                  <c:v>748</c:v>
                </c:pt>
                <c:pt idx="367">
                  <c:v>699</c:v>
                </c:pt>
                <c:pt idx="368">
                  <c:v>629</c:v>
                </c:pt>
                <c:pt idx="369">
                  <c:v>744</c:v>
                </c:pt>
                <c:pt idx="370">
                  <c:v>843</c:v>
                </c:pt>
                <c:pt idx="371">
                  <c:v>1674</c:v>
                </c:pt>
                <c:pt idx="372">
                  <c:v>988</c:v>
                </c:pt>
                <c:pt idx="373">
                  <c:v>1695</c:v>
                </c:pt>
                <c:pt idx="374">
                  <c:v>1397</c:v>
                </c:pt>
                <c:pt idx="375">
                  <c:v>932</c:v>
                </c:pt>
                <c:pt idx="376">
                  <c:v>1419</c:v>
                </c:pt>
                <c:pt idx="377">
                  <c:v>676</c:v>
                </c:pt>
                <c:pt idx="378">
                  <c:v>289</c:v>
                </c:pt>
                <c:pt idx="379">
                  <c:v>577</c:v>
                </c:pt>
                <c:pt idx="380">
                  <c:v>951</c:v>
                </c:pt>
                <c:pt idx="381">
                  <c:v>392</c:v>
                </c:pt>
                <c:pt idx="382">
                  <c:v>560</c:v>
                </c:pt>
                <c:pt idx="383">
                  <c:v>753</c:v>
                </c:pt>
                <c:pt idx="384">
                  <c:v>1034</c:v>
                </c:pt>
                <c:pt idx="385">
                  <c:v>1716</c:v>
                </c:pt>
                <c:pt idx="386">
                  <c:v>2355</c:v>
                </c:pt>
                <c:pt idx="387">
                  <c:v>1111</c:v>
                </c:pt>
                <c:pt idx="388">
                  <c:v>920</c:v>
                </c:pt>
                <c:pt idx="389">
                  <c:v>1209</c:v>
                </c:pt>
                <c:pt idx="390">
                  <c:v>995</c:v>
                </c:pt>
                <c:pt idx="391">
                  <c:v>957</c:v>
                </c:pt>
                <c:pt idx="392">
                  <c:v>1583</c:v>
                </c:pt>
                <c:pt idx="393">
                  <c:v>1428</c:v>
                </c:pt>
                <c:pt idx="394">
                  <c:v>1139</c:v>
                </c:pt>
                <c:pt idx="395">
                  <c:v>1308</c:v>
                </c:pt>
                <c:pt idx="396">
                  <c:v>1652</c:v>
                </c:pt>
                <c:pt idx="397">
                  <c:v>1161</c:v>
                </c:pt>
                <c:pt idx="398">
                  <c:v>1755</c:v>
                </c:pt>
                <c:pt idx="399">
                  <c:v>1235</c:v>
                </c:pt>
                <c:pt idx="400">
                  <c:v>946</c:v>
                </c:pt>
                <c:pt idx="401">
                  <c:v>1091</c:v>
                </c:pt>
                <c:pt idx="402">
                  <c:v>1870</c:v>
                </c:pt>
                <c:pt idx="403">
                  <c:v>2178</c:v>
                </c:pt>
                <c:pt idx="404">
                  <c:v>2074</c:v>
                </c:pt>
                <c:pt idx="405">
                  <c:v>1404</c:v>
                </c:pt>
                <c:pt idx="406">
                  <c:v>1518</c:v>
                </c:pt>
                <c:pt idx="407">
                  <c:v>1807</c:v>
                </c:pt>
                <c:pt idx="408">
                  <c:v>1589</c:v>
                </c:pt>
                <c:pt idx="409">
                  <c:v>1031</c:v>
                </c:pt>
                <c:pt idx="410">
                  <c:v>1603</c:v>
                </c:pt>
                <c:pt idx="411">
                  <c:v>1251</c:v>
                </c:pt>
                <c:pt idx="412">
                  <c:v>1513</c:v>
                </c:pt>
                <c:pt idx="413">
                  <c:v>2382</c:v>
                </c:pt>
                <c:pt idx="414">
                  <c:v>2290</c:v>
                </c:pt>
                <c:pt idx="415">
                  <c:v>1758</c:v>
                </c:pt>
                <c:pt idx="416">
                  <c:v>2110</c:v>
                </c:pt>
                <c:pt idx="417">
                  <c:v>3020</c:v>
                </c:pt>
                <c:pt idx="418">
                  <c:v>3155</c:v>
                </c:pt>
                <c:pt idx="419">
                  <c:v>5344</c:v>
                </c:pt>
                <c:pt idx="420">
                  <c:v>4473</c:v>
                </c:pt>
                <c:pt idx="421">
                  <c:v>4096</c:v>
                </c:pt>
                <c:pt idx="422">
                  <c:v>4214</c:v>
                </c:pt>
                <c:pt idx="423">
                  <c:v>4607</c:v>
                </c:pt>
                <c:pt idx="424">
                  <c:v>5771</c:v>
                </c:pt>
                <c:pt idx="425">
                  <c:v>2337</c:v>
                </c:pt>
                <c:pt idx="426">
                  <c:v>2903</c:v>
                </c:pt>
                <c:pt idx="427">
                  <c:v>1920</c:v>
                </c:pt>
                <c:pt idx="428">
                  <c:v>2882</c:v>
                </c:pt>
                <c:pt idx="429">
                  <c:v>3474</c:v>
                </c:pt>
                <c:pt idx="430">
                  <c:v>1871</c:v>
                </c:pt>
                <c:pt idx="431">
                  <c:v>1580</c:v>
                </c:pt>
                <c:pt idx="432">
                  <c:v>1500</c:v>
                </c:pt>
                <c:pt idx="433">
                  <c:v>1917</c:v>
                </c:pt>
                <c:pt idx="434">
                  <c:v>2362</c:v>
                </c:pt>
                <c:pt idx="435">
                  <c:v>2887</c:v>
                </c:pt>
                <c:pt idx="436">
                  <c:v>2705</c:v>
                </c:pt>
                <c:pt idx="437">
                  <c:v>3337</c:v>
                </c:pt>
                <c:pt idx="438">
                  <c:v>3518</c:v>
                </c:pt>
                <c:pt idx="439">
                  <c:v>2614</c:v>
                </c:pt>
                <c:pt idx="440">
                  <c:v>1636</c:v>
                </c:pt>
                <c:pt idx="441">
                  <c:v>3105</c:v>
                </c:pt>
                <c:pt idx="442">
                  <c:v>2255</c:v>
                </c:pt>
                <c:pt idx="443">
                  <c:v>1402</c:v>
                </c:pt>
                <c:pt idx="444">
                  <c:v>835</c:v>
                </c:pt>
                <c:pt idx="445">
                  <c:v>639</c:v>
                </c:pt>
                <c:pt idx="446">
                  <c:v>1188</c:v>
                </c:pt>
                <c:pt idx="447">
                  <c:v>2558</c:v>
                </c:pt>
                <c:pt idx="448">
                  <c:v>2982</c:v>
                </c:pt>
                <c:pt idx="449">
                  <c:v>1163</c:v>
                </c:pt>
                <c:pt idx="450">
                  <c:v>608</c:v>
                </c:pt>
                <c:pt idx="451">
                  <c:v>601</c:v>
                </c:pt>
                <c:pt idx="452">
                  <c:v>2677</c:v>
                </c:pt>
                <c:pt idx="453">
                  <c:v>2474</c:v>
                </c:pt>
                <c:pt idx="454">
                  <c:v>2378</c:v>
                </c:pt>
                <c:pt idx="455">
                  <c:v>3011</c:v>
                </c:pt>
                <c:pt idx="456">
                  <c:v>1603</c:v>
                </c:pt>
                <c:pt idx="457">
                  <c:v>2969</c:v>
                </c:pt>
                <c:pt idx="458">
                  <c:v>3205</c:v>
                </c:pt>
                <c:pt idx="459">
                  <c:v>3702</c:v>
                </c:pt>
                <c:pt idx="460">
                  <c:v>2997</c:v>
                </c:pt>
                <c:pt idx="461">
                  <c:v>3950</c:v>
                </c:pt>
                <c:pt idx="462">
                  <c:v>3733</c:v>
                </c:pt>
                <c:pt idx="463">
                  <c:v>4475</c:v>
                </c:pt>
                <c:pt idx="464">
                  <c:v>2660</c:v>
                </c:pt>
                <c:pt idx="465">
                  <c:v>3374</c:v>
                </c:pt>
                <c:pt idx="466">
                  <c:v>2427</c:v>
                </c:pt>
                <c:pt idx="467">
                  <c:v>1159</c:v>
                </c:pt>
                <c:pt idx="468">
                  <c:v>2248</c:v>
                </c:pt>
                <c:pt idx="469">
                  <c:v>1281</c:v>
                </c:pt>
                <c:pt idx="470">
                  <c:v>1422</c:v>
                </c:pt>
                <c:pt idx="471">
                  <c:v>1251</c:v>
                </c:pt>
                <c:pt idx="472">
                  <c:v>1742</c:v>
                </c:pt>
                <c:pt idx="473">
                  <c:v>1245</c:v>
                </c:pt>
                <c:pt idx="474">
                  <c:v>1313</c:v>
                </c:pt>
                <c:pt idx="475">
                  <c:v>2542</c:v>
                </c:pt>
                <c:pt idx="476">
                  <c:v>2998</c:v>
                </c:pt>
                <c:pt idx="477">
                  <c:v>3754</c:v>
                </c:pt>
                <c:pt idx="478">
                  <c:v>4587</c:v>
                </c:pt>
                <c:pt idx="479">
                  <c:v>5361</c:v>
                </c:pt>
                <c:pt idx="480">
                  <c:v>3149</c:v>
                </c:pt>
                <c:pt idx="481">
                  <c:v>3916</c:v>
                </c:pt>
                <c:pt idx="482">
                  <c:v>5076</c:v>
                </c:pt>
                <c:pt idx="483">
                  <c:v>3149</c:v>
                </c:pt>
                <c:pt idx="484">
                  <c:v>1215</c:v>
                </c:pt>
                <c:pt idx="485">
                  <c:v>2747</c:v>
                </c:pt>
                <c:pt idx="486">
                  <c:v>1980</c:v>
                </c:pt>
                <c:pt idx="487">
                  <c:v>3054</c:v>
                </c:pt>
                <c:pt idx="488">
                  <c:v>3972</c:v>
                </c:pt>
                <c:pt idx="489">
                  <c:v>4505</c:v>
                </c:pt>
                <c:pt idx="490">
                  <c:v>1931</c:v>
                </c:pt>
                <c:pt idx="491">
                  <c:v>1832</c:v>
                </c:pt>
                <c:pt idx="492">
                  <c:v>3393</c:v>
                </c:pt>
                <c:pt idx="493">
                  <c:v>3346</c:v>
                </c:pt>
                <c:pt idx="494">
                  <c:v>2291</c:v>
                </c:pt>
                <c:pt idx="495">
                  <c:v>3128</c:v>
                </c:pt>
                <c:pt idx="496">
                  <c:v>3031</c:v>
                </c:pt>
                <c:pt idx="497">
                  <c:v>3905</c:v>
                </c:pt>
                <c:pt idx="498">
                  <c:v>2213</c:v>
                </c:pt>
                <c:pt idx="499">
                  <c:v>1879</c:v>
                </c:pt>
                <c:pt idx="500">
                  <c:v>2358</c:v>
                </c:pt>
                <c:pt idx="501">
                  <c:v>1526</c:v>
                </c:pt>
                <c:pt idx="502">
                  <c:v>647</c:v>
                </c:pt>
                <c:pt idx="503">
                  <c:v>1757</c:v>
                </c:pt>
                <c:pt idx="504">
                  <c:v>1047</c:v>
                </c:pt>
                <c:pt idx="505">
                  <c:v>1030</c:v>
                </c:pt>
              </c:numCache>
            </c:numRef>
          </c:val>
        </c:ser>
        <c:axId val="133610112"/>
        <c:axId val="133611904"/>
      </c:barChart>
      <c:lineChart>
        <c:grouping val="standard"/>
        <c:ser>
          <c:idx val="1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[2]DATA!$A$4:$A$509</c:f>
              <c:numCache>
                <c:formatCode>General</c:formatCode>
                <c:ptCount val="506"/>
                <c:pt idx="0">
                  <c:v>35048</c:v>
                </c:pt>
                <c:pt idx="1">
                  <c:v>35051</c:v>
                </c:pt>
                <c:pt idx="2">
                  <c:v>35052</c:v>
                </c:pt>
                <c:pt idx="3">
                  <c:v>35053</c:v>
                </c:pt>
                <c:pt idx="4">
                  <c:v>35054</c:v>
                </c:pt>
                <c:pt idx="5">
                  <c:v>35055</c:v>
                </c:pt>
                <c:pt idx="6">
                  <c:v>35059</c:v>
                </c:pt>
                <c:pt idx="7">
                  <c:v>35060</c:v>
                </c:pt>
                <c:pt idx="8">
                  <c:v>35061</c:v>
                </c:pt>
                <c:pt idx="9">
                  <c:v>35062</c:v>
                </c:pt>
                <c:pt idx="10">
                  <c:v>35066</c:v>
                </c:pt>
                <c:pt idx="11">
                  <c:v>35067</c:v>
                </c:pt>
                <c:pt idx="12">
                  <c:v>35068</c:v>
                </c:pt>
                <c:pt idx="13">
                  <c:v>35069</c:v>
                </c:pt>
                <c:pt idx="14">
                  <c:v>35072</c:v>
                </c:pt>
                <c:pt idx="15">
                  <c:v>35073</c:v>
                </c:pt>
                <c:pt idx="16">
                  <c:v>35074</c:v>
                </c:pt>
                <c:pt idx="17">
                  <c:v>35075</c:v>
                </c:pt>
                <c:pt idx="18">
                  <c:v>35076</c:v>
                </c:pt>
                <c:pt idx="19">
                  <c:v>35079</c:v>
                </c:pt>
                <c:pt idx="20">
                  <c:v>35080</c:v>
                </c:pt>
                <c:pt idx="21">
                  <c:v>35081</c:v>
                </c:pt>
                <c:pt idx="22">
                  <c:v>35082</c:v>
                </c:pt>
                <c:pt idx="23">
                  <c:v>35083</c:v>
                </c:pt>
                <c:pt idx="24">
                  <c:v>35086</c:v>
                </c:pt>
                <c:pt idx="25">
                  <c:v>35087</c:v>
                </c:pt>
                <c:pt idx="26">
                  <c:v>35088</c:v>
                </c:pt>
                <c:pt idx="27">
                  <c:v>35089</c:v>
                </c:pt>
                <c:pt idx="28">
                  <c:v>35090</c:v>
                </c:pt>
                <c:pt idx="29">
                  <c:v>35093</c:v>
                </c:pt>
                <c:pt idx="30">
                  <c:v>35094</c:v>
                </c:pt>
                <c:pt idx="31">
                  <c:v>35095</c:v>
                </c:pt>
                <c:pt idx="32">
                  <c:v>35097</c:v>
                </c:pt>
                <c:pt idx="33">
                  <c:v>35100</c:v>
                </c:pt>
                <c:pt idx="34">
                  <c:v>35101</c:v>
                </c:pt>
                <c:pt idx="35">
                  <c:v>35102</c:v>
                </c:pt>
                <c:pt idx="36">
                  <c:v>35103</c:v>
                </c:pt>
                <c:pt idx="37">
                  <c:v>35104</c:v>
                </c:pt>
                <c:pt idx="38">
                  <c:v>35107</c:v>
                </c:pt>
                <c:pt idx="39">
                  <c:v>35108</c:v>
                </c:pt>
                <c:pt idx="40">
                  <c:v>35109</c:v>
                </c:pt>
                <c:pt idx="41">
                  <c:v>35110</c:v>
                </c:pt>
                <c:pt idx="42">
                  <c:v>35111</c:v>
                </c:pt>
                <c:pt idx="43">
                  <c:v>35121</c:v>
                </c:pt>
                <c:pt idx="44">
                  <c:v>35122</c:v>
                </c:pt>
                <c:pt idx="45">
                  <c:v>35123</c:v>
                </c:pt>
                <c:pt idx="46">
                  <c:v>35124</c:v>
                </c:pt>
                <c:pt idx="47">
                  <c:v>35125</c:v>
                </c:pt>
                <c:pt idx="48">
                  <c:v>35128</c:v>
                </c:pt>
                <c:pt idx="49">
                  <c:v>35129</c:v>
                </c:pt>
                <c:pt idx="50">
                  <c:v>35130</c:v>
                </c:pt>
                <c:pt idx="51">
                  <c:v>35131</c:v>
                </c:pt>
                <c:pt idx="52">
                  <c:v>35132</c:v>
                </c:pt>
                <c:pt idx="53">
                  <c:v>35135</c:v>
                </c:pt>
                <c:pt idx="54">
                  <c:v>35136</c:v>
                </c:pt>
                <c:pt idx="55">
                  <c:v>35137</c:v>
                </c:pt>
                <c:pt idx="56">
                  <c:v>35138</c:v>
                </c:pt>
                <c:pt idx="57">
                  <c:v>35139</c:v>
                </c:pt>
                <c:pt idx="58">
                  <c:v>35142</c:v>
                </c:pt>
                <c:pt idx="59">
                  <c:v>35143</c:v>
                </c:pt>
                <c:pt idx="60">
                  <c:v>35144</c:v>
                </c:pt>
                <c:pt idx="61">
                  <c:v>35145</c:v>
                </c:pt>
                <c:pt idx="62">
                  <c:v>35146</c:v>
                </c:pt>
                <c:pt idx="63">
                  <c:v>35149</c:v>
                </c:pt>
                <c:pt idx="64">
                  <c:v>35150</c:v>
                </c:pt>
                <c:pt idx="65">
                  <c:v>35151</c:v>
                </c:pt>
                <c:pt idx="66">
                  <c:v>35152</c:v>
                </c:pt>
                <c:pt idx="67">
                  <c:v>35153</c:v>
                </c:pt>
                <c:pt idx="68">
                  <c:v>35156</c:v>
                </c:pt>
                <c:pt idx="69">
                  <c:v>35157</c:v>
                </c:pt>
                <c:pt idx="70">
                  <c:v>35158</c:v>
                </c:pt>
                <c:pt idx="71">
                  <c:v>35159</c:v>
                </c:pt>
                <c:pt idx="72">
                  <c:v>35160</c:v>
                </c:pt>
                <c:pt idx="73">
                  <c:v>35163</c:v>
                </c:pt>
                <c:pt idx="74">
                  <c:v>35164</c:v>
                </c:pt>
                <c:pt idx="75">
                  <c:v>35165</c:v>
                </c:pt>
                <c:pt idx="76">
                  <c:v>35166</c:v>
                </c:pt>
                <c:pt idx="77">
                  <c:v>35167</c:v>
                </c:pt>
                <c:pt idx="78">
                  <c:v>35170</c:v>
                </c:pt>
                <c:pt idx="79">
                  <c:v>35171</c:v>
                </c:pt>
                <c:pt idx="80">
                  <c:v>35172</c:v>
                </c:pt>
                <c:pt idx="81">
                  <c:v>35173</c:v>
                </c:pt>
                <c:pt idx="82">
                  <c:v>35174</c:v>
                </c:pt>
                <c:pt idx="83">
                  <c:v>35177</c:v>
                </c:pt>
                <c:pt idx="84">
                  <c:v>35178</c:v>
                </c:pt>
                <c:pt idx="85">
                  <c:v>35179</c:v>
                </c:pt>
                <c:pt idx="86">
                  <c:v>35180</c:v>
                </c:pt>
                <c:pt idx="87">
                  <c:v>35181</c:v>
                </c:pt>
                <c:pt idx="88">
                  <c:v>35185</c:v>
                </c:pt>
                <c:pt idx="89">
                  <c:v>35187</c:v>
                </c:pt>
                <c:pt idx="90">
                  <c:v>35188</c:v>
                </c:pt>
                <c:pt idx="91">
                  <c:v>35191</c:v>
                </c:pt>
                <c:pt idx="92">
                  <c:v>35192</c:v>
                </c:pt>
                <c:pt idx="93">
                  <c:v>35193</c:v>
                </c:pt>
                <c:pt idx="94">
                  <c:v>35194</c:v>
                </c:pt>
                <c:pt idx="95">
                  <c:v>35195</c:v>
                </c:pt>
                <c:pt idx="96">
                  <c:v>35198</c:v>
                </c:pt>
                <c:pt idx="97">
                  <c:v>35199</c:v>
                </c:pt>
                <c:pt idx="98">
                  <c:v>35200</c:v>
                </c:pt>
                <c:pt idx="99">
                  <c:v>35201</c:v>
                </c:pt>
                <c:pt idx="100">
                  <c:v>35202</c:v>
                </c:pt>
                <c:pt idx="101">
                  <c:v>35206</c:v>
                </c:pt>
                <c:pt idx="102">
                  <c:v>35207</c:v>
                </c:pt>
                <c:pt idx="103">
                  <c:v>35208</c:v>
                </c:pt>
                <c:pt idx="104">
                  <c:v>35209</c:v>
                </c:pt>
                <c:pt idx="105">
                  <c:v>35212</c:v>
                </c:pt>
                <c:pt idx="106">
                  <c:v>35213</c:v>
                </c:pt>
                <c:pt idx="107">
                  <c:v>35214</c:v>
                </c:pt>
                <c:pt idx="108">
                  <c:v>35215</c:v>
                </c:pt>
                <c:pt idx="109">
                  <c:v>35219</c:v>
                </c:pt>
                <c:pt idx="110">
                  <c:v>35220</c:v>
                </c:pt>
                <c:pt idx="111">
                  <c:v>35221</c:v>
                </c:pt>
                <c:pt idx="112">
                  <c:v>35222</c:v>
                </c:pt>
                <c:pt idx="113">
                  <c:v>35223</c:v>
                </c:pt>
                <c:pt idx="114">
                  <c:v>35226</c:v>
                </c:pt>
                <c:pt idx="115">
                  <c:v>35227</c:v>
                </c:pt>
                <c:pt idx="116">
                  <c:v>35228</c:v>
                </c:pt>
                <c:pt idx="117">
                  <c:v>35229</c:v>
                </c:pt>
                <c:pt idx="118">
                  <c:v>35230</c:v>
                </c:pt>
                <c:pt idx="119">
                  <c:v>35233</c:v>
                </c:pt>
                <c:pt idx="120">
                  <c:v>35234</c:v>
                </c:pt>
                <c:pt idx="121">
                  <c:v>35235</c:v>
                </c:pt>
                <c:pt idx="122">
                  <c:v>35236</c:v>
                </c:pt>
                <c:pt idx="123">
                  <c:v>35237</c:v>
                </c:pt>
                <c:pt idx="124">
                  <c:v>35240</c:v>
                </c:pt>
                <c:pt idx="125">
                  <c:v>35241</c:v>
                </c:pt>
                <c:pt idx="126">
                  <c:v>35242</c:v>
                </c:pt>
                <c:pt idx="127">
                  <c:v>35243</c:v>
                </c:pt>
                <c:pt idx="128">
                  <c:v>35244</c:v>
                </c:pt>
                <c:pt idx="129">
                  <c:v>35247</c:v>
                </c:pt>
                <c:pt idx="130">
                  <c:v>35248</c:v>
                </c:pt>
                <c:pt idx="131">
                  <c:v>35249</c:v>
                </c:pt>
                <c:pt idx="132">
                  <c:v>35250</c:v>
                </c:pt>
                <c:pt idx="133">
                  <c:v>35251</c:v>
                </c:pt>
                <c:pt idx="134">
                  <c:v>35254</c:v>
                </c:pt>
                <c:pt idx="135">
                  <c:v>35255</c:v>
                </c:pt>
                <c:pt idx="136">
                  <c:v>35256</c:v>
                </c:pt>
                <c:pt idx="137">
                  <c:v>35257</c:v>
                </c:pt>
                <c:pt idx="138">
                  <c:v>35258</c:v>
                </c:pt>
                <c:pt idx="139">
                  <c:v>35261</c:v>
                </c:pt>
                <c:pt idx="140">
                  <c:v>35262</c:v>
                </c:pt>
                <c:pt idx="141">
                  <c:v>35263</c:v>
                </c:pt>
                <c:pt idx="142">
                  <c:v>35264</c:v>
                </c:pt>
                <c:pt idx="143">
                  <c:v>35265</c:v>
                </c:pt>
                <c:pt idx="144">
                  <c:v>35268</c:v>
                </c:pt>
                <c:pt idx="145">
                  <c:v>35269</c:v>
                </c:pt>
                <c:pt idx="146">
                  <c:v>35270</c:v>
                </c:pt>
                <c:pt idx="147">
                  <c:v>35271</c:v>
                </c:pt>
                <c:pt idx="148">
                  <c:v>35272</c:v>
                </c:pt>
                <c:pt idx="149">
                  <c:v>35276</c:v>
                </c:pt>
                <c:pt idx="150">
                  <c:v>35277</c:v>
                </c:pt>
                <c:pt idx="151">
                  <c:v>35278</c:v>
                </c:pt>
                <c:pt idx="152">
                  <c:v>35279</c:v>
                </c:pt>
                <c:pt idx="153">
                  <c:v>35282</c:v>
                </c:pt>
                <c:pt idx="154">
                  <c:v>35283</c:v>
                </c:pt>
                <c:pt idx="155">
                  <c:v>35284</c:v>
                </c:pt>
                <c:pt idx="156">
                  <c:v>35285</c:v>
                </c:pt>
                <c:pt idx="157">
                  <c:v>35286</c:v>
                </c:pt>
                <c:pt idx="158">
                  <c:v>35289</c:v>
                </c:pt>
                <c:pt idx="159">
                  <c:v>35290</c:v>
                </c:pt>
                <c:pt idx="160">
                  <c:v>35291</c:v>
                </c:pt>
                <c:pt idx="161">
                  <c:v>35292</c:v>
                </c:pt>
                <c:pt idx="162">
                  <c:v>35293</c:v>
                </c:pt>
                <c:pt idx="163">
                  <c:v>35296</c:v>
                </c:pt>
                <c:pt idx="164">
                  <c:v>35297</c:v>
                </c:pt>
                <c:pt idx="165">
                  <c:v>35298</c:v>
                </c:pt>
                <c:pt idx="166">
                  <c:v>35299</c:v>
                </c:pt>
                <c:pt idx="167">
                  <c:v>35300</c:v>
                </c:pt>
                <c:pt idx="168">
                  <c:v>35303</c:v>
                </c:pt>
                <c:pt idx="169">
                  <c:v>35304</c:v>
                </c:pt>
                <c:pt idx="170">
                  <c:v>35305</c:v>
                </c:pt>
                <c:pt idx="171">
                  <c:v>35306</c:v>
                </c:pt>
                <c:pt idx="172">
                  <c:v>35307</c:v>
                </c:pt>
                <c:pt idx="173">
                  <c:v>35310</c:v>
                </c:pt>
                <c:pt idx="174">
                  <c:v>35311</c:v>
                </c:pt>
                <c:pt idx="175">
                  <c:v>35312</c:v>
                </c:pt>
                <c:pt idx="176">
                  <c:v>35313</c:v>
                </c:pt>
                <c:pt idx="177">
                  <c:v>35314</c:v>
                </c:pt>
                <c:pt idx="178">
                  <c:v>35317</c:v>
                </c:pt>
                <c:pt idx="179">
                  <c:v>35318</c:v>
                </c:pt>
                <c:pt idx="180">
                  <c:v>35319</c:v>
                </c:pt>
                <c:pt idx="181">
                  <c:v>35320</c:v>
                </c:pt>
                <c:pt idx="182">
                  <c:v>35321</c:v>
                </c:pt>
                <c:pt idx="183">
                  <c:v>35324</c:v>
                </c:pt>
                <c:pt idx="184">
                  <c:v>35325</c:v>
                </c:pt>
                <c:pt idx="185">
                  <c:v>35326</c:v>
                </c:pt>
                <c:pt idx="186">
                  <c:v>35327</c:v>
                </c:pt>
                <c:pt idx="187">
                  <c:v>35328</c:v>
                </c:pt>
                <c:pt idx="188">
                  <c:v>35331</c:v>
                </c:pt>
                <c:pt idx="189">
                  <c:v>35332</c:v>
                </c:pt>
                <c:pt idx="190">
                  <c:v>35333</c:v>
                </c:pt>
                <c:pt idx="191">
                  <c:v>35334</c:v>
                </c:pt>
                <c:pt idx="192">
                  <c:v>35335</c:v>
                </c:pt>
                <c:pt idx="193">
                  <c:v>35338</c:v>
                </c:pt>
                <c:pt idx="194">
                  <c:v>35339</c:v>
                </c:pt>
                <c:pt idx="195">
                  <c:v>35340</c:v>
                </c:pt>
                <c:pt idx="196">
                  <c:v>35341</c:v>
                </c:pt>
                <c:pt idx="197">
                  <c:v>35342</c:v>
                </c:pt>
                <c:pt idx="198">
                  <c:v>35345</c:v>
                </c:pt>
                <c:pt idx="199">
                  <c:v>35346</c:v>
                </c:pt>
                <c:pt idx="200">
                  <c:v>35347</c:v>
                </c:pt>
                <c:pt idx="201">
                  <c:v>35348</c:v>
                </c:pt>
                <c:pt idx="202">
                  <c:v>35349</c:v>
                </c:pt>
                <c:pt idx="203">
                  <c:v>35352</c:v>
                </c:pt>
                <c:pt idx="204">
                  <c:v>35353</c:v>
                </c:pt>
                <c:pt idx="205">
                  <c:v>35354</c:v>
                </c:pt>
                <c:pt idx="206">
                  <c:v>35355</c:v>
                </c:pt>
                <c:pt idx="207">
                  <c:v>35356</c:v>
                </c:pt>
                <c:pt idx="208">
                  <c:v>35359</c:v>
                </c:pt>
                <c:pt idx="209">
                  <c:v>35360</c:v>
                </c:pt>
                <c:pt idx="210">
                  <c:v>35361</c:v>
                </c:pt>
                <c:pt idx="211">
                  <c:v>35362</c:v>
                </c:pt>
                <c:pt idx="212">
                  <c:v>35363</c:v>
                </c:pt>
                <c:pt idx="213">
                  <c:v>35366</c:v>
                </c:pt>
                <c:pt idx="214">
                  <c:v>35367</c:v>
                </c:pt>
                <c:pt idx="215">
                  <c:v>35368</c:v>
                </c:pt>
                <c:pt idx="216">
                  <c:v>35369</c:v>
                </c:pt>
                <c:pt idx="217">
                  <c:v>35370</c:v>
                </c:pt>
                <c:pt idx="218">
                  <c:v>35373</c:v>
                </c:pt>
                <c:pt idx="219">
                  <c:v>35374</c:v>
                </c:pt>
                <c:pt idx="220">
                  <c:v>35375</c:v>
                </c:pt>
                <c:pt idx="221">
                  <c:v>35376</c:v>
                </c:pt>
                <c:pt idx="222">
                  <c:v>35377</c:v>
                </c:pt>
                <c:pt idx="223">
                  <c:v>35381</c:v>
                </c:pt>
                <c:pt idx="224">
                  <c:v>35382</c:v>
                </c:pt>
                <c:pt idx="225">
                  <c:v>35383</c:v>
                </c:pt>
                <c:pt idx="226">
                  <c:v>35384</c:v>
                </c:pt>
                <c:pt idx="227">
                  <c:v>35387</c:v>
                </c:pt>
                <c:pt idx="228">
                  <c:v>35388</c:v>
                </c:pt>
                <c:pt idx="229">
                  <c:v>35389</c:v>
                </c:pt>
                <c:pt idx="230">
                  <c:v>35390</c:v>
                </c:pt>
                <c:pt idx="231">
                  <c:v>35391</c:v>
                </c:pt>
                <c:pt idx="232">
                  <c:v>35394</c:v>
                </c:pt>
                <c:pt idx="233">
                  <c:v>35395</c:v>
                </c:pt>
                <c:pt idx="234">
                  <c:v>35396</c:v>
                </c:pt>
                <c:pt idx="235">
                  <c:v>35397</c:v>
                </c:pt>
                <c:pt idx="236">
                  <c:v>35398</c:v>
                </c:pt>
                <c:pt idx="237">
                  <c:v>35401</c:v>
                </c:pt>
                <c:pt idx="238">
                  <c:v>35402</c:v>
                </c:pt>
                <c:pt idx="239">
                  <c:v>35403</c:v>
                </c:pt>
                <c:pt idx="240">
                  <c:v>35404</c:v>
                </c:pt>
                <c:pt idx="241">
                  <c:v>35405</c:v>
                </c:pt>
                <c:pt idx="242">
                  <c:v>35408</c:v>
                </c:pt>
                <c:pt idx="243">
                  <c:v>35409</c:v>
                </c:pt>
                <c:pt idx="244">
                  <c:v>35410</c:v>
                </c:pt>
                <c:pt idx="245">
                  <c:v>35411</c:v>
                </c:pt>
                <c:pt idx="246">
                  <c:v>35412</c:v>
                </c:pt>
                <c:pt idx="247">
                  <c:v>35415</c:v>
                </c:pt>
                <c:pt idx="248">
                  <c:v>35416</c:v>
                </c:pt>
                <c:pt idx="249">
                  <c:v>35417</c:v>
                </c:pt>
                <c:pt idx="250">
                  <c:v>35418</c:v>
                </c:pt>
                <c:pt idx="251">
                  <c:v>35419</c:v>
                </c:pt>
                <c:pt idx="252">
                  <c:v>35422</c:v>
                </c:pt>
                <c:pt idx="253">
                  <c:v>35423</c:v>
                </c:pt>
                <c:pt idx="254">
                  <c:v>35425</c:v>
                </c:pt>
                <c:pt idx="255">
                  <c:v>35426</c:v>
                </c:pt>
                <c:pt idx="256">
                  <c:v>35429</c:v>
                </c:pt>
                <c:pt idx="257">
                  <c:v>35430</c:v>
                </c:pt>
                <c:pt idx="258">
                  <c:v>35432</c:v>
                </c:pt>
                <c:pt idx="259">
                  <c:v>35433</c:v>
                </c:pt>
                <c:pt idx="260">
                  <c:v>35436</c:v>
                </c:pt>
                <c:pt idx="261">
                  <c:v>35437</c:v>
                </c:pt>
                <c:pt idx="262">
                  <c:v>35438</c:v>
                </c:pt>
                <c:pt idx="263">
                  <c:v>35439</c:v>
                </c:pt>
                <c:pt idx="264">
                  <c:v>35440</c:v>
                </c:pt>
                <c:pt idx="265">
                  <c:v>35443</c:v>
                </c:pt>
                <c:pt idx="266">
                  <c:v>35444</c:v>
                </c:pt>
                <c:pt idx="267">
                  <c:v>35445</c:v>
                </c:pt>
                <c:pt idx="268">
                  <c:v>35446</c:v>
                </c:pt>
                <c:pt idx="269">
                  <c:v>35447</c:v>
                </c:pt>
                <c:pt idx="270">
                  <c:v>35450</c:v>
                </c:pt>
                <c:pt idx="271">
                  <c:v>35451</c:v>
                </c:pt>
                <c:pt idx="272">
                  <c:v>35452</c:v>
                </c:pt>
                <c:pt idx="273">
                  <c:v>35453</c:v>
                </c:pt>
                <c:pt idx="274">
                  <c:v>35454</c:v>
                </c:pt>
                <c:pt idx="275">
                  <c:v>35457</c:v>
                </c:pt>
                <c:pt idx="276">
                  <c:v>35458</c:v>
                </c:pt>
                <c:pt idx="277">
                  <c:v>35459</c:v>
                </c:pt>
                <c:pt idx="278">
                  <c:v>35460</c:v>
                </c:pt>
                <c:pt idx="279">
                  <c:v>35461</c:v>
                </c:pt>
                <c:pt idx="280">
                  <c:v>35464</c:v>
                </c:pt>
                <c:pt idx="281">
                  <c:v>35465</c:v>
                </c:pt>
                <c:pt idx="282">
                  <c:v>35466</c:v>
                </c:pt>
                <c:pt idx="283">
                  <c:v>35473</c:v>
                </c:pt>
                <c:pt idx="284">
                  <c:v>35474</c:v>
                </c:pt>
                <c:pt idx="285">
                  <c:v>35475</c:v>
                </c:pt>
                <c:pt idx="286">
                  <c:v>35478</c:v>
                </c:pt>
                <c:pt idx="287">
                  <c:v>35479</c:v>
                </c:pt>
                <c:pt idx="288">
                  <c:v>35480</c:v>
                </c:pt>
                <c:pt idx="289">
                  <c:v>35481</c:v>
                </c:pt>
                <c:pt idx="290">
                  <c:v>35482</c:v>
                </c:pt>
                <c:pt idx="291">
                  <c:v>35485</c:v>
                </c:pt>
                <c:pt idx="292">
                  <c:v>35486</c:v>
                </c:pt>
                <c:pt idx="293">
                  <c:v>35487</c:v>
                </c:pt>
                <c:pt idx="294">
                  <c:v>35488</c:v>
                </c:pt>
                <c:pt idx="295">
                  <c:v>35489</c:v>
                </c:pt>
                <c:pt idx="296">
                  <c:v>35492</c:v>
                </c:pt>
                <c:pt idx="297">
                  <c:v>35493</c:v>
                </c:pt>
                <c:pt idx="298">
                  <c:v>35494</c:v>
                </c:pt>
                <c:pt idx="299">
                  <c:v>35495</c:v>
                </c:pt>
                <c:pt idx="300">
                  <c:v>35496</c:v>
                </c:pt>
                <c:pt idx="301">
                  <c:v>35499</c:v>
                </c:pt>
                <c:pt idx="302">
                  <c:v>35500</c:v>
                </c:pt>
                <c:pt idx="303">
                  <c:v>35501</c:v>
                </c:pt>
                <c:pt idx="304">
                  <c:v>35502</c:v>
                </c:pt>
                <c:pt idx="305">
                  <c:v>35503</c:v>
                </c:pt>
                <c:pt idx="306">
                  <c:v>35506</c:v>
                </c:pt>
                <c:pt idx="307">
                  <c:v>35507</c:v>
                </c:pt>
                <c:pt idx="308">
                  <c:v>35508</c:v>
                </c:pt>
                <c:pt idx="309">
                  <c:v>35509</c:v>
                </c:pt>
                <c:pt idx="310">
                  <c:v>35510</c:v>
                </c:pt>
                <c:pt idx="311">
                  <c:v>35513</c:v>
                </c:pt>
                <c:pt idx="312">
                  <c:v>35514</c:v>
                </c:pt>
                <c:pt idx="313">
                  <c:v>35515</c:v>
                </c:pt>
                <c:pt idx="314">
                  <c:v>35516</c:v>
                </c:pt>
                <c:pt idx="315">
                  <c:v>35517</c:v>
                </c:pt>
                <c:pt idx="316">
                  <c:v>35520</c:v>
                </c:pt>
                <c:pt idx="317">
                  <c:v>35521</c:v>
                </c:pt>
                <c:pt idx="318">
                  <c:v>35522</c:v>
                </c:pt>
                <c:pt idx="319">
                  <c:v>35523</c:v>
                </c:pt>
                <c:pt idx="320">
                  <c:v>35524</c:v>
                </c:pt>
                <c:pt idx="321">
                  <c:v>35527</c:v>
                </c:pt>
                <c:pt idx="322">
                  <c:v>35528</c:v>
                </c:pt>
                <c:pt idx="323">
                  <c:v>35529</c:v>
                </c:pt>
                <c:pt idx="324">
                  <c:v>35530</c:v>
                </c:pt>
                <c:pt idx="325">
                  <c:v>35531</c:v>
                </c:pt>
                <c:pt idx="326">
                  <c:v>35534</c:v>
                </c:pt>
                <c:pt idx="327">
                  <c:v>35535</c:v>
                </c:pt>
                <c:pt idx="328">
                  <c:v>35536</c:v>
                </c:pt>
                <c:pt idx="329">
                  <c:v>35537</c:v>
                </c:pt>
                <c:pt idx="330">
                  <c:v>35541</c:v>
                </c:pt>
                <c:pt idx="331">
                  <c:v>35542</c:v>
                </c:pt>
                <c:pt idx="332">
                  <c:v>35543</c:v>
                </c:pt>
                <c:pt idx="333">
                  <c:v>35544</c:v>
                </c:pt>
                <c:pt idx="334">
                  <c:v>35545</c:v>
                </c:pt>
                <c:pt idx="335">
                  <c:v>35548</c:v>
                </c:pt>
                <c:pt idx="336">
                  <c:v>35549</c:v>
                </c:pt>
                <c:pt idx="337">
                  <c:v>35550</c:v>
                </c:pt>
                <c:pt idx="338">
                  <c:v>35552</c:v>
                </c:pt>
                <c:pt idx="339">
                  <c:v>35555</c:v>
                </c:pt>
                <c:pt idx="340">
                  <c:v>35556</c:v>
                </c:pt>
                <c:pt idx="341">
                  <c:v>35557</c:v>
                </c:pt>
                <c:pt idx="342">
                  <c:v>35559</c:v>
                </c:pt>
                <c:pt idx="343">
                  <c:v>35562</c:v>
                </c:pt>
                <c:pt idx="344">
                  <c:v>35563</c:v>
                </c:pt>
                <c:pt idx="345">
                  <c:v>35564</c:v>
                </c:pt>
                <c:pt idx="346">
                  <c:v>35565</c:v>
                </c:pt>
                <c:pt idx="347">
                  <c:v>35566</c:v>
                </c:pt>
                <c:pt idx="348">
                  <c:v>35569</c:v>
                </c:pt>
                <c:pt idx="349">
                  <c:v>35570</c:v>
                </c:pt>
                <c:pt idx="350">
                  <c:v>35572</c:v>
                </c:pt>
                <c:pt idx="351">
                  <c:v>35573</c:v>
                </c:pt>
                <c:pt idx="352">
                  <c:v>35576</c:v>
                </c:pt>
                <c:pt idx="353">
                  <c:v>35577</c:v>
                </c:pt>
                <c:pt idx="354">
                  <c:v>35578</c:v>
                </c:pt>
                <c:pt idx="355">
                  <c:v>35579</c:v>
                </c:pt>
                <c:pt idx="356">
                  <c:v>35580</c:v>
                </c:pt>
                <c:pt idx="357">
                  <c:v>35583</c:v>
                </c:pt>
                <c:pt idx="358">
                  <c:v>35584</c:v>
                </c:pt>
                <c:pt idx="359">
                  <c:v>35585</c:v>
                </c:pt>
                <c:pt idx="360">
                  <c:v>35586</c:v>
                </c:pt>
                <c:pt idx="361">
                  <c:v>35587</c:v>
                </c:pt>
                <c:pt idx="362">
                  <c:v>35590</c:v>
                </c:pt>
                <c:pt idx="363">
                  <c:v>35591</c:v>
                </c:pt>
                <c:pt idx="364">
                  <c:v>35592</c:v>
                </c:pt>
                <c:pt idx="365">
                  <c:v>35593</c:v>
                </c:pt>
                <c:pt idx="366">
                  <c:v>35594</c:v>
                </c:pt>
                <c:pt idx="367">
                  <c:v>35597</c:v>
                </c:pt>
                <c:pt idx="368">
                  <c:v>35598</c:v>
                </c:pt>
                <c:pt idx="369">
                  <c:v>35599</c:v>
                </c:pt>
                <c:pt idx="370">
                  <c:v>35600</c:v>
                </c:pt>
                <c:pt idx="371">
                  <c:v>35601</c:v>
                </c:pt>
                <c:pt idx="372">
                  <c:v>35604</c:v>
                </c:pt>
                <c:pt idx="373">
                  <c:v>35605</c:v>
                </c:pt>
                <c:pt idx="374">
                  <c:v>35606</c:v>
                </c:pt>
                <c:pt idx="375">
                  <c:v>35607</c:v>
                </c:pt>
                <c:pt idx="376">
                  <c:v>35608</c:v>
                </c:pt>
                <c:pt idx="377">
                  <c:v>35611</c:v>
                </c:pt>
                <c:pt idx="378">
                  <c:v>35612</c:v>
                </c:pt>
                <c:pt idx="379">
                  <c:v>35613</c:v>
                </c:pt>
                <c:pt idx="380">
                  <c:v>35614</c:v>
                </c:pt>
                <c:pt idx="381">
                  <c:v>35615</c:v>
                </c:pt>
                <c:pt idx="382">
                  <c:v>35618</c:v>
                </c:pt>
                <c:pt idx="383">
                  <c:v>35619</c:v>
                </c:pt>
                <c:pt idx="384">
                  <c:v>35620</c:v>
                </c:pt>
                <c:pt idx="385">
                  <c:v>35621</c:v>
                </c:pt>
                <c:pt idx="386">
                  <c:v>35622</c:v>
                </c:pt>
                <c:pt idx="387">
                  <c:v>35625</c:v>
                </c:pt>
                <c:pt idx="388">
                  <c:v>35626</c:v>
                </c:pt>
                <c:pt idx="389">
                  <c:v>35627</c:v>
                </c:pt>
                <c:pt idx="390">
                  <c:v>35629</c:v>
                </c:pt>
                <c:pt idx="391">
                  <c:v>35632</c:v>
                </c:pt>
                <c:pt idx="392">
                  <c:v>35633</c:v>
                </c:pt>
                <c:pt idx="393">
                  <c:v>35634</c:v>
                </c:pt>
                <c:pt idx="394">
                  <c:v>35635</c:v>
                </c:pt>
                <c:pt idx="395">
                  <c:v>35636</c:v>
                </c:pt>
                <c:pt idx="396">
                  <c:v>35639</c:v>
                </c:pt>
                <c:pt idx="397">
                  <c:v>35640</c:v>
                </c:pt>
                <c:pt idx="398">
                  <c:v>35641</c:v>
                </c:pt>
                <c:pt idx="399">
                  <c:v>35642</c:v>
                </c:pt>
                <c:pt idx="400">
                  <c:v>35643</c:v>
                </c:pt>
                <c:pt idx="401">
                  <c:v>35646</c:v>
                </c:pt>
                <c:pt idx="402">
                  <c:v>35647</c:v>
                </c:pt>
                <c:pt idx="403">
                  <c:v>35648</c:v>
                </c:pt>
                <c:pt idx="404">
                  <c:v>35649</c:v>
                </c:pt>
                <c:pt idx="405">
                  <c:v>35650</c:v>
                </c:pt>
                <c:pt idx="406">
                  <c:v>35653</c:v>
                </c:pt>
                <c:pt idx="407">
                  <c:v>35654</c:v>
                </c:pt>
                <c:pt idx="408">
                  <c:v>35655</c:v>
                </c:pt>
                <c:pt idx="409">
                  <c:v>35656</c:v>
                </c:pt>
                <c:pt idx="410">
                  <c:v>35657</c:v>
                </c:pt>
                <c:pt idx="411">
                  <c:v>35660</c:v>
                </c:pt>
                <c:pt idx="412">
                  <c:v>35661</c:v>
                </c:pt>
                <c:pt idx="413">
                  <c:v>35662</c:v>
                </c:pt>
                <c:pt idx="414">
                  <c:v>35663</c:v>
                </c:pt>
                <c:pt idx="415">
                  <c:v>35664</c:v>
                </c:pt>
                <c:pt idx="416">
                  <c:v>35667</c:v>
                </c:pt>
                <c:pt idx="417">
                  <c:v>35668</c:v>
                </c:pt>
                <c:pt idx="418">
                  <c:v>35669</c:v>
                </c:pt>
                <c:pt idx="419">
                  <c:v>35670</c:v>
                </c:pt>
                <c:pt idx="420">
                  <c:v>35671</c:v>
                </c:pt>
                <c:pt idx="421">
                  <c:v>35675</c:v>
                </c:pt>
                <c:pt idx="422">
                  <c:v>35676</c:v>
                </c:pt>
                <c:pt idx="423">
                  <c:v>35677</c:v>
                </c:pt>
                <c:pt idx="424">
                  <c:v>35678</c:v>
                </c:pt>
                <c:pt idx="425">
                  <c:v>35681</c:v>
                </c:pt>
                <c:pt idx="426">
                  <c:v>35682</c:v>
                </c:pt>
                <c:pt idx="427">
                  <c:v>35683</c:v>
                </c:pt>
                <c:pt idx="428">
                  <c:v>35684</c:v>
                </c:pt>
                <c:pt idx="429">
                  <c:v>35685</c:v>
                </c:pt>
                <c:pt idx="430">
                  <c:v>35688</c:v>
                </c:pt>
                <c:pt idx="431">
                  <c:v>35689</c:v>
                </c:pt>
                <c:pt idx="432">
                  <c:v>35690</c:v>
                </c:pt>
                <c:pt idx="433">
                  <c:v>35691</c:v>
                </c:pt>
                <c:pt idx="434">
                  <c:v>35692</c:v>
                </c:pt>
                <c:pt idx="435">
                  <c:v>35695</c:v>
                </c:pt>
                <c:pt idx="436">
                  <c:v>35696</c:v>
                </c:pt>
                <c:pt idx="437">
                  <c:v>35697</c:v>
                </c:pt>
                <c:pt idx="438">
                  <c:v>35698</c:v>
                </c:pt>
                <c:pt idx="439">
                  <c:v>35699</c:v>
                </c:pt>
                <c:pt idx="440">
                  <c:v>35702</c:v>
                </c:pt>
                <c:pt idx="441">
                  <c:v>35703</c:v>
                </c:pt>
                <c:pt idx="442">
                  <c:v>35704</c:v>
                </c:pt>
                <c:pt idx="443">
                  <c:v>35705</c:v>
                </c:pt>
                <c:pt idx="444">
                  <c:v>35706</c:v>
                </c:pt>
                <c:pt idx="445">
                  <c:v>35709</c:v>
                </c:pt>
                <c:pt idx="446">
                  <c:v>35710</c:v>
                </c:pt>
                <c:pt idx="447">
                  <c:v>35711</c:v>
                </c:pt>
                <c:pt idx="448">
                  <c:v>35712</c:v>
                </c:pt>
                <c:pt idx="449">
                  <c:v>35713</c:v>
                </c:pt>
                <c:pt idx="450">
                  <c:v>35716</c:v>
                </c:pt>
                <c:pt idx="451">
                  <c:v>35717</c:v>
                </c:pt>
                <c:pt idx="452">
                  <c:v>35718</c:v>
                </c:pt>
                <c:pt idx="453">
                  <c:v>35719</c:v>
                </c:pt>
                <c:pt idx="454">
                  <c:v>35720</c:v>
                </c:pt>
                <c:pt idx="455">
                  <c:v>35723</c:v>
                </c:pt>
                <c:pt idx="456">
                  <c:v>35724</c:v>
                </c:pt>
                <c:pt idx="457">
                  <c:v>35725</c:v>
                </c:pt>
                <c:pt idx="458">
                  <c:v>35726</c:v>
                </c:pt>
                <c:pt idx="459">
                  <c:v>35727</c:v>
                </c:pt>
                <c:pt idx="460">
                  <c:v>35730</c:v>
                </c:pt>
                <c:pt idx="461">
                  <c:v>35731</c:v>
                </c:pt>
                <c:pt idx="462">
                  <c:v>35732</c:v>
                </c:pt>
                <c:pt idx="463">
                  <c:v>35734</c:v>
                </c:pt>
                <c:pt idx="464">
                  <c:v>35737</c:v>
                </c:pt>
                <c:pt idx="465">
                  <c:v>35738</c:v>
                </c:pt>
                <c:pt idx="466">
                  <c:v>35739</c:v>
                </c:pt>
                <c:pt idx="467">
                  <c:v>35740</c:v>
                </c:pt>
                <c:pt idx="468">
                  <c:v>35741</c:v>
                </c:pt>
                <c:pt idx="469">
                  <c:v>35744</c:v>
                </c:pt>
                <c:pt idx="470">
                  <c:v>35745</c:v>
                </c:pt>
                <c:pt idx="471">
                  <c:v>35746</c:v>
                </c:pt>
                <c:pt idx="472">
                  <c:v>35747</c:v>
                </c:pt>
                <c:pt idx="473">
                  <c:v>35748</c:v>
                </c:pt>
                <c:pt idx="474">
                  <c:v>35751</c:v>
                </c:pt>
                <c:pt idx="475">
                  <c:v>35752</c:v>
                </c:pt>
                <c:pt idx="476">
                  <c:v>35753</c:v>
                </c:pt>
                <c:pt idx="477">
                  <c:v>35754</c:v>
                </c:pt>
                <c:pt idx="478">
                  <c:v>35755</c:v>
                </c:pt>
                <c:pt idx="479">
                  <c:v>35758</c:v>
                </c:pt>
                <c:pt idx="480">
                  <c:v>35759</c:v>
                </c:pt>
                <c:pt idx="481">
                  <c:v>35760</c:v>
                </c:pt>
                <c:pt idx="482">
                  <c:v>35761</c:v>
                </c:pt>
                <c:pt idx="483">
                  <c:v>35762</c:v>
                </c:pt>
                <c:pt idx="484">
                  <c:v>35765</c:v>
                </c:pt>
                <c:pt idx="485">
                  <c:v>35766</c:v>
                </c:pt>
                <c:pt idx="486">
                  <c:v>35767</c:v>
                </c:pt>
                <c:pt idx="487">
                  <c:v>35768</c:v>
                </c:pt>
                <c:pt idx="488">
                  <c:v>35769</c:v>
                </c:pt>
                <c:pt idx="489">
                  <c:v>35772</c:v>
                </c:pt>
                <c:pt idx="490">
                  <c:v>35773</c:v>
                </c:pt>
                <c:pt idx="491">
                  <c:v>35774</c:v>
                </c:pt>
                <c:pt idx="492">
                  <c:v>35775</c:v>
                </c:pt>
                <c:pt idx="493">
                  <c:v>35776</c:v>
                </c:pt>
                <c:pt idx="494">
                  <c:v>35779</c:v>
                </c:pt>
                <c:pt idx="495">
                  <c:v>35780</c:v>
                </c:pt>
                <c:pt idx="496">
                  <c:v>35781</c:v>
                </c:pt>
                <c:pt idx="497">
                  <c:v>35782</c:v>
                </c:pt>
                <c:pt idx="498">
                  <c:v>35783</c:v>
                </c:pt>
                <c:pt idx="499">
                  <c:v>35786</c:v>
                </c:pt>
                <c:pt idx="500">
                  <c:v>35787</c:v>
                </c:pt>
                <c:pt idx="501">
                  <c:v>35788</c:v>
                </c:pt>
                <c:pt idx="502">
                  <c:v>35790</c:v>
                </c:pt>
                <c:pt idx="503">
                  <c:v>35793</c:v>
                </c:pt>
                <c:pt idx="504">
                  <c:v>35794</c:v>
                </c:pt>
                <c:pt idx="505">
                  <c:v>35795</c:v>
                </c:pt>
              </c:numCache>
            </c:numRef>
          </c:cat>
          <c:val>
            <c:numRef>
              <c:f>[2]DATA!$B$4:$B$509</c:f>
              <c:numCache>
                <c:formatCode>General</c:formatCode>
                <c:ptCount val="506"/>
                <c:pt idx="0">
                  <c:v>76</c:v>
                </c:pt>
                <c:pt idx="1">
                  <c:v>95</c:v>
                </c:pt>
                <c:pt idx="2">
                  <c:v>133</c:v>
                </c:pt>
                <c:pt idx="3">
                  <c:v>146</c:v>
                </c:pt>
                <c:pt idx="4">
                  <c:v>193</c:v>
                </c:pt>
                <c:pt idx="5">
                  <c:v>213</c:v>
                </c:pt>
                <c:pt idx="6">
                  <c:v>211</c:v>
                </c:pt>
                <c:pt idx="7">
                  <c:v>198</c:v>
                </c:pt>
                <c:pt idx="8">
                  <c:v>200</c:v>
                </c:pt>
                <c:pt idx="9">
                  <c:v>69</c:v>
                </c:pt>
                <c:pt idx="10">
                  <c:v>78</c:v>
                </c:pt>
                <c:pt idx="11">
                  <c:v>116</c:v>
                </c:pt>
                <c:pt idx="12">
                  <c:v>171</c:v>
                </c:pt>
                <c:pt idx="13">
                  <c:v>182</c:v>
                </c:pt>
                <c:pt idx="14">
                  <c:v>182</c:v>
                </c:pt>
                <c:pt idx="15">
                  <c:v>183</c:v>
                </c:pt>
                <c:pt idx="16">
                  <c:v>175</c:v>
                </c:pt>
                <c:pt idx="17">
                  <c:v>189</c:v>
                </c:pt>
                <c:pt idx="18">
                  <c:v>204</c:v>
                </c:pt>
                <c:pt idx="19">
                  <c:v>218</c:v>
                </c:pt>
                <c:pt idx="20">
                  <c:v>223</c:v>
                </c:pt>
                <c:pt idx="21">
                  <c:v>213</c:v>
                </c:pt>
                <c:pt idx="22">
                  <c:v>210</c:v>
                </c:pt>
                <c:pt idx="23">
                  <c:v>239</c:v>
                </c:pt>
                <c:pt idx="24">
                  <c:v>264</c:v>
                </c:pt>
                <c:pt idx="25">
                  <c:v>242</c:v>
                </c:pt>
                <c:pt idx="26">
                  <c:v>338</c:v>
                </c:pt>
                <c:pt idx="27">
                  <c:v>354</c:v>
                </c:pt>
                <c:pt idx="28">
                  <c:v>347</c:v>
                </c:pt>
                <c:pt idx="29">
                  <c:v>400</c:v>
                </c:pt>
                <c:pt idx="30">
                  <c:v>398</c:v>
                </c:pt>
                <c:pt idx="31">
                  <c:v>316</c:v>
                </c:pt>
                <c:pt idx="32">
                  <c:v>348</c:v>
                </c:pt>
                <c:pt idx="33">
                  <c:v>358</c:v>
                </c:pt>
                <c:pt idx="34">
                  <c:v>374</c:v>
                </c:pt>
                <c:pt idx="35">
                  <c:v>385</c:v>
                </c:pt>
                <c:pt idx="36">
                  <c:v>394</c:v>
                </c:pt>
                <c:pt idx="37">
                  <c:v>404</c:v>
                </c:pt>
                <c:pt idx="38">
                  <c:v>462</c:v>
                </c:pt>
                <c:pt idx="39">
                  <c:v>466</c:v>
                </c:pt>
                <c:pt idx="40">
                  <c:v>479</c:v>
                </c:pt>
                <c:pt idx="41">
                  <c:v>515</c:v>
                </c:pt>
                <c:pt idx="42">
                  <c:v>556</c:v>
                </c:pt>
                <c:pt idx="43">
                  <c:v>598</c:v>
                </c:pt>
                <c:pt idx="44">
                  <c:v>673</c:v>
                </c:pt>
                <c:pt idx="45">
                  <c:v>671</c:v>
                </c:pt>
                <c:pt idx="46">
                  <c:v>527</c:v>
                </c:pt>
                <c:pt idx="47">
                  <c:v>578</c:v>
                </c:pt>
                <c:pt idx="48">
                  <c:v>546</c:v>
                </c:pt>
                <c:pt idx="49">
                  <c:v>559</c:v>
                </c:pt>
                <c:pt idx="50">
                  <c:v>678</c:v>
                </c:pt>
                <c:pt idx="51">
                  <c:v>705</c:v>
                </c:pt>
                <c:pt idx="52">
                  <c:v>660</c:v>
                </c:pt>
                <c:pt idx="53">
                  <c:v>649</c:v>
                </c:pt>
                <c:pt idx="54">
                  <c:v>630</c:v>
                </c:pt>
                <c:pt idx="55">
                  <c:v>642</c:v>
                </c:pt>
                <c:pt idx="56">
                  <c:v>669</c:v>
                </c:pt>
                <c:pt idx="57">
                  <c:v>596</c:v>
                </c:pt>
                <c:pt idx="58">
                  <c:v>602</c:v>
                </c:pt>
                <c:pt idx="59">
                  <c:v>597</c:v>
                </c:pt>
                <c:pt idx="60">
                  <c:v>603</c:v>
                </c:pt>
                <c:pt idx="61">
                  <c:v>676</c:v>
                </c:pt>
                <c:pt idx="62">
                  <c:v>711</c:v>
                </c:pt>
                <c:pt idx="63">
                  <c:v>768</c:v>
                </c:pt>
                <c:pt idx="64">
                  <c:v>898</c:v>
                </c:pt>
                <c:pt idx="65">
                  <c:v>969</c:v>
                </c:pt>
                <c:pt idx="66">
                  <c:v>1002</c:v>
                </c:pt>
                <c:pt idx="67">
                  <c:v>689</c:v>
                </c:pt>
                <c:pt idx="68">
                  <c:v>755</c:v>
                </c:pt>
                <c:pt idx="69">
                  <c:v>843</c:v>
                </c:pt>
                <c:pt idx="70">
                  <c:v>840</c:v>
                </c:pt>
                <c:pt idx="71">
                  <c:v>846</c:v>
                </c:pt>
                <c:pt idx="72">
                  <c:v>841</c:v>
                </c:pt>
                <c:pt idx="73">
                  <c:v>895</c:v>
                </c:pt>
                <c:pt idx="74">
                  <c:v>937</c:v>
                </c:pt>
                <c:pt idx="75">
                  <c:v>951</c:v>
                </c:pt>
                <c:pt idx="76">
                  <c:v>987</c:v>
                </c:pt>
                <c:pt idx="77">
                  <c:v>1001</c:v>
                </c:pt>
                <c:pt idx="78">
                  <c:v>1040</c:v>
                </c:pt>
                <c:pt idx="79">
                  <c:v>1047</c:v>
                </c:pt>
                <c:pt idx="80">
                  <c:v>1071</c:v>
                </c:pt>
                <c:pt idx="81">
                  <c:v>1070</c:v>
                </c:pt>
                <c:pt idx="82">
                  <c:v>1103</c:v>
                </c:pt>
                <c:pt idx="83">
                  <c:v>1137</c:v>
                </c:pt>
                <c:pt idx="84">
                  <c:v>1183</c:v>
                </c:pt>
                <c:pt idx="85">
                  <c:v>1336</c:v>
                </c:pt>
                <c:pt idx="86">
                  <c:v>1385</c:v>
                </c:pt>
                <c:pt idx="87">
                  <c:v>1322</c:v>
                </c:pt>
                <c:pt idx="88">
                  <c:v>987</c:v>
                </c:pt>
                <c:pt idx="89">
                  <c:v>1032</c:v>
                </c:pt>
                <c:pt idx="90">
                  <c:v>1051</c:v>
                </c:pt>
                <c:pt idx="91">
                  <c:v>1108</c:v>
                </c:pt>
                <c:pt idx="92">
                  <c:v>1147</c:v>
                </c:pt>
                <c:pt idx="93">
                  <c:v>1200</c:v>
                </c:pt>
                <c:pt idx="94">
                  <c:v>1257</c:v>
                </c:pt>
                <c:pt idx="95">
                  <c:v>1284</c:v>
                </c:pt>
                <c:pt idx="96">
                  <c:v>1355</c:v>
                </c:pt>
                <c:pt idx="97">
                  <c:v>1343</c:v>
                </c:pt>
                <c:pt idx="98">
                  <c:v>1362</c:v>
                </c:pt>
                <c:pt idx="99">
                  <c:v>1410</c:v>
                </c:pt>
                <c:pt idx="100">
                  <c:v>1457</c:v>
                </c:pt>
                <c:pt idx="101">
                  <c:v>1456</c:v>
                </c:pt>
                <c:pt idx="102">
                  <c:v>1508</c:v>
                </c:pt>
                <c:pt idx="103">
                  <c:v>1652</c:v>
                </c:pt>
                <c:pt idx="104">
                  <c:v>1737</c:v>
                </c:pt>
                <c:pt idx="105">
                  <c:v>1765</c:v>
                </c:pt>
                <c:pt idx="106">
                  <c:v>1944</c:v>
                </c:pt>
                <c:pt idx="107">
                  <c:v>1867</c:v>
                </c:pt>
                <c:pt idx="108">
                  <c:v>1138</c:v>
                </c:pt>
                <c:pt idx="109">
                  <c:v>1254</c:v>
                </c:pt>
                <c:pt idx="110">
                  <c:v>1442</c:v>
                </c:pt>
                <c:pt idx="111">
                  <c:v>1411</c:v>
                </c:pt>
                <c:pt idx="112">
                  <c:v>1450</c:v>
                </c:pt>
                <c:pt idx="113">
                  <c:v>1465</c:v>
                </c:pt>
                <c:pt idx="114">
                  <c:v>1454</c:v>
                </c:pt>
                <c:pt idx="115">
                  <c:v>1478</c:v>
                </c:pt>
                <c:pt idx="116">
                  <c:v>1575</c:v>
                </c:pt>
                <c:pt idx="117">
                  <c:v>1614</c:v>
                </c:pt>
                <c:pt idx="118">
                  <c:v>1653</c:v>
                </c:pt>
                <c:pt idx="119">
                  <c:v>1610</c:v>
                </c:pt>
                <c:pt idx="120">
                  <c:v>1611</c:v>
                </c:pt>
                <c:pt idx="121">
                  <c:v>1598</c:v>
                </c:pt>
                <c:pt idx="122">
                  <c:v>1574</c:v>
                </c:pt>
                <c:pt idx="123">
                  <c:v>1615</c:v>
                </c:pt>
                <c:pt idx="124">
                  <c:v>1601</c:v>
                </c:pt>
                <c:pt idx="125">
                  <c:v>1640</c:v>
                </c:pt>
                <c:pt idx="126">
                  <c:v>1663</c:v>
                </c:pt>
                <c:pt idx="127">
                  <c:v>1479</c:v>
                </c:pt>
                <c:pt idx="128">
                  <c:v>1333</c:v>
                </c:pt>
                <c:pt idx="129">
                  <c:v>1358</c:v>
                </c:pt>
                <c:pt idx="130">
                  <c:v>1396</c:v>
                </c:pt>
                <c:pt idx="131">
                  <c:v>1451</c:v>
                </c:pt>
                <c:pt idx="132">
                  <c:v>1479</c:v>
                </c:pt>
                <c:pt idx="133">
                  <c:v>1465</c:v>
                </c:pt>
                <c:pt idx="134">
                  <c:v>1438</c:v>
                </c:pt>
                <c:pt idx="135">
                  <c:v>1449</c:v>
                </c:pt>
                <c:pt idx="136">
                  <c:v>1466</c:v>
                </c:pt>
                <c:pt idx="137">
                  <c:v>1475</c:v>
                </c:pt>
                <c:pt idx="138">
                  <c:v>1541</c:v>
                </c:pt>
                <c:pt idx="139">
                  <c:v>1514</c:v>
                </c:pt>
                <c:pt idx="140">
                  <c:v>1384</c:v>
                </c:pt>
                <c:pt idx="141">
                  <c:v>1461</c:v>
                </c:pt>
                <c:pt idx="142">
                  <c:v>1464</c:v>
                </c:pt>
                <c:pt idx="143">
                  <c:v>1480</c:v>
                </c:pt>
                <c:pt idx="144">
                  <c:v>1612</c:v>
                </c:pt>
                <c:pt idx="145">
                  <c:v>1791</c:v>
                </c:pt>
                <c:pt idx="146">
                  <c:v>1684</c:v>
                </c:pt>
                <c:pt idx="147">
                  <c:v>1661</c:v>
                </c:pt>
                <c:pt idx="148">
                  <c:v>1618</c:v>
                </c:pt>
                <c:pt idx="149">
                  <c:v>1992</c:v>
                </c:pt>
                <c:pt idx="150">
                  <c:v>1507</c:v>
                </c:pt>
                <c:pt idx="151">
                  <c:v>1565</c:v>
                </c:pt>
                <c:pt idx="152">
                  <c:v>1607</c:v>
                </c:pt>
                <c:pt idx="153">
                  <c:v>1645</c:v>
                </c:pt>
                <c:pt idx="154">
                  <c:v>1640</c:v>
                </c:pt>
                <c:pt idx="155">
                  <c:v>1577</c:v>
                </c:pt>
                <c:pt idx="156">
                  <c:v>1609</c:v>
                </c:pt>
                <c:pt idx="157">
                  <c:v>1577</c:v>
                </c:pt>
                <c:pt idx="158">
                  <c:v>1577</c:v>
                </c:pt>
                <c:pt idx="159">
                  <c:v>1560</c:v>
                </c:pt>
                <c:pt idx="160">
                  <c:v>1583</c:v>
                </c:pt>
                <c:pt idx="161">
                  <c:v>1597</c:v>
                </c:pt>
                <c:pt idx="162">
                  <c:v>1629</c:v>
                </c:pt>
                <c:pt idx="163">
                  <c:v>1664</c:v>
                </c:pt>
                <c:pt idx="164">
                  <c:v>1720</c:v>
                </c:pt>
                <c:pt idx="165">
                  <c:v>1942</c:v>
                </c:pt>
                <c:pt idx="166">
                  <c:v>1781</c:v>
                </c:pt>
                <c:pt idx="167">
                  <c:v>1827</c:v>
                </c:pt>
                <c:pt idx="168">
                  <c:v>1733</c:v>
                </c:pt>
                <c:pt idx="169">
                  <c:v>1794</c:v>
                </c:pt>
                <c:pt idx="170">
                  <c:v>1755</c:v>
                </c:pt>
                <c:pt idx="171">
                  <c:v>1839</c:v>
                </c:pt>
                <c:pt idx="172">
                  <c:v>1388</c:v>
                </c:pt>
                <c:pt idx="173">
                  <c:v>1417</c:v>
                </c:pt>
                <c:pt idx="174">
                  <c:v>1520</c:v>
                </c:pt>
                <c:pt idx="175">
                  <c:v>1530</c:v>
                </c:pt>
                <c:pt idx="176">
                  <c:v>1371</c:v>
                </c:pt>
                <c:pt idx="177">
                  <c:v>1444</c:v>
                </c:pt>
                <c:pt idx="178">
                  <c:v>1462</c:v>
                </c:pt>
                <c:pt idx="179">
                  <c:v>1509</c:v>
                </c:pt>
                <c:pt idx="180">
                  <c:v>1508</c:v>
                </c:pt>
                <c:pt idx="181">
                  <c:v>1507</c:v>
                </c:pt>
                <c:pt idx="182">
                  <c:v>1577</c:v>
                </c:pt>
                <c:pt idx="183">
                  <c:v>1588</c:v>
                </c:pt>
                <c:pt idx="184">
                  <c:v>1751</c:v>
                </c:pt>
                <c:pt idx="185">
                  <c:v>1776</c:v>
                </c:pt>
                <c:pt idx="186">
                  <c:v>1692</c:v>
                </c:pt>
                <c:pt idx="187">
                  <c:v>1748</c:v>
                </c:pt>
                <c:pt idx="188">
                  <c:v>1731</c:v>
                </c:pt>
                <c:pt idx="189">
                  <c:v>1709</c:v>
                </c:pt>
                <c:pt idx="190">
                  <c:v>1741</c:v>
                </c:pt>
                <c:pt idx="191">
                  <c:v>1789</c:v>
                </c:pt>
                <c:pt idx="192">
                  <c:v>1788</c:v>
                </c:pt>
                <c:pt idx="193">
                  <c:v>1533</c:v>
                </c:pt>
                <c:pt idx="194">
                  <c:v>1639</c:v>
                </c:pt>
                <c:pt idx="195">
                  <c:v>1732</c:v>
                </c:pt>
                <c:pt idx="196">
                  <c:v>1805</c:v>
                </c:pt>
                <c:pt idx="197">
                  <c:v>1838</c:v>
                </c:pt>
                <c:pt idx="198">
                  <c:v>1942</c:v>
                </c:pt>
                <c:pt idx="199">
                  <c:v>2037</c:v>
                </c:pt>
                <c:pt idx="200">
                  <c:v>2192</c:v>
                </c:pt>
                <c:pt idx="201">
                  <c:v>2464</c:v>
                </c:pt>
                <c:pt idx="202">
                  <c:v>2068</c:v>
                </c:pt>
                <c:pt idx="203">
                  <c:v>1883</c:v>
                </c:pt>
                <c:pt idx="204">
                  <c:v>1925</c:v>
                </c:pt>
                <c:pt idx="205">
                  <c:v>1934</c:v>
                </c:pt>
                <c:pt idx="206">
                  <c:v>2045</c:v>
                </c:pt>
                <c:pt idx="207">
                  <c:v>2171</c:v>
                </c:pt>
                <c:pt idx="208">
                  <c:v>2150</c:v>
                </c:pt>
                <c:pt idx="209">
                  <c:v>2246</c:v>
                </c:pt>
                <c:pt idx="210">
                  <c:v>2262</c:v>
                </c:pt>
                <c:pt idx="211">
                  <c:v>2280</c:v>
                </c:pt>
                <c:pt idx="212">
                  <c:v>2304</c:v>
                </c:pt>
                <c:pt idx="213">
                  <c:v>2262</c:v>
                </c:pt>
                <c:pt idx="214">
                  <c:v>2411</c:v>
                </c:pt>
                <c:pt idx="215">
                  <c:v>2122</c:v>
                </c:pt>
                <c:pt idx="216">
                  <c:v>1823</c:v>
                </c:pt>
                <c:pt idx="217">
                  <c:v>1843</c:v>
                </c:pt>
                <c:pt idx="218">
                  <c:v>1857</c:v>
                </c:pt>
                <c:pt idx="219">
                  <c:v>1760</c:v>
                </c:pt>
                <c:pt idx="220">
                  <c:v>1753</c:v>
                </c:pt>
                <c:pt idx="221">
                  <c:v>1804</c:v>
                </c:pt>
                <c:pt idx="222">
                  <c:v>1824</c:v>
                </c:pt>
                <c:pt idx="223">
                  <c:v>1896</c:v>
                </c:pt>
                <c:pt idx="224">
                  <c:v>1964</c:v>
                </c:pt>
                <c:pt idx="225">
                  <c:v>1974</c:v>
                </c:pt>
                <c:pt idx="226">
                  <c:v>1997</c:v>
                </c:pt>
                <c:pt idx="227">
                  <c:v>2010</c:v>
                </c:pt>
                <c:pt idx="228">
                  <c:v>2042</c:v>
                </c:pt>
                <c:pt idx="229">
                  <c:v>2043</c:v>
                </c:pt>
                <c:pt idx="230">
                  <c:v>2062</c:v>
                </c:pt>
                <c:pt idx="231">
                  <c:v>2032</c:v>
                </c:pt>
                <c:pt idx="232">
                  <c:v>2029</c:v>
                </c:pt>
                <c:pt idx="233">
                  <c:v>1996</c:v>
                </c:pt>
                <c:pt idx="234">
                  <c:v>1728</c:v>
                </c:pt>
                <c:pt idx="235">
                  <c:v>1852</c:v>
                </c:pt>
                <c:pt idx="236">
                  <c:v>1169</c:v>
                </c:pt>
                <c:pt idx="237">
                  <c:v>1241</c:v>
                </c:pt>
                <c:pt idx="238">
                  <c:v>1316</c:v>
                </c:pt>
                <c:pt idx="239">
                  <c:v>1345</c:v>
                </c:pt>
                <c:pt idx="240">
                  <c:v>1511</c:v>
                </c:pt>
                <c:pt idx="241">
                  <c:v>1930</c:v>
                </c:pt>
                <c:pt idx="242">
                  <c:v>1803</c:v>
                </c:pt>
                <c:pt idx="243">
                  <c:v>1714</c:v>
                </c:pt>
                <c:pt idx="244">
                  <c:v>1914</c:v>
                </c:pt>
                <c:pt idx="245">
                  <c:v>1943</c:v>
                </c:pt>
                <c:pt idx="246">
                  <c:v>2001</c:v>
                </c:pt>
                <c:pt idx="247">
                  <c:v>1996</c:v>
                </c:pt>
                <c:pt idx="248">
                  <c:v>1890</c:v>
                </c:pt>
                <c:pt idx="249">
                  <c:v>1896</c:v>
                </c:pt>
                <c:pt idx="250">
                  <c:v>1915</c:v>
                </c:pt>
                <c:pt idx="251">
                  <c:v>1766</c:v>
                </c:pt>
                <c:pt idx="252">
                  <c:v>1786</c:v>
                </c:pt>
                <c:pt idx="253">
                  <c:v>2001</c:v>
                </c:pt>
                <c:pt idx="254">
                  <c:v>2045</c:v>
                </c:pt>
                <c:pt idx="255">
                  <c:v>2129</c:v>
                </c:pt>
                <c:pt idx="256">
                  <c:v>1926</c:v>
                </c:pt>
                <c:pt idx="257">
                  <c:v>1312</c:v>
                </c:pt>
                <c:pt idx="258">
                  <c:v>1281</c:v>
                </c:pt>
                <c:pt idx="259">
                  <c:v>1383</c:v>
                </c:pt>
                <c:pt idx="260">
                  <c:v>1399</c:v>
                </c:pt>
                <c:pt idx="261">
                  <c:v>1464</c:v>
                </c:pt>
                <c:pt idx="262">
                  <c:v>1518</c:v>
                </c:pt>
                <c:pt idx="263">
                  <c:v>1611</c:v>
                </c:pt>
                <c:pt idx="264">
                  <c:v>1608</c:v>
                </c:pt>
                <c:pt idx="265">
                  <c:v>1685</c:v>
                </c:pt>
                <c:pt idx="266">
                  <c:v>1683</c:v>
                </c:pt>
                <c:pt idx="267">
                  <c:v>1919</c:v>
                </c:pt>
                <c:pt idx="268">
                  <c:v>1902</c:v>
                </c:pt>
                <c:pt idx="269">
                  <c:v>2018</c:v>
                </c:pt>
                <c:pt idx="270">
                  <c:v>1969</c:v>
                </c:pt>
                <c:pt idx="271">
                  <c:v>2066</c:v>
                </c:pt>
                <c:pt idx="272">
                  <c:v>2048</c:v>
                </c:pt>
                <c:pt idx="273">
                  <c:v>2001</c:v>
                </c:pt>
                <c:pt idx="274">
                  <c:v>2034</c:v>
                </c:pt>
                <c:pt idx="275">
                  <c:v>2214</c:v>
                </c:pt>
                <c:pt idx="276">
                  <c:v>2385</c:v>
                </c:pt>
                <c:pt idx="277">
                  <c:v>2620</c:v>
                </c:pt>
                <c:pt idx="278">
                  <c:v>2615</c:v>
                </c:pt>
                <c:pt idx="279">
                  <c:v>2031</c:v>
                </c:pt>
                <c:pt idx="280">
                  <c:v>1987</c:v>
                </c:pt>
                <c:pt idx="281">
                  <c:v>1957</c:v>
                </c:pt>
                <c:pt idx="282">
                  <c:v>1960</c:v>
                </c:pt>
                <c:pt idx="283">
                  <c:v>1970</c:v>
                </c:pt>
                <c:pt idx="284">
                  <c:v>2071</c:v>
                </c:pt>
                <c:pt idx="285">
                  <c:v>2149</c:v>
                </c:pt>
                <c:pt idx="286">
                  <c:v>2412</c:v>
                </c:pt>
                <c:pt idx="287">
                  <c:v>2565</c:v>
                </c:pt>
                <c:pt idx="288">
                  <c:v>2279</c:v>
                </c:pt>
                <c:pt idx="289">
                  <c:v>2209</c:v>
                </c:pt>
                <c:pt idx="290">
                  <c:v>2436</c:v>
                </c:pt>
                <c:pt idx="291">
                  <c:v>2407</c:v>
                </c:pt>
                <c:pt idx="292">
                  <c:v>2646</c:v>
                </c:pt>
                <c:pt idx="293">
                  <c:v>2561</c:v>
                </c:pt>
                <c:pt idx="294">
                  <c:v>2611</c:v>
                </c:pt>
                <c:pt idx="295">
                  <c:v>1850</c:v>
                </c:pt>
                <c:pt idx="296">
                  <c:v>1988</c:v>
                </c:pt>
                <c:pt idx="297">
                  <c:v>2051</c:v>
                </c:pt>
                <c:pt idx="298">
                  <c:v>2196</c:v>
                </c:pt>
                <c:pt idx="299">
                  <c:v>2032</c:v>
                </c:pt>
                <c:pt idx="300">
                  <c:v>2050</c:v>
                </c:pt>
                <c:pt idx="301">
                  <c:v>2200</c:v>
                </c:pt>
                <c:pt idx="302">
                  <c:v>2517</c:v>
                </c:pt>
                <c:pt idx="303">
                  <c:v>2424</c:v>
                </c:pt>
                <c:pt idx="304">
                  <c:v>2374</c:v>
                </c:pt>
                <c:pt idx="305">
                  <c:v>2407</c:v>
                </c:pt>
                <c:pt idx="306">
                  <c:v>2324</c:v>
                </c:pt>
                <c:pt idx="307">
                  <c:v>2403</c:v>
                </c:pt>
                <c:pt idx="308">
                  <c:v>2444</c:v>
                </c:pt>
                <c:pt idx="309">
                  <c:v>2351</c:v>
                </c:pt>
                <c:pt idx="310">
                  <c:v>2516</c:v>
                </c:pt>
                <c:pt idx="311">
                  <c:v>2644</c:v>
                </c:pt>
                <c:pt idx="312">
                  <c:v>2862</c:v>
                </c:pt>
                <c:pt idx="313">
                  <c:v>2717</c:v>
                </c:pt>
                <c:pt idx="314">
                  <c:v>2771</c:v>
                </c:pt>
                <c:pt idx="315">
                  <c:v>2845</c:v>
                </c:pt>
                <c:pt idx="316">
                  <c:v>2140</c:v>
                </c:pt>
                <c:pt idx="317">
                  <c:v>2320</c:v>
                </c:pt>
                <c:pt idx="318">
                  <c:v>2442</c:v>
                </c:pt>
                <c:pt idx="319">
                  <c:v>2382</c:v>
                </c:pt>
                <c:pt idx="320">
                  <c:v>2497</c:v>
                </c:pt>
                <c:pt idx="321">
                  <c:v>2618</c:v>
                </c:pt>
                <c:pt idx="322">
                  <c:v>2638</c:v>
                </c:pt>
                <c:pt idx="323">
                  <c:v>2713</c:v>
                </c:pt>
                <c:pt idx="324">
                  <c:v>2384</c:v>
                </c:pt>
                <c:pt idx="325">
                  <c:v>2455</c:v>
                </c:pt>
                <c:pt idx="326">
                  <c:v>2530</c:v>
                </c:pt>
                <c:pt idx="327">
                  <c:v>2588</c:v>
                </c:pt>
                <c:pt idx="328">
                  <c:v>2529</c:v>
                </c:pt>
                <c:pt idx="329">
                  <c:v>2590</c:v>
                </c:pt>
                <c:pt idx="330">
                  <c:v>2682</c:v>
                </c:pt>
                <c:pt idx="331">
                  <c:v>2644</c:v>
                </c:pt>
                <c:pt idx="332">
                  <c:v>2539</c:v>
                </c:pt>
                <c:pt idx="333">
                  <c:v>2923</c:v>
                </c:pt>
                <c:pt idx="334">
                  <c:v>2863</c:v>
                </c:pt>
                <c:pt idx="335">
                  <c:v>3161</c:v>
                </c:pt>
                <c:pt idx="336">
                  <c:v>3186</c:v>
                </c:pt>
                <c:pt idx="337">
                  <c:v>2112</c:v>
                </c:pt>
                <c:pt idx="338">
                  <c:v>2117</c:v>
                </c:pt>
                <c:pt idx="339">
                  <c:v>2278</c:v>
                </c:pt>
                <c:pt idx="340">
                  <c:v>2381</c:v>
                </c:pt>
                <c:pt idx="341">
                  <c:v>2477</c:v>
                </c:pt>
                <c:pt idx="342">
                  <c:v>2663</c:v>
                </c:pt>
                <c:pt idx="343">
                  <c:v>2625</c:v>
                </c:pt>
                <c:pt idx="344">
                  <c:v>2648</c:v>
                </c:pt>
                <c:pt idx="345">
                  <c:v>2570</c:v>
                </c:pt>
                <c:pt idx="346">
                  <c:v>3135</c:v>
                </c:pt>
                <c:pt idx="347">
                  <c:v>3451</c:v>
                </c:pt>
                <c:pt idx="348">
                  <c:v>3503</c:v>
                </c:pt>
                <c:pt idx="349">
                  <c:v>3631</c:v>
                </c:pt>
                <c:pt idx="350">
                  <c:v>3619</c:v>
                </c:pt>
                <c:pt idx="351">
                  <c:v>3377</c:v>
                </c:pt>
                <c:pt idx="352">
                  <c:v>3478</c:v>
                </c:pt>
                <c:pt idx="353">
                  <c:v>3902</c:v>
                </c:pt>
                <c:pt idx="354">
                  <c:v>3631</c:v>
                </c:pt>
                <c:pt idx="355">
                  <c:v>3807</c:v>
                </c:pt>
                <c:pt idx="356">
                  <c:v>2859</c:v>
                </c:pt>
                <c:pt idx="357">
                  <c:v>3175</c:v>
                </c:pt>
                <c:pt idx="358">
                  <c:v>3440</c:v>
                </c:pt>
                <c:pt idx="359">
                  <c:v>3026</c:v>
                </c:pt>
                <c:pt idx="360">
                  <c:v>3176</c:v>
                </c:pt>
                <c:pt idx="361">
                  <c:v>3118</c:v>
                </c:pt>
                <c:pt idx="362">
                  <c:v>3095</c:v>
                </c:pt>
                <c:pt idx="363">
                  <c:v>3188</c:v>
                </c:pt>
                <c:pt idx="364">
                  <c:v>3239</c:v>
                </c:pt>
                <c:pt idx="365">
                  <c:v>2551</c:v>
                </c:pt>
                <c:pt idx="366">
                  <c:v>2558</c:v>
                </c:pt>
                <c:pt idx="367">
                  <c:v>2705</c:v>
                </c:pt>
                <c:pt idx="368">
                  <c:v>2708</c:v>
                </c:pt>
                <c:pt idx="369">
                  <c:v>2909</c:v>
                </c:pt>
                <c:pt idx="370">
                  <c:v>2743</c:v>
                </c:pt>
                <c:pt idx="371">
                  <c:v>3030</c:v>
                </c:pt>
                <c:pt idx="372">
                  <c:v>3210</c:v>
                </c:pt>
                <c:pt idx="373">
                  <c:v>3178</c:v>
                </c:pt>
                <c:pt idx="374">
                  <c:v>3395</c:v>
                </c:pt>
                <c:pt idx="375">
                  <c:v>3429</c:v>
                </c:pt>
                <c:pt idx="376">
                  <c:v>3902</c:v>
                </c:pt>
                <c:pt idx="377">
                  <c:v>2604</c:v>
                </c:pt>
                <c:pt idx="378">
                  <c:v>2724</c:v>
                </c:pt>
                <c:pt idx="379">
                  <c:v>2839</c:v>
                </c:pt>
                <c:pt idx="380">
                  <c:v>3043</c:v>
                </c:pt>
                <c:pt idx="381">
                  <c:v>3044</c:v>
                </c:pt>
                <c:pt idx="382">
                  <c:v>3079</c:v>
                </c:pt>
                <c:pt idx="383">
                  <c:v>3074</c:v>
                </c:pt>
                <c:pt idx="384">
                  <c:v>3343</c:v>
                </c:pt>
                <c:pt idx="385">
                  <c:v>3748</c:v>
                </c:pt>
                <c:pt idx="386">
                  <c:v>4298</c:v>
                </c:pt>
                <c:pt idx="387">
                  <c:v>4249</c:v>
                </c:pt>
                <c:pt idx="388">
                  <c:v>3766</c:v>
                </c:pt>
                <c:pt idx="389">
                  <c:v>3966</c:v>
                </c:pt>
                <c:pt idx="390">
                  <c:v>3954</c:v>
                </c:pt>
                <c:pt idx="391">
                  <c:v>3936</c:v>
                </c:pt>
                <c:pt idx="392">
                  <c:v>3875</c:v>
                </c:pt>
                <c:pt idx="393">
                  <c:v>4053</c:v>
                </c:pt>
                <c:pt idx="394">
                  <c:v>4149</c:v>
                </c:pt>
                <c:pt idx="395">
                  <c:v>4264</c:v>
                </c:pt>
                <c:pt idx="396">
                  <c:v>4644</c:v>
                </c:pt>
                <c:pt idx="397">
                  <c:v>3930</c:v>
                </c:pt>
                <c:pt idx="398">
                  <c:v>4419</c:v>
                </c:pt>
                <c:pt idx="399">
                  <c:v>3103</c:v>
                </c:pt>
                <c:pt idx="400">
                  <c:v>3277</c:v>
                </c:pt>
                <c:pt idx="401">
                  <c:v>3609</c:v>
                </c:pt>
                <c:pt idx="402">
                  <c:v>4132</c:v>
                </c:pt>
                <c:pt idx="403">
                  <c:v>4334</c:v>
                </c:pt>
                <c:pt idx="404">
                  <c:v>4622</c:v>
                </c:pt>
                <c:pt idx="405">
                  <c:v>4434</c:v>
                </c:pt>
                <c:pt idx="406">
                  <c:v>4777</c:v>
                </c:pt>
                <c:pt idx="407">
                  <c:v>5133</c:v>
                </c:pt>
                <c:pt idx="408">
                  <c:v>5264</c:v>
                </c:pt>
                <c:pt idx="409">
                  <c:v>5271</c:v>
                </c:pt>
                <c:pt idx="410">
                  <c:v>5490</c:v>
                </c:pt>
                <c:pt idx="411">
                  <c:v>5639</c:v>
                </c:pt>
                <c:pt idx="412">
                  <c:v>5707</c:v>
                </c:pt>
                <c:pt idx="413">
                  <c:v>6476</c:v>
                </c:pt>
                <c:pt idx="414">
                  <c:v>6369</c:v>
                </c:pt>
                <c:pt idx="415">
                  <c:v>6123</c:v>
                </c:pt>
                <c:pt idx="416">
                  <c:v>5722</c:v>
                </c:pt>
                <c:pt idx="417">
                  <c:v>6565</c:v>
                </c:pt>
                <c:pt idx="418">
                  <c:v>6347</c:v>
                </c:pt>
                <c:pt idx="419">
                  <c:v>8982</c:v>
                </c:pt>
                <c:pt idx="420">
                  <c:v>6439</c:v>
                </c:pt>
                <c:pt idx="421">
                  <c:v>8185</c:v>
                </c:pt>
                <c:pt idx="422">
                  <c:v>8334</c:v>
                </c:pt>
                <c:pt idx="423">
                  <c:v>9424</c:v>
                </c:pt>
                <c:pt idx="424">
                  <c:v>8807</c:v>
                </c:pt>
                <c:pt idx="425">
                  <c:v>8390</c:v>
                </c:pt>
                <c:pt idx="426">
                  <c:v>8768</c:v>
                </c:pt>
                <c:pt idx="427">
                  <c:v>8272</c:v>
                </c:pt>
                <c:pt idx="428">
                  <c:v>8879</c:v>
                </c:pt>
                <c:pt idx="429">
                  <c:v>10334</c:v>
                </c:pt>
                <c:pt idx="430">
                  <c:v>10164</c:v>
                </c:pt>
                <c:pt idx="431">
                  <c:v>9374</c:v>
                </c:pt>
                <c:pt idx="432">
                  <c:v>9679</c:v>
                </c:pt>
                <c:pt idx="433">
                  <c:v>8564</c:v>
                </c:pt>
                <c:pt idx="434">
                  <c:v>8893</c:v>
                </c:pt>
                <c:pt idx="435">
                  <c:v>9405</c:v>
                </c:pt>
                <c:pt idx="436">
                  <c:v>9551</c:v>
                </c:pt>
                <c:pt idx="437">
                  <c:v>9597</c:v>
                </c:pt>
                <c:pt idx="438">
                  <c:v>10236</c:v>
                </c:pt>
                <c:pt idx="439">
                  <c:v>10244</c:v>
                </c:pt>
                <c:pt idx="440">
                  <c:v>9822</c:v>
                </c:pt>
                <c:pt idx="441">
                  <c:v>5492</c:v>
                </c:pt>
                <c:pt idx="442">
                  <c:v>6388</c:v>
                </c:pt>
                <c:pt idx="443">
                  <c:v>6844</c:v>
                </c:pt>
                <c:pt idx="444">
                  <c:v>6983</c:v>
                </c:pt>
                <c:pt idx="445">
                  <c:v>7194</c:v>
                </c:pt>
                <c:pt idx="446">
                  <c:v>7057</c:v>
                </c:pt>
                <c:pt idx="447">
                  <c:v>7334</c:v>
                </c:pt>
                <c:pt idx="448">
                  <c:v>7730</c:v>
                </c:pt>
                <c:pt idx="449">
                  <c:v>7910</c:v>
                </c:pt>
                <c:pt idx="450">
                  <c:v>7660</c:v>
                </c:pt>
                <c:pt idx="451">
                  <c:v>7746</c:v>
                </c:pt>
                <c:pt idx="452">
                  <c:v>8489</c:v>
                </c:pt>
                <c:pt idx="453">
                  <c:v>9163</c:v>
                </c:pt>
                <c:pt idx="454">
                  <c:v>9909</c:v>
                </c:pt>
                <c:pt idx="455">
                  <c:v>10899</c:v>
                </c:pt>
                <c:pt idx="456">
                  <c:v>10399</c:v>
                </c:pt>
                <c:pt idx="457">
                  <c:v>10800</c:v>
                </c:pt>
                <c:pt idx="458">
                  <c:v>11986</c:v>
                </c:pt>
                <c:pt idx="459">
                  <c:v>12922</c:v>
                </c:pt>
                <c:pt idx="460">
                  <c:v>12001</c:v>
                </c:pt>
                <c:pt idx="461">
                  <c:v>11946</c:v>
                </c:pt>
                <c:pt idx="462">
                  <c:v>11868</c:v>
                </c:pt>
                <c:pt idx="463">
                  <c:v>8169</c:v>
                </c:pt>
                <c:pt idx="464">
                  <c:v>9263</c:v>
                </c:pt>
                <c:pt idx="465">
                  <c:v>9362</c:v>
                </c:pt>
                <c:pt idx="466">
                  <c:v>8837</c:v>
                </c:pt>
                <c:pt idx="467">
                  <c:v>7541</c:v>
                </c:pt>
                <c:pt idx="468">
                  <c:v>8241</c:v>
                </c:pt>
                <c:pt idx="469">
                  <c:v>8354</c:v>
                </c:pt>
                <c:pt idx="470">
                  <c:v>7812</c:v>
                </c:pt>
                <c:pt idx="471">
                  <c:v>8078</c:v>
                </c:pt>
                <c:pt idx="472">
                  <c:v>8354</c:v>
                </c:pt>
                <c:pt idx="473">
                  <c:v>8025</c:v>
                </c:pt>
                <c:pt idx="474">
                  <c:v>7998</c:v>
                </c:pt>
                <c:pt idx="475">
                  <c:v>8021</c:v>
                </c:pt>
                <c:pt idx="476">
                  <c:v>8646</c:v>
                </c:pt>
                <c:pt idx="477">
                  <c:v>8949</c:v>
                </c:pt>
                <c:pt idx="478">
                  <c:v>9390</c:v>
                </c:pt>
                <c:pt idx="479">
                  <c:v>11093</c:v>
                </c:pt>
                <c:pt idx="480">
                  <c:v>9686</c:v>
                </c:pt>
                <c:pt idx="481">
                  <c:v>10902</c:v>
                </c:pt>
                <c:pt idx="482">
                  <c:v>10715</c:v>
                </c:pt>
                <c:pt idx="483">
                  <c:v>8089</c:v>
                </c:pt>
                <c:pt idx="484">
                  <c:v>7487</c:v>
                </c:pt>
                <c:pt idx="485">
                  <c:v>8314</c:v>
                </c:pt>
                <c:pt idx="486">
                  <c:v>9094</c:v>
                </c:pt>
                <c:pt idx="487">
                  <c:v>9342</c:v>
                </c:pt>
                <c:pt idx="488">
                  <c:v>10508</c:v>
                </c:pt>
                <c:pt idx="489">
                  <c:v>11511</c:v>
                </c:pt>
                <c:pt idx="490">
                  <c:v>11170</c:v>
                </c:pt>
                <c:pt idx="491">
                  <c:v>11219</c:v>
                </c:pt>
                <c:pt idx="492">
                  <c:v>9421</c:v>
                </c:pt>
                <c:pt idx="493">
                  <c:v>10060</c:v>
                </c:pt>
                <c:pt idx="494">
                  <c:v>9725</c:v>
                </c:pt>
                <c:pt idx="495">
                  <c:v>10050</c:v>
                </c:pt>
                <c:pt idx="496">
                  <c:v>11511</c:v>
                </c:pt>
                <c:pt idx="497">
                  <c:v>11793</c:v>
                </c:pt>
                <c:pt idx="498">
                  <c:v>11090</c:v>
                </c:pt>
                <c:pt idx="499">
                  <c:v>11489</c:v>
                </c:pt>
                <c:pt idx="500">
                  <c:v>13165</c:v>
                </c:pt>
                <c:pt idx="501">
                  <c:v>13470</c:v>
                </c:pt>
                <c:pt idx="502">
                  <c:v>12481</c:v>
                </c:pt>
                <c:pt idx="503">
                  <c:v>11811</c:v>
                </c:pt>
                <c:pt idx="504">
                  <c:v>11482</c:v>
                </c:pt>
                <c:pt idx="505">
                  <c:v>7614</c:v>
                </c:pt>
              </c:numCache>
            </c:numRef>
          </c:val>
        </c:ser>
        <c:marker val="1"/>
        <c:axId val="133450752"/>
        <c:axId val="133608192"/>
      </c:lineChart>
      <c:catAx>
        <c:axId val="1334507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08192"/>
        <c:crosses val="autoZero"/>
        <c:lblAlgn val="ctr"/>
        <c:lblOffset val="100"/>
        <c:tickLblSkip val="16"/>
        <c:tickMarkSkip val="1"/>
      </c:catAx>
      <c:valAx>
        <c:axId val="133608192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50752"/>
        <c:crosses val="autoZero"/>
        <c:crossBetween val="midCat"/>
        <c:majorUnit val="2000"/>
      </c:valAx>
      <c:catAx>
        <c:axId val="133610112"/>
        <c:scaling>
          <c:orientation val="minMax"/>
        </c:scaling>
        <c:delete val="1"/>
        <c:axPos val="b"/>
        <c:numFmt formatCode="General" sourceLinked="1"/>
        <c:tickLblPos val="nextTo"/>
        <c:crossAx val="133611904"/>
        <c:crosses val="autoZero"/>
        <c:lblAlgn val="ctr"/>
        <c:lblOffset val="100"/>
      </c:catAx>
      <c:valAx>
        <c:axId val="133611904"/>
        <c:scaling>
          <c:orientation val="minMax"/>
        </c:scaling>
        <c:delete val="1"/>
        <c:axPos val="l"/>
        <c:numFmt formatCode="General" sourceLinked="1"/>
        <c:tickLblPos val="nextTo"/>
        <c:crossAx val="1336101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-4" verticalDpi="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517368384867306E-2"/>
          <c:y val="6.8669527896995722E-2"/>
          <c:w val="0.81896666633927462"/>
          <c:h val="0.6866952789699573"/>
        </c:manualLayout>
      </c:layout>
      <c:barChart>
        <c:barDir val="col"/>
        <c:grouping val="clustered"/>
        <c:ser>
          <c:idx val="1"/>
          <c:order val="0"/>
          <c:tx>
            <c:strRef>
              <c:f>[1]FKLI!$D$1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8080"/>
              </a:solidFill>
              <a:prstDash val="solid"/>
            </a:ln>
          </c:spPr>
          <c:cat>
            <c:numRef>
              <c:f>[1]FKLI!$A$1750:$A$1991</c:f>
              <c:numCache>
                <c:formatCode>General</c:formatCode>
                <c:ptCount val="242"/>
                <c:pt idx="0">
                  <c:v>37642</c:v>
                </c:pt>
                <c:pt idx="1">
                  <c:v>37643</c:v>
                </c:pt>
                <c:pt idx="2">
                  <c:v>37644</c:v>
                </c:pt>
                <c:pt idx="3">
                  <c:v>37645</c:v>
                </c:pt>
                <c:pt idx="4">
                  <c:v>37648</c:v>
                </c:pt>
                <c:pt idx="5">
                  <c:v>37649</c:v>
                </c:pt>
                <c:pt idx="6">
                  <c:v>37650</c:v>
                </c:pt>
                <c:pt idx="7">
                  <c:v>37651</c:v>
                </c:pt>
                <c:pt idx="8">
                  <c:v>37657</c:v>
                </c:pt>
                <c:pt idx="9">
                  <c:v>37658</c:v>
                </c:pt>
                <c:pt idx="10">
                  <c:v>37659</c:v>
                </c:pt>
                <c:pt idx="11">
                  <c:v>37662</c:v>
                </c:pt>
                <c:pt idx="12">
                  <c:v>37663</c:v>
                </c:pt>
                <c:pt idx="13">
                  <c:v>37665</c:v>
                </c:pt>
                <c:pt idx="14">
                  <c:v>37666</c:v>
                </c:pt>
                <c:pt idx="15">
                  <c:v>37669</c:v>
                </c:pt>
                <c:pt idx="16">
                  <c:v>37670</c:v>
                </c:pt>
                <c:pt idx="17">
                  <c:v>37671</c:v>
                </c:pt>
                <c:pt idx="18">
                  <c:v>37672</c:v>
                </c:pt>
                <c:pt idx="19">
                  <c:v>37673</c:v>
                </c:pt>
                <c:pt idx="20">
                  <c:v>37676</c:v>
                </c:pt>
                <c:pt idx="21">
                  <c:v>37677</c:v>
                </c:pt>
                <c:pt idx="22">
                  <c:v>37678</c:v>
                </c:pt>
                <c:pt idx="23">
                  <c:v>37679</c:v>
                </c:pt>
                <c:pt idx="24">
                  <c:v>37680</c:v>
                </c:pt>
                <c:pt idx="25">
                  <c:v>37683</c:v>
                </c:pt>
                <c:pt idx="26">
                  <c:v>37685</c:v>
                </c:pt>
                <c:pt idx="27">
                  <c:v>37686</c:v>
                </c:pt>
                <c:pt idx="28">
                  <c:v>37687</c:v>
                </c:pt>
                <c:pt idx="29">
                  <c:v>37690</c:v>
                </c:pt>
                <c:pt idx="30">
                  <c:v>37691</c:v>
                </c:pt>
                <c:pt idx="31">
                  <c:v>37692</c:v>
                </c:pt>
                <c:pt idx="32">
                  <c:v>37693</c:v>
                </c:pt>
                <c:pt idx="33">
                  <c:v>37694</c:v>
                </c:pt>
                <c:pt idx="34">
                  <c:v>37697</c:v>
                </c:pt>
                <c:pt idx="35">
                  <c:v>37698</c:v>
                </c:pt>
                <c:pt idx="36">
                  <c:v>37699</c:v>
                </c:pt>
                <c:pt idx="37">
                  <c:v>37700</c:v>
                </c:pt>
                <c:pt idx="38">
                  <c:v>37701</c:v>
                </c:pt>
                <c:pt idx="39">
                  <c:v>37704</c:v>
                </c:pt>
                <c:pt idx="40">
                  <c:v>37705</c:v>
                </c:pt>
                <c:pt idx="41">
                  <c:v>37706</c:v>
                </c:pt>
                <c:pt idx="42">
                  <c:v>37707</c:v>
                </c:pt>
                <c:pt idx="43">
                  <c:v>37708</c:v>
                </c:pt>
                <c:pt idx="44">
                  <c:v>37711</c:v>
                </c:pt>
                <c:pt idx="45">
                  <c:v>37712</c:v>
                </c:pt>
                <c:pt idx="46">
                  <c:v>37713</c:v>
                </c:pt>
                <c:pt idx="47">
                  <c:v>37714</c:v>
                </c:pt>
                <c:pt idx="48">
                  <c:v>37715</c:v>
                </c:pt>
                <c:pt idx="49">
                  <c:v>37718</c:v>
                </c:pt>
                <c:pt idx="50">
                  <c:v>37719</c:v>
                </c:pt>
                <c:pt idx="51">
                  <c:v>37720</c:v>
                </c:pt>
                <c:pt idx="52">
                  <c:v>37721</c:v>
                </c:pt>
                <c:pt idx="53">
                  <c:v>37722</c:v>
                </c:pt>
                <c:pt idx="54">
                  <c:v>37725</c:v>
                </c:pt>
                <c:pt idx="55">
                  <c:v>37726</c:v>
                </c:pt>
                <c:pt idx="56">
                  <c:v>37727</c:v>
                </c:pt>
                <c:pt idx="57">
                  <c:v>37728</c:v>
                </c:pt>
                <c:pt idx="58">
                  <c:v>37729</c:v>
                </c:pt>
                <c:pt idx="59">
                  <c:v>37732</c:v>
                </c:pt>
                <c:pt idx="60">
                  <c:v>37733</c:v>
                </c:pt>
                <c:pt idx="61">
                  <c:v>37734</c:v>
                </c:pt>
                <c:pt idx="62">
                  <c:v>37735</c:v>
                </c:pt>
                <c:pt idx="63">
                  <c:v>37736</c:v>
                </c:pt>
                <c:pt idx="64">
                  <c:v>37739</c:v>
                </c:pt>
                <c:pt idx="65">
                  <c:v>37740</c:v>
                </c:pt>
                <c:pt idx="66">
                  <c:v>37741</c:v>
                </c:pt>
                <c:pt idx="67">
                  <c:v>37743</c:v>
                </c:pt>
                <c:pt idx="68">
                  <c:v>37746</c:v>
                </c:pt>
                <c:pt idx="69">
                  <c:v>37747</c:v>
                </c:pt>
                <c:pt idx="70">
                  <c:v>37748</c:v>
                </c:pt>
                <c:pt idx="71">
                  <c:v>37749</c:v>
                </c:pt>
                <c:pt idx="72">
                  <c:v>37750</c:v>
                </c:pt>
                <c:pt idx="73">
                  <c:v>37753</c:v>
                </c:pt>
                <c:pt idx="74">
                  <c:v>37754</c:v>
                </c:pt>
                <c:pt idx="75">
                  <c:v>37757</c:v>
                </c:pt>
                <c:pt idx="76">
                  <c:v>37760</c:v>
                </c:pt>
                <c:pt idx="77">
                  <c:v>37761</c:v>
                </c:pt>
                <c:pt idx="78">
                  <c:v>37762</c:v>
                </c:pt>
                <c:pt idx="79">
                  <c:v>37763</c:v>
                </c:pt>
                <c:pt idx="80">
                  <c:v>37764</c:v>
                </c:pt>
                <c:pt idx="81">
                  <c:v>37767</c:v>
                </c:pt>
                <c:pt idx="82">
                  <c:v>37768</c:v>
                </c:pt>
                <c:pt idx="83">
                  <c:v>37769</c:v>
                </c:pt>
                <c:pt idx="84">
                  <c:v>37770</c:v>
                </c:pt>
                <c:pt idx="85">
                  <c:v>37771</c:v>
                </c:pt>
                <c:pt idx="86">
                  <c:v>37774</c:v>
                </c:pt>
                <c:pt idx="87">
                  <c:v>37775</c:v>
                </c:pt>
                <c:pt idx="88">
                  <c:v>37776</c:v>
                </c:pt>
                <c:pt idx="89">
                  <c:v>37777</c:v>
                </c:pt>
                <c:pt idx="90">
                  <c:v>37778</c:v>
                </c:pt>
                <c:pt idx="91">
                  <c:v>37781</c:v>
                </c:pt>
                <c:pt idx="92">
                  <c:v>37782</c:v>
                </c:pt>
                <c:pt idx="93">
                  <c:v>37783</c:v>
                </c:pt>
                <c:pt idx="94">
                  <c:v>37784</c:v>
                </c:pt>
                <c:pt idx="95">
                  <c:v>37785</c:v>
                </c:pt>
                <c:pt idx="96">
                  <c:v>37788</c:v>
                </c:pt>
                <c:pt idx="97">
                  <c:v>37789</c:v>
                </c:pt>
                <c:pt idx="98">
                  <c:v>37790</c:v>
                </c:pt>
                <c:pt idx="99">
                  <c:v>37791</c:v>
                </c:pt>
                <c:pt idx="100">
                  <c:v>37792</c:v>
                </c:pt>
                <c:pt idx="101">
                  <c:v>37795</c:v>
                </c:pt>
                <c:pt idx="102">
                  <c:v>37796</c:v>
                </c:pt>
                <c:pt idx="103">
                  <c:v>37797</c:v>
                </c:pt>
                <c:pt idx="104">
                  <c:v>37798</c:v>
                </c:pt>
                <c:pt idx="105">
                  <c:v>37799</c:v>
                </c:pt>
                <c:pt idx="106">
                  <c:v>37802</c:v>
                </c:pt>
                <c:pt idx="107">
                  <c:v>37803</c:v>
                </c:pt>
                <c:pt idx="108">
                  <c:v>37804</c:v>
                </c:pt>
                <c:pt idx="109">
                  <c:v>37805</c:v>
                </c:pt>
                <c:pt idx="110">
                  <c:v>37806</c:v>
                </c:pt>
                <c:pt idx="111">
                  <c:v>37809</c:v>
                </c:pt>
                <c:pt idx="112">
                  <c:v>37810</c:v>
                </c:pt>
                <c:pt idx="113">
                  <c:v>37811</c:v>
                </c:pt>
                <c:pt idx="114">
                  <c:v>37812</c:v>
                </c:pt>
                <c:pt idx="115">
                  <c:v>37813</c:v>
                </c:pt>
                <c:pt idx="116">
                  <c:v>37816</c:v>
                </c:pt>
                <c:pt idx="117">
                  <c:v>37817</c:v>
                </c:pt>
                <c:pt idx="118">
                  <c:v>37818</c:v>
                </c:pt>
                <c:pt idx="119">
                  <c:v>37819</c:v>
                </c:pt>
                <c:pt idx="120">
                  <c:v>37820</c:v>
                </c:pt>
                <c:pt idx="121">
                  <c:v>37823</c:v>
                </c:pt>
                <c:pt idx="122">
                  <c:v>37824</c:v>
                </c:pt>
                <c:pt idx="123">
                  <c:v>37825</c:v>
                </c:pt>
                <c:pt idx="124">
                  <c:v>37826</c:v>
                </c:pt>
                <c:pt idx="125">
                  <c:v>37827</c:v>
                </c:pt>
                <c:pt idx="126">
                  <c:v>37830</c:v>
                </c:pt>
                <c:pt idx="127">
                  <c:v>37831</c:v>
                </c:pt>
                <c:pt idx="128">
                  <c:v>37832</c:v>
                </c:pt>
                <c:pt idx="129">
                  <c:v>37833</c:v>
                </c:pt>
                <c:pt idx="130">
                  <c:v>37834</c:v>
                </c:pt>
                <c:pt idx="131">
                  <c:v>37837</c:v>
                </c:pt>
                <c:pt idx="132">
                  <c:v>37838</c:v>
                </c:pt>
                <c:pt idx="133">
                  <c:v>37839</c:v>
                </c:pt>
                <c:pt idx="134">
                  <c:v>37840</c:v>
                </c:pt>
                <c:pt idx="135">
                  <c:v>37841</c:v>
                </c:pt>
                <c:pt idx="136">
                  <c:v>37844</c:v>
                </c:pt>
                <c:pt idx="137">
                  <c:v>37845</c:v>
                </c:pt>
                <c:pt idx="138">
                  <c:v>37846</c:v>
                </c:pt>
                <c:pt idx="139">
                  <c:v>37847</c:v>
                </c:pt>
                <c:pt idx="140">
                  <c:v>37848</c:v>
                </c:pt>
                <c:pt idx="141">
                  <c:v>37851</c:v>
                </c:pt>
                <c:pt idx="142">
                  <c:v>37852</c:v>
                </c:pt>
                <c:pt idx="143">
                  <c:v>37853</c:v>
                </c:pt>
                <c:pt idx="144">
                  <c:v>37854</c:v>
                </c:pt>
                <c:pt idx="145">
                  <c:v>37855</c:v>
                </c:pt>
                <c:pt idx="146">
                  <c:v>37858</c:v>
                </c:pt>
                <c:pt idx="147">
                  <c:v>37859</c:v>
                </c:pt>
                <c:pt idx="148">
                  <c:v>37860</c:v>
                </c:pt>
                <c:pt idx="149">
                  <c:v>37861</c:v>
                </c:pt>
                <c:pt idx="150">
                  <c:v>37862</c:v>
                </c:pt>
                <c:pt idx="151">
                  <c:v>37866</c:v>
                </c:pt>
                <c:pt idx="152">
                  <c:v>37867</c:v>
                </c:pt>
                <c:pt idx="153">
                  <c:v>37868</c:v>
                </c:pt>
                <c:pt idx="154">
                  <c:v>37869</c:v>
                </c:pt>
                <c:pt idx="155">
                  <c:v>37872</c:v>
                </c:pt>
                <c:pt idx="156">
                  <c:v>37873</c:v>
                </c:pt>
                <c:pt idx="157">
                  <c:v>37874</c:v>
                </c:pt>
                <c:pt idx="158">
                  <c:v>37875</c:v>
                </c:pt>
                <c:pt idx="159">
                  <c:v>37876</c:v>
                </c:pt>
                <c:pt idx="160">
                  <c:v>37879</c:v>
                </c:pt>
                <c:pt idx="161">
                  <c:v>37880</c:v>
                </c:pt>
                <c:pt idx="162">
                  <c:v>37881</c:v>
                </c:pt>
                <c:pt idx="163">
                  <c:v>37882</c:v>
                </c:pt>
                <c:pt idx="164">
                  <c:v>37883</c:v>
                </c:pt>
                <c:pt idx="165">
                  <c:v>37886</c:v>
                </c:pt>
                <c:pt idx="166">
                  <c:v>37887</c:v>
                </c:pt>
                <c:pt idx="167">
                  <c:v>37888</c:v>
                </c:pt>
                <c:pt idx="168">
                  <c:v>37889</c:v>
                </c:pt>
                <c:pt idx="169">
                  <c:v>37890</c:v>
                </c:pt>
                <c:pt idx="170">
                  <c:v>37893</c:v>
                </c:pt>
                <c:pt idx="171">
                  <c:v>37894</c:v>
                </c:pt>
                <c:pt idx="172">
                  <c:v>37895</c:v>
                </c:pt>
                <c:pt idx="173">
                  <c:v>37896</c:v>
                </c:pt>
                <c:pt idx="174">
                  <c:v>37897</c:v>
                </c:pt>
                <c:pt idx="175">
                  <c:v>37900</c:v>
                </c:pt>
                <c:pt idx="176">
                  <c:v>37901</c:v>
                </c:pt>
                <c:pt idx="177">
                  <c:v>37902</c:v>
                </c:pt>
                <c:pt idx="178">
                  <c:v>37903</c:v>
                </c:pt>
                <c:pt idx="179">
                  <c:v>37904</c:v>
                </c:pt>
                <c:pt idx="180">
                  <c:v>37907</c:v>
                </c:pt>
                <c:pt idx="181">
                  <c:v>37908</c:v>
                </c:pt>
                <c:pt idx="182">
                  <c:v>37909</c:v>
                </c:pt>
                <c:pt idx="183">
                  <c:v>37910</c:v>
                </c:pt>
                <c:pt idx="184">
                  <c:v>37911</c:v>
                </c:pt>
                <c:pt idx="185">
                  <c:v>37914</c:v>
                </c:pt>
                <c:pt idx="186">
                  <c:v>37915</c:v>
                </c:pt>
                <c:pt idx="187">
                  <c:v>37916</c:v>
                </c:pt>
                <c:pt idx="188">
                  <c:v>37917</c:v>
                </c:pt>
                <c:pt idx="189">
                  <c:v>37921</c:v>
                </c:pt>
                <c:pt idx="190">
                  <c:v>37922</c:v>
                </c:pt>
                <c:pt idx="191">
                  <c:v>37923</c:v>
                </c:pt>
                <c:pt idx="192">
                  <c:v>37924</c:v>
                </c:pt>
                <c:pt idx="193">
                  <c:v>37925</c:v>
                </c:pt>
                <c:pt idx="194">
                  <c:v>37928</c:v>
                </c:pt>
                <c:pt idx="195">
                  <c:v>37929</c:v>
                </c:pt>
                <c:pt idx="196">
                  <c:v>37930</c:v>
                </c:pt>
                <c:pt idx="197">
                  <c:v>37931</c:v>
                </c:pt>
                <c:pt idx="198">
                  <c:v>37932</c:v>
                </c:pt>
                <c:pt idx="199">
                  <c:v>37935</c:v>
                </c:pt>
                <c:pt idx="200">
                  <c:v>37936</c:v>
                </c:pt>
                <c:pt idx="201">
                  <c:v>37937</c:v>
                </c:pt>
                <c:pt idx="202">
                  <c:v>37938</c:v>
                </c:pt>
                <c:pt idx="203">
                  <c:v>37939</c:v>
                </c:pt>
                <c:pt idx="204">
                  <c:v>37942</c:v>
                </c:pt>
                <c:pt idx="205">
                  <c:v>37943</c:v>
                </c:pt>
                <c:pt idx="206">
                  <c:v>37944</c:v>
                </c:pt>
                <c:pt idx="207">
                  <c:v>37945</c:v>
                </c:pt>
                <c:pt idx="208">
                  <c:v>37946</c:v>
                </c:pt>
                <c:pt idx="209">
                  <c:v>37952</c:v>
                </c:pt>
                <c:pt idx="210">
                  <c:v>37953</c:v>
                </c:pt>
                <c:pt idx="211">
                  <c:v>37956</c:v>
                </c:pt>
                <c:pt idx="212">
                  <c:v>37957</c:v>
                </c:pt>
                <c:pt idx="213">
                  <c:v>37958</c:v>
                </c:pt>
                <c:pt idx="214">
                  <c:v>37959</c:v>
                </c:pt>
                <c:pt idx="215">
                  <c:v>37960</c:v>
                </c:pt>
                <c:pt idx="216">
                  <c:v>37963</c:v>
                </c:pt>
                <c:pt idx="217">
                  <c:v>37964</c:v>
                </c:pt>
                <c:pt idx="218">
                  <c:v>37965</c:v>
                </c:pt>
                <c:pt idx="219">
                  <c:v>37966</c:v>
                </c:pt>
                <c:pt idx="220">
                  <c:v>37967</c:v>
                </c:pt>
                <c:pt idx="221">
                  <c:v>37970</c:v>
                </c:pt>
                <c:pt idx="222">
                  <c:v>37971</c:v>
                </c:pt>
                <c:pt idx="223">
                  <c:v>37972</c:v>
                </c:pt>
                <c:pt idx="224">
                  <c:v>37973</c:v>
                </c:pt>
                <c:pt idx="225">
                  <c:v>37974</c:v>
                </c:pt>
                <c:pt idx="226">
                  <c:v>37977</c:v>
                </c:pt>
                <c:pt idx="227">
                  <c:v>37978</c:v>
                </c:pt>
                <c:pt idx="228">
                  <c:v>37979</c:v>
                </c:pt>
                <c:pt idx="229">
                  <c:v>37981</c:v>
                </c:pt>
                <c:pt idx="230">
                  <c:v>37984</c:v>
                </c:pt>
                <c:pt idx="231">
                  <c:v>37985</c:v>
                </c:pt>
                <c:pt idx="232">
                  <c:v>37986</c:v>
                </c:pt>
                <c:pt idx="233">
                  <c:v>37988</c:v>
                </c:pt>
                <c:pt idx="234">
                  <c:v>37991</c:v>
                </c:pt>
                <c:pt idx="235">
                  <c:v>37992</c:v>
                </c:pt>
                <c:pt idx="236">
                  <c:v>37993</c:v>
                </c:pt>
                <c:pt idx="237">
                  <c:v>37994</c:v>
                </c:pt>
                <c:pt idx="238">
                  <c:v>37995</c:v>
                </c:pt>
                <c:pt idx="239">
                  <c:v>37998</c:v>
                </c:pt>
                <c:pt idx="240">
                  <c:v>37999</c:v>
                </c:pt>
                <c:pt idx="241">
                  <c:v>38000</c:v>
                </c:pt>
              </c:numCache>
            </c:numRef>
          </c:cat>
          <c:val>
            <c:numRef>
              <c:f>[1]FKLI!$D$1750:$D$1991</c:f>
              <c:numCache>
                <c:formatCode>General</c:formatCode>
                <c:ptCount val="242"/>
                <c:pt idx="0">
                  <c:v>1124</c:v>
                </c:pt>
                <c:pt idx="1">
                  <c:v>519</c:v>
                </c:pt>
                <c:pt idx="2">
                  <c:v>961</c:v>
                </c:pt>
                <c:pt idx="3">
                  <c:v>1317</c:v>
                </c:pt>
                <c:pt idx="4">
                  <c:v>1909</c:v>
                </c:pt>
                <c:pt idx="5">
                  <c:v>2274</c:v>
                </c:pt>
                <c:pt idx="6">
                  <c:v>1876</c:v>
                </c:pt>
                <c:pt idx="7">
                  <c:v>814</c:v>
                </c:pt>
                <c:pt idx="8">
                  <c:v>387</c:v>
                </c:pt>
                <c:pt idx="9">
                  <c:v>289</c:v>
                </c:pt>
                <c:pt idx="10">
                  <c:v>1270</c:v>
                </c:pt>
                <c:pt idx="11">
                  <c:v>597</c:v>
                </c:pt>
                <c:pt idx="12">
                  <c:v>648</c:v>
                </c:pt>
                <c:pt idx="13">
                  <c:v>585</c:v>
                </c:pt>
                <c:pt idx="14">
                  <c:v>279</c:v>
                </c:pt>
                <c:pt idx="15">
                  <c:v>871</c:v>
                </c:pt>
                <c:pt idx="16">
                  <c:v>443</c:v>
                </c:pt>
                <c:pt idx="17">
                  <c:v>394</c:v>
                </c:pt>
                <c:pt idx="18">
                  <c:v>337</c:v>
                </c:pt>
                <c:pt idx="19">
                  <c:v>273</c:v>
                </c:pt>
                <c:pt idx="20">
                  <c:v>582</c:v>
                </c:pt>
                <c:pt idx="21">
                  <c:v>1228</c:v>
                </c:pt>
                <c:pt idx="22">
                  <c:v>1290</c:v>
                </c:pt>
                <c:pt idx="23">
                  <c:v>2004</c:v>
                </c:pt>
                <c:pt idx="24">
                  <c:v>819</c:v>
                </c:pt>
                <c:pt idx="25">
                  <c:v>236</c:v>
                </c:pt>
                <c:pt idx="26">
                  <c:v>389</c:v>
                </c:pt>
                <c:pt idx="27">
                  <c:v>221</c:v>
                </c:pt>
                <c:pt idx="28">
                  <c:v>376</c:v>
                </c:pt>
                <c:pt idx="29">
                  <c:v>339</c:v>
                </c:pt>
                <c:pt idx="30">
                  <c:v>620</c:v>
                </c:pt>
                <c:pt idx="31">
                  <c:v>662</c:v>
                </c:pt>
                <c:pt idx="32">
                  <c:v>519</c:v>
                </c:pt>
                <c:pt idx="33">
                  <c:v>819</c:v>
                </c:pt>
                <c:pt idx="34">
                  <c:v>548</c:v>
                </c:pt>
                <c:pt idx="35">
                  <c:v>791</c:v>
                </c:pt>
                <c:pt idx="36">
                  <c:v>304</c:v>
                </c:pt>
                <c:pt idx="37">
                  <c:v>1456</c:v>
                </c:pt>
                <c:pt idx="38">
                  <c:v>474</c:v>
                </c:pt>
                <c:pt idx="39">
                  <c:v>748</c:v>
                </c:pt>
                <c:pt idx="40">
                  <c:v>1135</c:v>
                </c:pt>
                <c:pt idx="41">
                  <c:v>1189</c:v>
                </c:pt>
                <c:pt idx="42">
                  <c:v>1266</c:v>
                </c:pt>
                <c:pt idx="43">
                  <c:v>1488</c:v>
                </c:pt>
                <c:pt idx="44">
                  <c:v>1140</c:v>
                </c:pt>
                <c:pt idx="45">
                  <c:v>457</c:v>
                </c:pt>
                <c:pt idx="46">
                  <c:v>374</c:v>
                </c:pt>
                <c:pt idx="47">
                  <c:v>675</c:v>
                </c:pt>
                <c:pt idx="48">
                  <c:v>1195</c:v>
                </c:pt>
                <c:pt idx="49">
                  <c:v>727</c:v>
                </c:pt>
                <c:pt idx="50">
                  <c:v>770</c:v>
                </c:pt>
                <c:pt idx="51">
                  <c:v>712</c:v>
                </c:pt>
                <c:pt idx="52">
                  <c:v>424</c:v>
                </c:pt>
                <c:pt idx="53">
                  <c:v>341</c:v>
                </c:pt>
                <c:pt idx="54">
                  <c:v>498</c:v>
                </c:pt>
                <c:pt idx="55">
                  <c:v>587</c:v>
                </c:pt>
                <c:pt idx="56">
                  <c:v>595</c:v>
                </c:pt>
                <c:pt idx="57">
                  <c:v>248</c:v>
                </c:pt>
                <c:pt idx="58">
                  <c:v>328</c:v>
                </c:pt>
                <c:pt idx="59">
                  <c:v>167</c:v>
                </c:pt>
                <c:pt idx="60">
                  <c:v>401</c:v>
                </c:pt>
                <c:pt idx="61">
                  <c:v>493</c:v>
                </c:pt>
                <c:pt idx="62">
                  <c:v>523</c:v>
                </c:pt>
                <c:pt idx="63">
                  <c:v>1621</c:v>
                </c:pt>
                <c:pt idx="64">
                  <c:v>1996</c:v>
                </c:pt>
                <c:pt idx="65">
                  <c:v>770</c:v>
                </c:pt>
                <c:pt idx="66">
                  <c:v>591</c:v>
                </c:pt>
                <c:pt idx="67">
                  <c:v>148</c:v>
                </c:pt>
                <c:pt idx="68">
                  <c:v>592</c:v>
                </c:pt>
                <c:pt idx="69">
                  <c:v>250</c:v>
                </c:pt>
                <c:pt idx="70">
                  <c:v>307</c:v>
                </c:pt>
                <c:pt idx="71">
                  <c:v>318</c:v>
                </c:pt>
                <c:pt idx="72">
                  <c:v>225</c:v>
                </c:pt>
                <c:pt idx="73">
                  <c:v>275</c:v>
                </c:pt>
                <c:pt idx="74">
                  <c:v>208</c:v>
                </c:pt>
                <c:pt idx="75">
                  <c:v>699</c:v>
                </c:pt>
                <c:pt idx="76">
                  <c:v>692</c:v>
                </c:pt>
                <c:pt idx="77">
                  <c:v>506</c:v>
                </c:pt>
                <c:pt idx="78">
                  <c:v>369</c:v>
                </c:pt>
                <c:pt idx="79">
                  <c:v>663</c:v>
                </c:pt>
                <c:pt idx="80">
                  <c:v>991</c:v>
                </c:pt>
                <c:pt idx="81">
                  <c:v>1583</c:v>
                </c:pt>
                <c:pt idx="82">
                  <c:v>1504</c:v>
                </c:pt>
                <c:pt idx="83">
                  <c:v>1466</c:v>
                </c:pt>
                <c:pt idx="84">
                  <c:v>2091</c:v>
                </c:pt>
                <c:pt idx="85">
                  <c:v>1634</c:v>
                </c:pt>
                <c:pt idx="86">
                  <c:v>654</c:v>
                </c:pt>
                <c:pt idx="87">
                  <c:v>568</c:v>
                </c:pt>
                <c:pt idx="88">
                  <c:v>286</c:v>
                </c:pt>
                <c:pt idx="89">
                  <c:v>1412</c:v>
                </c:pt>
                <c:pt idx="90">
                  <c:v>576</c:v>
                </c:pt>
                <c:pt idx="91">
                  <c:v>379</c:v>
                </c:pt>
                <c:pt idx="92">
                  <c:v>416</c:v>
                </c:pt>
                <c:pt idx="93">
                  <c:v>926</c:v>
                </c:pt>
                <c:pt idx="94">
                  <c:v>1169</c:v>
                </c:pt>
                <c:pt idx="95">
                  <c:v>880</c:v>
                </c:pt>
                <c:pt idx="96">
                  <c:v>705</c:v>
                </c:pt>
                <c:pt idx="97">
                  <c:v>1016</c:v>
                </c:pt>
                <c:pt idx="98">
                  <c:v>656</c:v>
                </c:pt>
                <c:pt idx="99">
                  <c:v>764</c:v>
                </c:pt>
                <c:pt idx="100">
                  <c:v>766</c:v>
                </c:pt>
                <c:pt idx="101">
                  <c:v>1603</c:v>
                </c:pt>
                <c:pt idx="102">
                  <c:v>2020</c:v>
                </c:pt>
                <c:pt idx="103">
                  <c:v>2196</c:v>
                </c:pt>
                <c:pt idx="104">
                  <c:v>1965</c:v>
                </c:pt>
                <c:pt idx="105">
                  <c:v>1445</c:v>
                </c:pt>
                <c:pt idx="106">
                  <c:v>1348</c:v>
                </c:pt>
                <c:pt idx="107">
                  <c:v>589</c:v>
                </c:pt>
                <c:pt idx="108">
                  <c:v>849</c:v>
                </c:pt>
                <c:pt idx="109">
                  <c:v>1931</c:v>
                </c:pt>
                <c:pt idx="110">
                  <c:v>856</c:v>
                </c:pt>
                <c:pt idx="111">
                  <c:v>1110</c:v>
                </c:pt>
                <c:pt idx="112">
                  <c:v>1231</c:v>
                </c:pt>
                <c:pt idx="113">
                  <c:v>760</c:v>
                </c:pt>
                <c:pt idx="114">
                  <c:v>771</c:v>
                </c:pt>
                <c:pt idx="115">
                  <c:v>1073</c:v>
                </c:pt>
                <c:pt idx="116">
                  <c:v>1064</c:v>
                </c:pt>
                <c:pt idx="117">
                  <c:v>985</c:v>
                </c:pt>
                <c:pt idx="118">
                  <c:v>759</c:v>
                </c:pt>
                <c:pt idx="119">
                  <c:v>1275</c:v>
                </c:pt>
                <c:pt idx="120">
                  <c:v>1413</c:v>
                </c:pt>
                <c:pt idx="121">
                  <c:v>950</c:v>
                </c:pt>
                <c:pt idx="122">
                  <c:v>1227</c:v>
                </c:pt>
                <c:pt idx="123">
                  <c:v>1093</c:v>
                </c:pt>
                <c:pt idx="124">
                  <c:v>1461</c:v>
                </c:pt>
                <c:pt idx="125">
                  <c:v>813</c:v>
                </c:pt>
                <c:pt idx="126">
                  <c:v>2318</c:v>
                </c:pt>
                <c:pt idx="127">
                  <c:v>2908</c:v>
                </c:pt>
                <c:pt idx="128">
                  <c:v>2265</c:v>
                </c:pt>
                <c:pt idx="129">
                  <c:v>1306</c:v>
                </c:pt>
                <c:pt idx="130">
                  <c:v>686</c:v>
                </c:pt>
                <c:pt idx="131">
                  <c:v>651</c:v>
                </c:pt>
                <c:pt idx="132">
                  <c:v>1273</c:v>
                </c:pt>
                <c:pt idx="133">
                  <c:v>2160</c:v>
                </c:pt>
                <c:pt idx="134">
                  <c:v>1020</c:v>
                </c:pt>
                <c:pt idx="135">
                  <c:v>406</c:v>
                </c:pt>
                <c:pt idx="136">
                  <c:v>622</c:v>
                </c:pt>
                <c:pt idx="137">
                  <c:v>659</c:v>
                </c:pt>
                <c:pt idx="138">
                  <c:v>617</c:v>
                </c:pt>
                <c:pt idx="139">
                  <c:v>685</c:v>
                </c:pt>
                <c:pt idx="140">
                  <c:v>641</c:v>
                </c:pt>
                <c:pt idx="141">
                  <c:v>466</c:v>
                </c:pt>
                <c:pt idx="142">
                  <c:v>600</c:v>
                </c:pt>
                <c:pt idx="143">
                  <c:v>553</c:v>
                </c:pt>
                <c:pt idx="144">
                  <c:v>1222</c:v>
                </c:pt>
                <c:pt idx="145">
                  <c:v>1060</c:v>
                </c:pt>
                <c:pt idx="146">
                  <c:v>1092</c:v>
                </c:pt>
                <c:pt idx="147">
                  <c:v>1916</c:v>
                </c:pt>
                <c:pt idx="148">
                  <c:v>1975</c:v>
                </c:pt>
                <c:pt idx="149">
                  <c:v>1687</c:v>
                </c:pt>
                <c:pt idx="150">
                  <c:v>1569</c:v>
                </c:pt>
                <c:pt idx="151">
                  <c:v>400</c:v>
                </c:pt>
                <c:pt idx="152">
                  <c:v>761</c:v>
                </c:pt>
                <c:pt idx="153">
                  <c:v>752</c:v>
                </c:pt>
                <c:pt idx="154">
                  <c:v>535</c:v>
                </c:pt>
                <c:pt idx="155">
                  <c:v>579</c:v>
                </c:pt>
                <c:pt idx="156">
                  <c:v>1261</c:v>
                </c:pt>
                <c:pt idx="157">
                  <c:v>953</c:v>
                </c:pt>
                <c:pt idx="158">
                  <c:v>912</c:v>
                </c:pt>
                <c:pt idx="159">
                  <c:v>696</c:v>
                </c:pt>
                <c:pt idx="160">
                  <c:v>337</c:v>
                </c:pt>
                <c:pt idx="161">
                  <c:v>717</c:v>
                </c:pt>
                <c:pt idx="162">
                  <c:v>1318</c:v>
                </c:pt>
                <c:pt idx="163">
                  <c:v>384</c:v>
                </c:pt>
                <c:pt idx="164">
                  <c:v>959</c:v>
                </c:pt>
                <c:pt idx="165">
                  <c:v>1503</c:v>
                </c:pt>
                <c:pt idx="166">
                  <c:v>1544</c:v>
                </c:pt>
                <c:pt idx="167">
                  <c:v>3215</c:v>
                </c:pt>
                <c:pt idx="168">
                  <c:v>3514</c:v>
                </c:pt>
                <c:pt idx="169">
                  <c:v>4146</c:v>
                </c:pt>
                <c:pt idx="170">
                  <c:v>3272</c:v>
                </c:pt>
                <c:pt idx="171">
                  <c:v>1847</c:v>
                </c:pt>
                <c:pt idx="172">
                  <c:v>1734</c:v>
                </c:pt>
                <c:pt idx="173">
                  <c:v>1412</c:v>
                </c:pt>
                <c:pt idx="174">
                  <c:v>620</c:v>
                </c:pt>
                <c:pt idx="175">
                  <c:v>1410</c:v>
                </c:pt>
                <c:pt idx="176">
                  <c:v>1785</c:v>
                </c:pt>
                <c:pt idx="177">
                  <c:v>2331</c:v>
                </c:pt>
                <c:pt idx="178">
                  <c:v>3202</c:v>
                </c:pt>
                <c:pt idx="179">
                  <c:v>4356</c:v>
                </c:pt>
                <c:pt idx="180">
                  <c:v>2135</c:v>
                </c:pt>
                <c:pt idx="181">
                  <c:v>2397</c:v>
                </c:pt>
                <c:pt idx="182">
                  <c:v>2215</c:v>
                </c:pt>
                <c:pt idx="183">
                  <c:v>1155</c:v>
                </c:pt>
                <c:pt idx="184">
                  <c:v>1408</c:v>
                </c:pt>
                <c:pt idx="185">
                  <c:v>1180</c:v>
                </c:pt>
                <c:pt idx="186">
                  <c:v>1978</c:v>
                </c:pt>
                <c:pt idx="187">
                  <c:v>2985</c:v>
                </c:pt>
                <c:pt idx="188">
                  <c:v>3841</c:v>
                </c:pt>
                <c:pt idx="189">
                  <c:v>1641</c:v>
                </c:pt>
                <c:pt idx="190">
                  <c:v>4717</c:v>
                </c:pt>
                <c:pt idx="191">
                  <c:v>6208</c:v>
                </c:pt>
                <c:pt idx="192">
                  <c:v>2787</c:v>
                </c:pt>
                <c:pt idx="193">
                  <c:v>3365</c:v>
                </c:pt>
                <c:pt idx="194">
                  <c:v>1583</c:v>
                </c:pt>
                <c:pt idx="195">
                  <c:v>1278</c:v>
                </c:pt>
                <c:pt idx="196">
                  <c:v>1835</c:v>
                </c:pt>
                <c:pt idx="197">
                  <c:v>2118</c:v>
                </c:pt>
                <c:pt idx="198">
                  <c:v>1262</c:v>
                </c:pt>
                <c:pt idx="199">
                  <c:v>1272</c:v>
                </c:pt>
                <c:pt idx="200">
                  <c:v>2129</c:v>
                </c:pt>
                <c:pt idx="201">
                  <c:v>1863</c:v>
                </c:pt>
                <c:pt idx="202">
                  <c:v>1965</c:v>
                </c:pt>
                <c:pt idx="203">
                  <c:v>1483</c:v>
                </c:pt>
                <c:pt idx="204">
                  <c:v>2717</c:v>
                </c:pt>
                <c:pt idx="205">
                  <c:v>1769</c:v>
                </c:pt>
                <c:pt idx="206">
                  <c:v>3640</c:v>
                </c:pt>
                <c:pt idx="207">
                  <c:v>2735</c:v>
                </c:pt>
                <c:pt idx="208">
                  <c:v>3358</c:v>
                </c:pt>
                <c:pt idx="209">
                  <c:v>8967</c:v>
                </c:pt>
                <c:pt idx="210">
                  <c:v>3576</c:v>
                </c:pt>
                <c:pt idx="211">
                  <c:v>2371</c:v>
                </c:pt>
                <c:pt idx="212">
                  <c:v>3327</c:v>
                </c:pt>
                <c:pt idx="213">
                  <c:v>1158</c:v>
                </c:pt>
                <c:pt idx="214">
                  <c:v>2317</c:v>
                </c:pt>
                <c:pt idx="215">
                  <c:v>1311</c:v>
                </c:pt>
                <c:pt idx="216">
                  <c:v>1056</c:v>
                </c:pt>
                <c:pt idx="217">
                  <c:v>1633</c:v>
                </c:pt>
                <c:pt idx="218">
                  <c:v>1497</c:v>
                </c:pt>
                <c:pt idx="219">
                  <c:v>1177</c:v>
                </c:pt>
                <c:pt idx="220">
                  <c:v>1062</c:v>
                </c:pt>
                <c:pt idx="221">
                  <c:v>1512</c:v>
                </c:pt>
                <c:pt idx="222">
                  <c:v>1606</c:v>
                </c:pt>
                <c:pt idx="223">
                  <c:v>2504</c:v>
                </c:pt>
                <c:pt idx="224">
                  <c:v>3546</c:v>
                </c:pt>
                <c:pt idx="225">
                  <c:v>2705</c:v>
                </c:pt>
                <c:pt idx="226">
                  <c:v>2994</c:v>
                </c:pt>
                <c:pt idx="227">
                  <c:v>4642</c:v>
                </c:pt>
                <c:pt idx="228">
                  <c:v>5455</c:v>
                </c:pt>
                <c:pt idx="229">
                  <c:v>2109</c:v>
                </c:pt>
                <c:pt idx="230">
                  <c:v>5034</c:v>
                </c:pt>
                <c:pt idx="231">
                  <c:v>5044</c:v>
                </c:pt>
                <c:pt idx="232">
                  <c:v>1159</c:v>
                </c:pt>
                <c:pt idx="233">
                  <c:v>1907</c:v>
                </c:pt>
                <c:pt idx="234">
                  <c:v>2348</c:v>
                </c:pt>
                <c:pt idx="235">
                  <c:v>2675</c:v>
                </c:pt>
                <c:pt idx="236">
                  <c:v>3596</c:v>
                </c:pt>
                <c:pt idx="237">
                  <c:v>4363</c:v>
                </c:pt>
                <c:pt idx="238">
                  <c:v>7596</c:v>
                </c:pt>
                <c:pt idx="239">
                  <c:v>3451</c:v>
                </c:pt>
                <c:pt idx="240">
                  <c:v>2800</c:v>
                </c:pt>
                <c:pt idx="241">
                  <c:v>3324</c:v>
                </c:pt>
              </c:numCache>
            </c:numRef>
          </c:val>
        </c:ser>
        <c:gapWidth val="0"/>
        <c:axId val="133662208"/>
        <c:axId val="133663744"/>
      </c:barChart>
      <c:lineChart>
        <c:grouping val="standard"/>
        <c:ser>
          <c:idx val="0"/>
          <c:order val="1"/>
          <c:tx>
            <c:strRef>
              <c:f>[1]FKLI!$E$1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[1]FKLI!$A$1750:$A$1991</c:f>
              <c:numCache>
                <c:formatCode>General</c:formatCode>
                <c:ptCount val="242"/>
                <c:pt idx="0">
                  <c:v>37642</c:v>
                </c:pt>
                <c:pt idx="1">
                  <c:v>37643</c:v>
                </c:pt>
                <c:pt idx="2">
                  <c:v>37644</c:v>
                </c:pt>
                <c:pt idx="3">
                  <c:v>37645</c:v>
                </c:pt>
                <c:pt idx="4">
                  <c:v>37648</c:v>
                </c:pt>
                <c:pt idx="5">
                  <c:v>37649</c:v>
                </c:pt>
                <c:pt idx="6">
                  <c:v>37650</c:v>
                </c:pt>
                <c:pt idx="7">
                  <c:v>37651</c:v>
                </c:pt>
                <c:pt idx="8">
                  <c:v>37657</c:v>
                </c:pt>
                <c:pt idx="9">
                  <c:v>37658</c:v>
                </c:pt>
                <c:pt idx="10">
                  <c:v>37659</c:v>
                </c:pt>
                <c:pt idx="11">
                  <c:v>37662</c:v>
                </c:pt>
                <c:pt idx="12">
                  <c:v>37663</c:v>
                </c:pt>
                <c:pt idx="13">
                  <c:v>37665</c:v>
                </c:pt>
                <c:pt idx="14">
                  <c:v>37666</c:v>
                </c:pt>
                <c:pt idx="15">
                  <c:v>37669</c:v>
                </c:pt>
                <c:pt idx="16">
                  <c:v>37670</c:v>
                </c:pt>
                <c:pt idx="17">
                  <c:v>37671</c:v>
                </c:pt>
                <c:pt idx="18">
                  <c:v>37672</c:v>
                </c:pt>
                <c:pt idx="19">
                  <c:v>37673</c:v>
                </c:pt>
                <c:pt idx="20">
                  <c:v>37676</c:v>
                </c:pt>
                <c:pt idx="21">
                  <c:v>37677</c:v>
                </c:pt>
                <c:pt idx="22">
                  <c:v>37678</c:v>
                </c:pt>
                <c:pt idx="23">
                  <c:v>37679</c:v>
                </c:pt>
                <c:pt idx="24">
                  <c:v>37680</c:v>
                </c:pt>
                <c:pt idx="25">
                  <c:v>37683</c:v>
                </c:pt>
                <c:pt idx="26">
                  <c:v>37685</c:v>
                </c:pt>
                <c:pt idx="27">
                  <c:v>37686</c:v>
                </c:pt>
                <c:pt idx="28">
                  <c:v>37687</c:v>
                </c:pt>
                <c:pt idx="29">
                  <c:v>37690</c:v>
                </c:pt>
                <c:pt idx="30">
                  <c:v>37691</c:v>
                </c:pt>
                <c:pt idx="31">
                  <c:v>37692</c:v>
                </c:pt>
                <c:pt idx="32">
                  <c:v>37693</c:v>
                </c:pt>
                <c:pt idx="33">
                  <c:v>37694</c:v>
                </c:pt>
                <c:pt idx="34">
                  <c:v>37697</c:v>
                </c:pt>
                <c:pt idx="35">
                  <c:v>37698</c:v>
                </c:pt>
                <c:pt idx="36">
                  <c:v>37699</c:v>
                </c:pt>
                <c:pt idx="37">
                  <c:v>37700</c:v>
                </c:pt>
                <c:pt idx="38">
                  <c:v>37701</c:v>
                </c:pt>
                <c:pt idx="39">
                  <c:v>37704</c:v>
                </c:pt>
                <c:pt idx="40">
                  <c:v>37705</c:v>
                </c:pt>
                <c:pt idx="41">
                  <c:v>37706</c:v>
                </c:pt>
                <c:pt idx="42">
                  <c:v>37707</c:v>
                </c:pt>
                <c:pt idx="43">
                  <c:v>37708</c:v>
                </c:pt>
                <c:pt idx="44">
                  <c:v>37711</c:v>
                </c:pt>
                <c:pt idx="45">
                  <c:v>37712</c:v>
                </c:pt>
                <c:pt idx="46">
                  <c:v>37713</c:v>
                </c:pt>
                <c:pt idx="47">
                  <c:v>37714</c:v>
                </c:pt>
                <c:pt idx="48">
                  <c:v>37715</c:v>
                </c:pt>
                <c:pt idx="49">
                  <c:v>37718</c:v>
                </c:pt>
                <c:pt idx="50">
                  <c:v>37719</c:v>
                </c:pt>
                <c:pt idx="51">
                  <c:v>37720</c:v>
                </c:pt>
                <c:pt idx="52">
                  <c:v>37721</c:v>
                </c:pt>
                <c:pt idx="53">
                  <c:v>37722</c:v>
                </c:pt>
                <c:pt idx="54">
                  <c:v>37725</c:v>
                </c:pt>
                <c:pt idx="55">
                  <c:v>37726</c:v>
                </c:pt>
                <c:pt idx="56">
                  <c:v>37727</c:v>
                </c:pt>
                <c:pt idx="57">
                  <c:v>37728</c:v>
                </c:pt>
                <c:pt idx="58">
                  <c:v>37729</c:v>
                </c:pt>
                <c:pt idx="59">
                  <c:v>37732</c:v>
                </c:pt>
                <c:pt idx="60">
                  <c:v>37733</c:v>
                </c:pt>
                <c:pt idx="61">
                  <c:v>37734</c:v>
                </c:pt>
                <c:pt idx="62">
                  <c:v>37735</c:v>
                </c:pt>
                <c:pt idx="63">
                  <c:v>37736</c:v>
                </c:pt>
                <c:pt idx="64">
                  <c:v>37739</c:v>
                </c:pt>
                <c:pt idx="65">
                  <c:v>37740</c:v>
                </c:pt>
                <c:pt idx="66">
                  <c:v>37741</c:v>
                </c:pt>
                <c:pt idx="67">
                  <c:v>37743</c:v>
                </c:pt>
                <c:pt idx="68">
                  <c:v>37746</c:v>
                </c:pt>
                <c:pt idx="69">
                  <c:v>37747</c:v>
                </c:pt>
                <c:pt idx="70">
                  <c:v>37748</c:v>
                </c:pt>
                <c:pt idx="71">
                  <c:v>37749</c:v>
                </c:pt>
                <c:pt idx="72">
                  <c:v>37750</c:v>
                </c:pt>
                <c:pt idx="73">
                  <c:v>37753</c:v>
                </c:pt>
                <c:pt idx="74">
                  <c:v>37754</c:v>
                </c:pt>
                <c:pt idx="75">
                  <c:v>37757</c:v>
                </c:pt>
                <c:pt idx="76">
                  <c:v>37760</c:v>
                </c:pt>
                <c:pt idx="77">
                  <c:v>37761</c:v>
                </c:pt>
                <c:pt idx="78">
                  <c:v>37762</c:v>
                </c:pt>
                <c:pt idx="79">
                  <c:v>37763</c:v>
                </c:pt>
                <c:pt idx="80">
                  <c:v>37764</c:v>
                </c:pt>
                <c:pt idx="81">
                  <c:v>37767</c:v>
                </c:pt>
                <c:pt idx="82">
                  <c:v>37768</c:v>
                </c:pt>
                <c:pt idx="83">
                  <c:v>37769</c:v>
                </c:pt>
                <c:pt idx="84">
                  <c:v>37770</c:v>
                </c:pt>
                <c:pt idx="85">
                  <c:v>37771</c:v>
                </c:pt>
                <c:pt idx="86">
                  <c:v>37774</c:v>
                </c:pt>
                <c:pt idx="87">
                  <c:v>37775</c:v>
                </c:pt>
                <c:pt idx="88">
                  <c:v>37776</c:v>
                </c:pt>
                <c:pt idx="89">
                  <c:v>37777</c:v>
                </c:pt>
                <c:pt idx="90">
                  <c:v>37778</c:v>
                </c:pt>
                <c:pt idx="91">
                  <c:v>37781</c:v>
                </c:pt>
                <c:pt idx="92">
                  <c:v>37782</c:v>
                </c:pt>
                <c:pt idx="93">
                  <c:v>37783</c:v>
                </c:pt>
                <c:pt idx="94">
                  <c:v>37784</c:v>
                </c:pt>
                <c:pt idx="95">
                  <c:v>37785</c:v>
                </c:pt>
                <c:pt idx="96">
                  <c:v>37788</c:v>
                </c:pt>
                <c:pt idx="97">
                  <c:v>37789</c:v>
                </c:pt>
                <c:pt idx="98">
                  <c:v>37790</c:v>
                </c:pt>
                <c:pt idx="99">
                  <c:v>37791</c:v>
                </c:pt>
                <c:pt idx="100">
                  <c:v>37792</c:v>
                </c:pt>
                <c:pt idx="101">
                  <c:v>37795</c:v>
                </c:pt>
                <c:pt idx="102">
                  <c:v>37796</c:v>
                </c:pt>
                <c:pt idx="103">
                  <c:v>37797</c:v>
                </c:pt>
                <c:pt idx="104">
                  <c:v>37798</c:v>
                </c:pt>
                <c:pt idx="105">
                  <c:v>37799</c:v>
                </c:pt>
                <c:pt idx="106">
                  <c:v>37802</c:v>
                </c:pt>
                <c:pt idx="107">
                  <c:v>37803</c:v>
                </c:pt>
                <c:pt idx="108">
                  <c:v>37804</c:v>
                </c:pt>
                <c:pt idx="109">
                  <c:v>37805</c:v>
                </c:pt>
                <c:pt idx="110">
                  <c:v>37806</c:v>
                </c:pt>
                <c:pt idx="111">
                  <c:v>37809</c:v>
                </c:pt>
                <c:pt idx="112">
                  <c:v>37810</c:v>
                </c:pt>
                <c:pt idx="113">
                  <c:v>37811</c:v>
                </c:pt>
                <c:pt idx="114">
                  <c:v>37812</c:v>
                </c:pt>
                <c:pt idx="115">
                  <c:v>37813</c:v>
                </c:pt>
                <c:pt idx="116">
                  <c:v>37816</c:v>
                </c:pt>
                <c:pt idx="117">
                  <c:v>37817</c:v>
                </c:pt>
                <c:pt idx="118">
                  <c:v>37818</c:v>
                </c:pt>
                <c:pt idx="119">
                  <c:v>37819</c:v>
                </c:pt>
                <c:pt idx="120">
                  <c:v>37820</c:v>
                </c:pt>
                <c:pt idx="121">
                  <c:v>37823</c:v>
                </c:pt>
                <c:pt idx="122">
                  <c:v>37824</c:v>
                </c:pt>
                <c:pt idx="123">
                  <c:v>37825</c:v>
                </c:pt>
                <c:pt idx="124">
                  <c:v>37826</c:v>
                </c:pt>
                <c:pt idx="125">
                  <c:v>37827</c:v>
                </c:pt>
                <c:pt idx="126">
                  <c:v>37830</c:v>
                </c:pt>
                <c:pt idx="127">
                  <c:v>37831</c:v>
                </c:pt>
                <c:pt idx="128">
                  <c:v>37832</c:v>
                </c:pt>
                <c:pt idx="129">
                  <c:v>37833</c:v>
                </c:pt>
                <c:pt idx="130">
                  <c:v>37834</c:v>
                </c:pt>
                <c:pt idx="131">
                  <c:v>37837</c:v>
                </c:pt>
                <c:pt idx="132">
                  <c:v>37838</c:v>
                </c:pt>
                <c:pt idx="133">
                  <c:v>37839</c:v>
                </c:pt>
                <c:pt idx="134">
                  <c:v>37840</c:v>
                </c:pt>
                <c:pt idx="135">
                  <c:v>37841</c:v>
                </c:pt>
                <c:pt idx="136">
                  <c:v>37844</c:v>
                </c:pt>
                <c:pt idx="137">
                  <c:v>37845</c:v>
                </c:pt>
                <c:pt idx="138">
                  <c:v>37846</c:v>
                </c:pt>
                <c:pt idx="139">
                  <c:v>37847</c:v>
                </c:pt>
                <c:pt idx="140">
                  <c:v>37848</c:v>
                </c:pt>
                <c:pt idx="141">
                  <c:v>37851</c:v>
                </c:pt>
                <c:pt idx="142">
                  <c:v>37852</c:v>
                </c:pt>
                <c:pt idx="143">
                  <c:v>37853</c:v>
                </c:pt>
                <c:pt idx="144">
                  <c:v>37854</c:v>
                </c:pt>
                <c:pt idx="145">
                  <c:v>37855</c:v>
                </c:pt>
                <c:pt idx="146">
                  <c:v>37858</c:v>
                </c:pt>
                <c:pt idx="147">
                  <c:v>37859</c:v>
                </c:pt>
                <c:pt idx="148">
                  <c:v>37860</c:v>
                </c:pt>
                <c:pt idx="149">
                  <c:v>37861</c:v>
                </c:pt>
                <c:pt idx="150">
                  <c:v>37862</c:v>
                </c:pt>
                <c:pt idx="151">
                  <c:v>37866</c:v>
                </c:pt>
                <c:pt idx="152">
                  <c:v>37867</c:v>
                </c:pt>
                <c:pt idx="153">
                  <c:v>37868</c:v>
                </c:pt>
                <c:pt idx="154">
                  <c:v>37869</c:v>
                </c:pt>
                <c:pt idx="155">
                  <c:v>37872</c:v>
                </c:pt>
                <c:pt idx="156">
                  <c:v>37873</c:v>
                </c:pt>
                <c:pt idx="157">
                  <c:v>37874</c:v>
                </c:pt>
                <c:pt idx="158">
                  <c:v>37875</c:v>
                </c:pt>
                <c:pt idx="159">
                  <c:v>37876</c:v>
                </c:pt>
                <c:pt idx="160">
                  <c:v>37879</c:v>
                </c:pt>
                <c:pt idx="161">
                  <c:v>37880</c:v>
                </c:pt>
                <c:pt idx="162">
                  <c:v>37881</c:v>
                </c:pt>
                <c:pt idx="163">
                  <c:v>37882</c:v>
                </c:pt>
                <c:pt idx="164">
                  <c:v>37883</c:v>
                </c:pt>
                <c:pt idx="165">
                  <c:v>37886</c:v>
                </c:pt>
                <c:pt idx="166">
                  <c:v>37887</c:v>
                </c:pt>
                <c:pt idx="167">
                  <c:v>37888</c:v>
                </c:pt>
                <c:pt idx="168">
                  <c:v>37889</c:v>
                </c:pt>
                <c:pt idx="169">
                  <c:v>37890</c:v>
                </c:pt>
                <c:pt idx="170">
                  <c:v>37893</c:v>
                </c:pt>
                <c:pt idx="171">
                  <c:v>37894</c:v>
                </c:pt>
                <c:pt idx="172">
                  <c:v>37895</c:v>
                </c:pt>
                <c:pt idx="173">
                  <c:v>37896</c:v>
                </c:pt>
                <c:pt idx="174">
                  <c:v>37897</c:v>
                </c:pt>
                <c:pt idx="175">
                  <c:v>37900</c:v>
                </c:pt>
                <c:pt idx="176">
                  <c:v>37901</c:v>
                </c:pt>
                <c:pt idx="177">
                  <c:v>37902</c:v>
                </c:pt>
                <c:pt idx="178">
                  <c:v>37903</c:v>
                </c:pt>
                <c:pt idx="179">
                  <c:v>37904</c:v>
                </c:pt>
                <c:pt idx="180">
                  <c:v>37907</c:v>
                </c:pt>
                <c:pt idx="181">
                  <c:v>37908</c:v>
                </c:pt>
                <c:pt idx="182">
                  <c:v>37909</c:v>
                </c:pt>
                <c:pt idx="183">
                  <c:v>37910</c:v>
                </c:pt>
                <c:pt idx="184">
                  <c:v>37911</c:v>
                </c:pt>
                <c:pt idx="185">
                  <c:v>37914</c:v>
                </c:pt>
                <c:pt idx="186">
                  <c:v>37915</c:v>
                </c:pt>
                <c:pt idx="187">
                  <c:v>37916</c:v>
                </c:pt>
                <c:pt idx="188">
                  <c:v>37917</c:v>
                </c:pt>
                <c:pt idx="189">
                  <c:v>37921</c:v>
                </c:pt>
                <c:pt idx="190">
                  <c:v>37922</c:v>
                </c:pt>
                <c:pt idx="191">
                  <c:v>37923</c:v>
                </c:pt>
                <c:pt idx="192">
                  <c:v>37924</c:v>
                </c:pt>
                <c:pt idx="193">
                  <c:v>37925</c:v>
                </c:pt>
                <c:pt idx="194">
                  <c:v>37928</c:v>
                </c:pt>
                <c:pt idx="195">
                  <c:v>37929</c:v>
                </c:pt>
                <c:pt idx="196">
                  <c:v>37930</c:v>
                </c:pt>
                <c:pt idx="197">
                  <c:v>37931</c:v>
                </c:pt>
                <c:pt idx="198">
                  <c:v>37932</c:v>
                </c:pt>
                <c:pt idx="199">
                  <c:v>37935</c:v>
                </c:pt>
                <c:pt idx="200">
                  <c:v>37936</c:v>
                </c:pt>
                <c:pt idx="201">
                  <c:v>37937</c:v>
                </c:pt>
                <c:pt idx="202">
                  <c:v>37938</c:v>
                </c:pt>
                <c:pt idx="203">
                  <c:v>37939</c:v>
                </c:pt>
                <c:pt idx="204">
                  <c:v>37942</c:v>
                </c:pt>
                <c:pt idx="205">
                  <c:v>37943</c:v>
                </c:pt>
                <c:pt idx="206">
                  <c:v>37944</c:v>
                </c:pt>
                <c:pt idx="207">
                  <c:v>37945</c:v>
                </c:pt>
                <c:pt idx="208">
                  <c:v>37946</c:v>
                </c:pt>
                <c:pt idx="209">
                  <c:v>37952</c:v>
                </c:pt>
                <c:pt idx="210">
                  <c:v>37953</c:v>
                </c:pt>
                <c:pt idx="211">
                  <c:v>37956</c:v>
                </c:pt>
                <c:pt idx="212">
                  <c:v>37957</c:v>
                </c:pt>
                <c:pt idx="213">
                  <c:v>37958</c:v>
                </c:pt>
                <c:pt idx="214">
                  <c:v>37959</c:v>
                </c:pt>
                <c:pt idx="215">
                  <c:v>37960</c:v>
                </c:pt>
                <c:pt idx="216">
                  <c:v>37963</c:v>
                </c:pt>
                <c:pt idx="217">
                  <c:v>37964</c:v>
                </c:pt>
                <c:pt idx="218">
                  <c:v>37965</c:v>
                </c:pt>
                <c:pt idx="219">
                  <c:v>37966</c:v>
                </c:pt>
                <c:pt idx="220">
                  <c:v>37967</c:v>
                </c:pt>
                <c:pt idx="221">
                  <c:v>37970</c:v>
                </c:pt>
                <c:pt idx="222">
                  <c:v>37971</c:v>
                </c:pt>
                <c:pt idx="223">
                  <c:v>37972</c:v>
                </c:pt>
                <c:pt idx="224">
                  <c:v>37973</c:v>
                </c:pt>
                <c:pt idx="225">
                  <c:v>37974</c:v>
                </c:pt>
                <c:pt idx="226">
                  <c:v>37977</c:v>
                </c:pt>
                <c:pt idx="227">
                  <c:v>37978</c:v>
                </c:pt>
                <c:pt idx="228">
                  <c:v>37979</c:v>
                </c:pt>
                <c:pt idx="229">
                  <c:v>37981</c:v>
                </c:pt>
                <c:pt idx="230">
                  <c:v>37984</c:v>
                </c:pt>
                <c:pt idx="231">
                  <c:v>37985</c:v>
                </c:pt>
                <c:pt idx="232">
                  <c:v>37986</c:v>
                </c:pt>
                <c:pt idx="233">
                  <c:v>37988</c:v>
                </c:pt>
                <c:pt idx="234">
                  <c:v>37991</c:v>
                </c:pt>
                <c:pt idx="235">
                  <c:v>37992</c:v>
                </c:pt>
                <c:pt idx="236">
                  <c:v>37993</c:v>
                </c:pt>
                <c:pt idx="237">
                  <c:v>37994</c:v>
                </c:pt>
                <c:pt idx="238">
                  <c:v>37995</c:v>
                </c:pt>
                <c:pt idx="239">
                  <c:v>37998</c:v>
                </c:pt>
                <c:pt idx="240">
                  <c:v>37999</c:v>
                </c:pt>
                <c:pt idx="241">
                  <c:v>38000</c:v>
                </c:pt>
              </c:numCache>
            </c:numRef>
          </c:cat>
          <c:val>
            <c:numRef>
              <c:f>[1]FKLI!$E$1750:$E$1991</c:f>
              <c:numCache>
                <c:formatCode>General</c:formatCode>
                <c:ptCount val="242"/>
                <c:pt idx="0">
                  <c:v>3046</c:v>
                </c:pt>
                <c:pt idx="1">
                  <c:v>3164</c:v>
                </c:pt>
                <c:pt idx="2">
                  <c:v>3331</c:v>
                </c:pt>
                <c:pt idx="3">
                  <c:v>2892</c:v>
                </c:pt>
                <c:pt idx="4">
                  <c:v>2674</c:v>
                </c:pt>
                <c:pt idx="5">
                  <c:v>3132</c:v>
                </c:pt>
                <c:pt idx="6">
                  <c:v>3140</c:v>
                </c:pt>
                <c:pt idx="7">
                  <c:v>2066</c:v>
                </c:pt>
                <c:pt idx="8">
                  <c:v>2099</c:v>
                </c:pt>
                <c:pt idx="9">
                  <c:v>2059</c:v>
                </c:pt>
                <c:pt idx="10">
                  <c:v>2229</c:v>
                </c:pt>
                <c:pt idx="11">
                  <c:v>2338</c:v>
                </c:pt>
                <c:pt idx="12">
                  <c:v>2354</c:v>
                </c:pt>
                <c:pt idx="13">
                  <c:v>2487</c:v>
                </c:pt>
                <c:pt idx="14">
                  <c:v>2496</c:v>
                </c:pt>
                <c:pt idx="15">
                  <c:v>2600</c:v>
                </c:pt>
                <c:pt idx="16">
                  <c:v>2541</c:v>
                </c:pt>
                <c:pt idx="17">
                  <c:v>2509</c:v>
                </c:pt>
                <c:pt idx="18">
                  <c:v>2481</c:v>
                </c:pt>
                <c:pt idx="19">
                  <c:v>2456</c:v>
                </c:pt>
                <c:pt idx="20">
                  <c:v>2536</c:v>
                </c:pt>
                <c:pt idx="21">
                  <c:v>2666</c:v>
                </c:pt>
                <c:pt idx="22">
                  <c:v>2645</c:v>
                </c:pt>
                <c:pt idx="23">
                  <c:v>2699</c:v>
                </c:pt>
                <c:pt idx="24">
                  <c:v>1659</c:v>
                </c:pt>
                <c:pt idx="25">
                  <c:v>1711</c:v>
                </c:pt>
                <c:pt idx="26">
                  <c:v>1697</c:v>
                </c:pt>
                <c:pt idx="27">
                  <c:v>1734</c:v>
                </c:pt>
                <c:pt idx="28">
                  <c:v>1857</c:v>
                </c:pt>
                <c:pt idx="29">
                  <c:v>1905</c:v>
                </c:pt>
                <c:pt idx="30">
                  <c:v>1998</c:v>
                </c:pt>
                <c:pt idx="31">
                  <c:v>2206</c:v>
                </c:pt>
                <c:pt idx="32">
                  <c:v>2302</c:v>
                </c:pt>
                <c:pt idx="33">
                  <c:v>2362</c:v>
                </c:pt>
                <c:pt idx="34">
                  <c:v>2435</c:v>
                </c:pt>
                <c:pt idx="35">
                  <c:v>2538</c:v>
                </c:pt>
                <c:pt idx="36">
                  <c:v>2629</c:v>
                </c:pt>
                <c:pt idx="37">
                  <c:v>2835</c:v>
                </c:pt>
                <c:pt idx="38">
                  <c:v>2897</c:v>
                </c:pt>
                <c:pt idx="39">
                  <c:v>2965</c:v>
                </c:pt>
                <c:pt idx="40">
                  <c:v>2974</c:v>
                </c:pt>
                <c:pt idx="41">
                  <c:v>3200</c:v>
                </c:pt>
                <c:pt idx="42">
                  <c:v>3381</c:v>
                </c:pt>
                <c:pt idx="43">
                  <c:v>3655</c:v>
                </c:pt>
                <c:pt idx="44">
                  <c:v>1774</c:v>
                </c:pt>
                <c:pt idx="45">
                  <c:v>1801</c:v>
                </c:pt>
                <c:pt idx="46">
                  <c:v>1798</c:v>
                </c:pt>
                <c:pt idx="47">
                  <c:v>1952</c:v>
                </c:pt>
                <c:pt idx="48">
                  <c:v>2185</c:v>
                </c:pt>
                <c:pt idx="49">
                  <c:v>1846</c:v>
                </c:pt>
                <c:pt idx="50">
                  <c:v>1828</c:v>
                </c:pt>
                <c:pt idx="51">
                  <c:v>1788</c:v>
                </c:pt>
                <c:pt idx="52">
                  <c:v>1795</c:v>
                </c:pt>
                <c:pt idx="53">
                  <c:v>1815</c:v>
                </c:pt>
                <c:pt idx="54">
                  <c:v>1790</c:v>
                </c:pt>
                <c:pt idx="55">
                  <c:v>1858</c:v>
                </c:pt>
                <c:pt idx="56">
                  <c:v>1889</c:v>
                </c:pt>
                <c:pt idx="57">
                  <c:v>1898</c:v>
                </c:pt>
                <c:pt idx="58">
                  <c:v>1874</c:v>
                </c:pt>
                <c:pt idx="59">
                  <c:v>1868</c:v>
                </c:pt>
                <c:pt idx="60">
                  <c:v>1901</c:v>
                </c:pt>
                <c:pt idx="61">
                  <c:v>1957</c:v>
                </c:pt>
                <c:pt idx="62">
                  <c:v>1968</c:v>
                </c:pt>
                <c:pt idx="63">
                  <c:v>2032</c:v>
                </c:pt>
                <c:pt idx="64">
                  <c:v>2013</c:v>
                </c:pt>
                <c:pt idx="65">
                  <c:v>2079</c:v>
                </c:pt>
                <c:pt idx="66">
                  <c:v>1567</c:v>
                </c:pt>
                <c:pt idx="67">
                  <c:v>1516</c:v>
                </c:pt>
                <c:pt idx="68">
                  <c:v>1822</c:v>
                </c:pt>
                <c:pt idx="69">
                  <c:v>1822</c:v>
                </c:pt>
                <c:pt idx="70">
                  <c:v>1809</c:v>
                </c:pt>
                <c:pt idx="71">
                  <c:v>1800</c:v>
                </c:pt>
                <c:pt idx="72">
                  <c:v>1763</c:v>
                </c:pt>
                <c:pt idx="73">
                  <c:v>1781</c:v>
                </c:pt>
                <c:pt idx="74">
                  <c:v>1786</c:v>
                </c:pt>
                <c:pt idx="75">
                  <c:v>1905</c:v>
                </c:pt>
                <c:pt idx="76">
                  <c:v>2040</c:v>
                </c:pt>
                <c:pt idx="77">
                  <c:v>1806</c:v>
                </c:pt>
                <c:pt idx="78">
                  <c:v>1866</c:v>
                </c:pt>
                <c:pt idx="79">
                  <c:v>1898</c:v>
                </c:pt>
                <c:pt idx="80">
                  <c:v>2160</c:v>
                </c:pt>
                <c:pt idx="81">
                  <c:v>2368</c:v>
                </c:pt>
                <c:pt idx="82">
                  <c:v>2492</c:v>
                </c:pt>
                <c:pt idx="83">
                  <c:v>2798</c:v>
                </c:pt>
                <c:pt idx="84">
                  <c:v>3205</c:v>
                </c:pt>
                <c:pt idx="85">
                  <c:v>2489</c:v>
                </c:pt>
                <c:pt idx="86">
                  <c:v>2676</c:v>
                </c:pt>
                <c:pt idx="87">
                  <c:v>2711</c:v>
                </c:pt>
                <c:pt idx="88">
                  <c:v>2768</c:v>
                </c:pt>
                <c:pt idx="89">
                  <c:v>3005</c:v>
                </c:pt>
                <c:pt idx="90">
                  <c:v>3185</c:v>
                </c:pt>
                <c:pt idx="91">
                  <c:v>3300</c:v>
                </c:pt>
                <c:pt idx="92">
                  <c:v>3368</c:v>
                </c:pt>
                <c:pt idx="93">
                  <c:v>3739</c:v>
                </c:pt>
                <c:pt idx="94">
                  <c:v>3860</c:v>
                </c:pt>
                <c:pt idx="95">
                  <c:v>3861</c:v>
                </c:pt>
                <c:pt idx="96">
                  <c:v>3888</c:v>
                </c:pt>
                <c:pt idx="97">
                  <c:v>4159</c:v>
                </c:pt>
                <c:pt idx="98">
                  <c:v>4308</c:v>
                </c:pt>
                <c:pt idx="99">
                  <c:v>4400</c:v>
                </c:pt>
                <c:pt idx="100">
                  <c:v>4614</c:v>
                </c:pt>
                <c:pt idx="101">
                  <c:v>5421</c:v>
                </c:pt>
                <c:pt idx="102">
                  <c:v>5074</c:v>
                </c:pt>
                <c:pt idx="103">
                  <c:v>5574</c:v>
                </c:pt>
                <c:pt idx="104">
                  <c:v>5084</c:v>
                </c:pt>
                <c:pt idx="105">
                  <c:v>4777</c:v>
                </c:pt>
                <c:pt idx="106">
                  <c:v>3736</c:v>
                </c:pt>
                <c:pt idx="107">
                  <c:v>3816</c:v>
                </c:pt>
                <c:pt idx="108">
                  <c:v>3982</c:v>
                </c:pt>
                <c:pt idx="109">
                  <c:v>3832</c:v>
                </c:pt>
                <c:pt idx="110">
                  <c:v>3864</c:v>
                </c:pt>
                <c:pt idx="111">
                  <c:v>4511</c:v>
                </c:pt>
                <c:pt idx="112">
                  <c:v>4044</c:v>
                </c:pt>
                <c:pt idx="113">
                  <c:v>3913</c:v>
                </c:pt>
                <c:pt idx="114">
                  <c:v>4006</c:v>
                </c:pt>
                <c:pt idx="115">
                  <c:v>4290</c:v>
                </c:pt>
                <c:pt idx="116">
                  <c:v>4472</c:v>
                </c:pt>
                <c:pt idx="117">
                  <c:v>4553</c:v>
                </c:pt>
                <c:pt idx="118">
                  <c:v>4666</c:v>
                </c:pt>
                <c:pt idx="119">
                  <c:v>4645</c:v>
                </c:pt>
                <c:pt idx="120">
                  <c:v>4724</c:v>
                </c:pt>
                <c:pt idx="121">
                  <c:v>4817</c:v>
                </c:pt>
                <c:pt idx="122">
                  <c:v>4893</c:v>
                </c:pt>
                <c:pt idx="123">
                  <c:v>4686</c:v>
                </c:pt>
                <c:pt idx="124">
                  <c:v>4607</c:v>
                </c:pt>
                <c:pt idx="125">
                  <c:v>4679</c:v>
                </c:pt>
                <c:pt idx="126">
                  <c:v>5162</c:v>
                </c:pt>
                <c:pt idx="127">
                  <c:v>5407</c:v>
                </c:pt>
                <c:pt idx="128">
                  <c:v>5038</c:v>
                </c:pt>
                <c:pt idx="129">
                  <c:v>4001</c:v>
                </c:pt>
                <c:pt idx="130">
                  <c:v>4204</c:v>
                </c:pt>
                <c:pt idx="131">
                  <c:v>4240</c:v>
                </c:pt>
                <c:pt idx="132">
                  <c:v>4302</c:v>
                </c:pt>
                <c:pt idx="133">
                  <c:v>4588</c:v>
                </c:pt>
                <c:pt idx="134">
                  <c:v>4821</c:v>
                </c:pt>
                <c:pt idx="135">
                  <c:v>3763</c:v>
                </c:pt>
                <c:pt idx="136">
                  <c:v>3780</c:v>
                </c:pt>
                <c:pt idx="137">
                  <c:v>3812</c:v>
                </c:pt>
                <c:pt idx="138">
                  <c:v>3774</c:v>
                </c:pt>
                <c:pt idx="139">
                  <c:v>3828</c:v>
                </c:pt>
                <c:pt idx="140">
                  <c:v>3878</c:v>
                </c:pt>
                <c:pt idx="141">
                  <c:v>3915</c:v>
                </c:pt>
                <c:pt idx="142">
                  <c:v>3932</c:v>
                </c:pt>
                <c:pt idx="143">
                  <c:v>4038</c:v>
                </c:pt>
                <c:pt idx="144">
                  <c:v>4097</c:v>
                </c:pt>
                <c:pt idx="145">
                  <c:v>3844</c:v>
                </c:pt>
                <c:pt idx="146">
                  <c:v>3902</c:v>
                </c:pt>
                <c:pt idx="147">
                  <c:v>3970</c:v>
                </c:pt>
                <c:pt idx="148">
                  <c:v>3980</c:v>
                </c:pt>
                <c:pt idx="149">
                  <c:v>3807</c:v>
                </c:pt>
                <c:pt idx="150">
                  <c:v>2774</c:v>
                </c:pt>
                <c:pt idx="151">
                  <c:v>2849</c:v>
                </c:pt>
                <c:pt idx="152">
                  <c:v>2946</c:v>
                </c:pt>
                <c:pt idx="153">
                  <c:v>2735</c:v>
                </c:pt>
                <c:pt idx="154">
                  <c:v>2648</c:v>
                </c:pt>
                <c:pt idx="155">
                  <c:v>2646</c:v>
                </c:pt>
                <c:pt idx="156">
                  <c:v>2683</c:v>
                </c:pt>
                <c:pt idx="157">
                  <c:v>2724</c:v>
                </c:pt>
                <c:pt idx="158">
                  <c:v>2780</c:v>
                </c:pt>
                <c:pt idx="159">
                  <c:v>2938</c:v>
                </c:pt>
                <c:pt idx="160">
                  <c:v>2929</c:v>
                </c:pt>
                <c:pt idx="161">
                  <c:v>2915</c:v>
                </c:pt>
                <c:pt idx="162">
                  <c:v>2821</c:v>
                </c:pt>
                <c:pt idx="163">
                  <c:v>5546</c:v>
                </c:pt>
                <c:pt idx="164">
                  <c:v>5817</c:v>
                </c:pt>
                <c:pt idx="165">
                  <c:v>5891</c:v>
                </c:pt>
                <c:pt idx="166">
                  <c:v>6191</c:v>
                </c:pt>
                <c:pt idx="167">
                  <c:v>6920</c:v>
                </c:pt>
                <c:pt idx="168">
                  <c:v>7179</c:v>
                </c:pt>
                <c:pt idx="169">
                  <c:v>7904</c:v>
                </c:pt>
                <c:pt idx="170">
                  <c:v>7836</c:v>
                </c:pt>
                <c:pt idx="171">
                  <c:v>5690</c:v>
                </c:pt>
                <c:pt idx="172">
                  <c:v>5611</c:v>
                </c:pt>
                <c:pt idx="173">
                  <c:v>5774</c:v>
                </c:pt>
                <c:pt idx="174">
                  <c:v>5721</c:v>
                </c:pt>
                <c:pt idx="175">
                  <c:v>5489</c:v>
                </c:pt>
                <c:pt idx="176">
                  <c:v>5481</c:v>
                </c:pt>
                <c:pt idx="177">
                  <c:v>5777</c:v>
                </c:pt>
                <c:pt idx="178">
                  <c:v>6248</c:v>
                </c:pt>
                <c:pt idx="179">
                  <c:v>6546</c:v>
                </c:pt>
                <c:pt idx="180">
                  <c:v>6926</c:v>
                </c:pt>
                <c:pt idx="181">
                  <c:v>7155</c:v>
                </c:pt>
                <c:pt idx="182">
                  <c:v>7631</c:v>
                </c:pt>
                <c:pt idx="183">
                  <c:v>7947</c:v>
                </c:pt>
                <c:pt idx="184">
                  <c:v>8132</c:v>
                </c:pt>
                <c:pt idx="185">
                  <c:v>8343</c:v>
                </c:pt>
                <c:pt idx="186">
                  <c:v>8797</c:v>
                </c:pt>
                <c:pt idx="187">
                  <c:v>8449</c:v>
                </c:pt>
                <c:pt idx="188">
                  <c:v>8556</c:v>
                </c:pt>
                <c:pt idx="189">
                  <c:v>8584</c:v>
                </c:pt>
                <c:pt idx="190">
                  <c:v>8893</c:v>
                </c:pt>
                <c:pt idx="191">
                  <c:v>9417</c:v>
                </c:pt>
                <c:pt idx="192">
                  <c:v>8907</c:v>
                </c:pt>
                <c:pt idx="193">
                  <c:v>7602</c:v>
                </c:pt>
                <c:pt idx="194">
                  <c:v>8063</c:v>
                </c:pt>
                <c:pt idx="195">
                  <c:v>8229</c:v>
                </c:pt>
                <c:pt idx="196">
                  <c:v>9194</c:v>
                </c:pt>
                <c:pt idx="197">
                  <c:v>9483</c:v>
                </c:pt>
                <c:pt idx="198">
                  <c:v>9434</c:v>
                </c:pt>
                <c:pt idx="199">
                  <c:v>9334</c:v>
                </c:pt>
                <c:pt idx="200">
                  <c:v>9405</c:v>
                </c:pt>
                <c:pt idx="201">
                  <c:v>9577</c:v>
                </c:pt>
                <c:pt idx="202">
                  <c:v>10137</c:v>
                </c:pt>
                <c:pt idx="203">
                  <c:v>10206</c:v>
                </c:pt>
                <c:pt idx="204">
                  <c:v>10081</c:v>
                </c:pt>
                <c:pt idx="205">
                  <c:v>10187</c:v>
                </c:pt>
                <c:pt idx="206">
                  <c:v>10815</c:v>
                </c:pt>
                <c:pt idx="207">
                  <c:v>10788</c:v>
                </c:pt>
                <c:pt idx="208">
                  <c:v>10961</c:v>
                </c:pt>
                <c:pt idx="209">
                  <c:v>11870</c:v>
                </c:pt>
                <c:pt idx="210">
                  <c:v>7681</c:v>
                </c:pt>
                <c:pt idx="211">
                  <c:v>7881</c:v>
                </c:pt>
                <c:pt idx="212">
                  <c:v>8404</c:v>
                </c:pt>
                <c:pt idx="213">
                  <c:v>8362</c:v>
                </c:pt>
                <c:pt idx="214">
                  <c:v>8718</c:v>
                </c:pt>
                <c:pt idx="215">
                  <c:v>8945</c:v>
                </c:pt>
                <c:pt idx="216">
                  <c:v>9100</c:v>
                </c:pt>
                <c:pt idx="217">
                  <c:v>9000</c:v>
                </c:pt>
                <c:pt idx="218">
                  <c:v>9306</c:v>
                </c:pt>
                <c:pt idx="219">
                  <c:v>9270</c:v>
                </c:pt>
                <c:pt idx="220">
                  <c:v>9358</c:v>
                </c:pt>
                <c:pt idx="221">
                  <c:v>9407</c:v>
                </c:pt>
                <c:pt idx="222">
                  <c:v>9475</c:v>
                </c:pt>
                <c:pt idx="223">
                  <c:v>9331</c:v>
                </c:pt>
                <c:pt idx="224">
                  <c:v>9530</c:v>
                </c:pt>
                <c:pt idx="225">
                  <c:v>9291</c:v>
                </c:pt>
                <c:pt idx="226">
                  <c:v>9675</c:v>
                </c:pt>
                <c:pt idx="227">
                  <c:v>10005</c:v>
                </c:pt>
                <c:pt idx="228">
                  <c:v>10037</c:v>
                </c:pt>
                <c:pt idx="229">
                  <c:v>9851</c:v>
                </c:pt>
                <c:pt idx="230">
                  <c:v>9834</c:v>
                </c:pt>
                <c:pt idx="231">
                  <c:v>11003</c:v>
                </c:pt>
                <c:pt idx="232">
                  <c:v>8993</c:v>
                </c:pt>
                <c:pt idx="233">
                  <c:v>8989</c:v>
                </c:pt>
                <c:pt idx="234">
                  <c:v>9661</c:v>
                </c:pt>
                <c:pt idx="235">
                  <c:v>10271</c:v>
                </c:pt>
                <c:pt idx="236">
                  <c:v>10989</c:v>
                </c:pt>
                <c:pt idx="237">
                  <c:v>11262</c:v>
                </c:pt>
                <c:pt idx="238">
                  <c:v>14151</c:v>
                </c:pt>
                <c:pt idx="239">
                  <c:v>14961</c:v>
                </c:pt>
                <c:pt idx="240">
                  <c:v>15476</c:v>
                </c:pt>
                <c:pt idx="241">
                  <c:v>16406</c:v>
                </c:pt>
              </c:numCache>
            </c:numRef>
          </c:val>
        </c:ser>
        <c:marker val="1"/>
        <c:axId val="133678208"/>
        <c:axId val="133679744"/>
      </c:lineChart>
      <c:catAx>
        <c:axId val="133662208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63744"/>
        <c:crosses val="autoZero"/>
        <c:lblAlgn val="ctr"/>
        <c:lblOffset val="100"/>
        <c:tickLblSkip val="8"/>
        <c:tickMarkSkip val="1"/>
      </c:catAx>
      <c:valAx>
        <c:axId val="133663744"/>
        <c:scaling>
          <c:orientation val="minMax"/>
          <c:max val="10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264502885493675"/>
              <c:y val="0.25751072961373389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62208"/>
        <c:crosses val="autoZero"/>
        <c:crossBetween val="between"/>
        <c:majorUnit val="1000"/>
      </c:valAx>
      <c:catAx>
        <c:axId val="133678208"/>
        <c:scaling>
          <c:orientation val="minMax"/>
        </c:scaling>
        <c:delete val="1"/>
        <c:axPos val="b"/>
        <c:numFmt formatCode="General" sourceLinked="1"/>
        <c:tickLblPos val="nextTo"/>
        <c:crossAx val="133679744"/>
        <c:crosses val="autoZero"/>
        <c:lblAlgn val="ctr"/>
        <c:lblOffset val="100"/>
      </c:catAx>
      <c:valAx>
        <c:axId val="133679744"/>
        <c:scaling>
          <c:orientation val="minMax"/>
          <c:max val="18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7.1839181257831132E-3"/>
              <c:y val="0.2060085836909871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678208"/>
        <c:crosses val="max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42584779354118"/>
          <c:y val="9.8712446351931354E-2"/>
          <c:w val="0.41235690041995077"/>
          <c:h val="5.1502145922746795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3573545831981913E-2"/>
          <c:y val="7.3276016290107021E-2"/>
          <c:w val="0.8962542328878057"/>
          <c:h val="0.6637945005103818"/>
        </c:manualLayout>
      </c:layout>
      <c:lineChart>
        <c:grouping val="standard"/>
        <c:ser>
          <c:idx val="0"/>
          <c:order val="0"/>
          <c:tx>
            <c:strRef>
              <c:f>notional!$E$3</c:f>
              <c:strCache>
                <c:ptCount val="1"/>
                <c:pt idx="0">
                  <c:v>DLR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notional!$A$4:$A$99</c:f>
              <c:numCache>
                <c:formatCode>mmm\-yy</c:formatCode>
                <c:ptCount val="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</c:numCache>
            </c:numRef>
          </c:cat>
          <c:val>
            <c:numRef>
              <c:f>notional!$E$4:$E$99</c:f>
              <c:numCache>
                <c:formatCode>0.00%</c:formatCode>
                <c:ptCount val="96"/>
                <c:pt idx="0">
                  <c:v>5.5976249856343162E-3</c:v>
                </c:pt>
                <c:pt idx="1">
                  <c:v>2.4728427781582841E-2</c:v>
                </c:pt>
                <c:pt idx="2">
                  <c:v>4.3900374757437008E-2</c:v>
                </c:pt>
                <c:pt idx="3">
                  <c:v>5.9139074965528012E-2</c:v>
                </c:pt>
                <c:pt idx="4">
                  <c:v>7.62643146374717E-2</c:v>
                </c:pt>
                <c:pt idx="5">
                  <c:v>9.3457100985546479E-2</c:v>
                </c:pt>
                <c:pt idx="6">
                  <c:v>0.11301117574561627</c:v>
                </c:pt>
                <c:pt idx="7">
                  <c:v>0.10982700473332521</c:v>
                </c:pt>
                <c:pt idx="8">
                  <c:v>0.16315111374090968</c:v>
                </c:pt>
                <c:pt idx="9">
                  <c:v>0.10211260878425633</c:v>
                </c:pt>
                <c:pt idx="10">
                  <c:v>0.14740605267724841</c:v>
                </c:pt>
                <c:pt idx="11">
                  <c:v>0.10813592939906351</c:v>
                </c:pt>
                <c:pt idx="12">
                  <c:v>0.20644357081215842</c:v>
                </c:pt>
                <c:pt idx="13">
                  <c:v>0.1199566698239692</c:v>
                </c:pt>
                <c:pt idx="14">
                  <c:v>8.5883510437624017E-2</c:v>
                </c:pt>
                <c:pt idx="15">
                  <c:v>9.4087708204599982E-2</c:v>
                </c:pt>
                <c:pt idx="16">
                  <c:v>0.15534966376193873</c:v>
                </c:pt>
                <c:pt idx="17">
                  <c:v>0.25072081354461873</c:v>
                </c:pt>
                <c:pt idx="18">
                  <c:v>0.2636637971438579</c:v>
                </c:pt>
                <c:pt idx="19">
                  <c:v>0.28050992796591434</c:v>
                </c:pt>
                <c:pt idx="20">
                  <c:v>0.41953971267198847</c:v>
                </c:pt>
                <c:pt idx="21">
                  <c:v>0.36332274090658878</c:v>
                </c:pt>
                <c:pt idx="22">
                  <c:v>0.44447943530224077</c:v>
                </c:pt>
                <c:pt idx="23">
                  <c:v>0.50021085795492382</c:v>
                </c:pt>
                <c:pt idx="24">
                  <c:v>0.52553605038707041</c:v>
                </c:pt>
                <c:pt idx="25">
                  <c:v>0.55056338910519043</c:v>
                </c:pt>
                <c:pt idx="26">
                  <c:v>0.4055116181666541</c:v>
                </c:pt>
                <c:pt idx="27">
                  <c:v>0.71130755192905581</c:v>
                </c:pt>
                <c:pt idx="28">
                  <c:v>1.275506881781018</c:v>
                </c:pt>
                <c:pt idx="29">
                  <c:v>1.2675878509285334</c:v>
                </c:pt>
                <c:pt idx="30">
                  <c:v>1.1901440643303776</c:v>
                </c:pt>
                <c:pt idx="31">
                  <c:v>1.0868034181893784</c:v>
                </c:pt>
                <c:pt idx="32">
                  <c:v>1.0406647135872338</c:v>
                </c:pt>
                <c:pt idx="33">
                  <c:v>0.48284424002812665</c:v>
                </c:pt>
                <c:pt idx="34">
                  <c:v>0.21375525599802125</c:v>
                </c:pt>
                <c:pt idx="35">
                  <c:v>0.27310442881138136</c:v>
                </c:pt>
                <c:pt idx="36">
                  <c:v>0.2427639339939083</c:v>
                </c:pt>
                <c:pt idx="37">
                  <c:v>0.37971333400846385</c:v>
                </c:pt>
                <c:pt idx="38">
                  <c:v>0.64094595570040669</c:v>
                </c:pt>
                <c:pt idx="39">
                  <c:v>0.76529778291497219</c:v>
                </c:pt>
                <c:pt idx="40">
                  <c:v>0.45368371017018622</c:v>
                </c:pt>
                <c:pt idx="41">
                  <c:v>0.39132606668415149</c:v>
                </c:pt>
                <c:pt idx="42">
                  <c:v>0.39588303122556062</c:v>
                </c:pt>
                <c:pt idx="43">
                  <c:v>0.23498033653447348</c:v>
                </c:pt>
                <c:pt idx="44">
                  <c:v>0.36842209622610705</c:v>
                </c:pt>
                <c:pt idx="45">
                  <c:v>0.38533015084989386</c:v>
                </c:pt>
                <c:pt idx="46">
                  <c:v>0.41572095209513721</c:v>
                </c:pt>
                <c:pt idx="47">
                  <c:v>0.31008617654833304</c:v>
                </c:pt>
                <c:pt idx="48">
                  <c:v>0.27898040209941233</c:v>
                </c:pt>
                <c:pt idx="49">
                  <c:v>0.26165949496184843</c:v>
                </c:pt>
                <c:pt idx="50">
                  <c:v>0.18501726169616928</c:v>
                </c:pt>
                <c:pt idx="51">
                  <c:v>0.35596313209991037</c:v>
                </c:pt>
                <c:pt idx="52">
                  <c:v>0.31337434597725411</c:v>
                </c:pt>
                <c:pt idx="53">
                  <c:v>0.34178540552947317</c:v>
                </c:pt>
                <c:pt idx="54">
                  <c:v>0.40447891227271615</c:v>
                </c:pt>
                <c:pt idx="55">
                  <c:v>0.5994197322663446</c:v>
                </c:pt>
                <c:pt idx="56">
                  <c:v>0.43764028476329314</c:v>
                </c:pt>
                <c:pt idx="57">
                  <c:v>0.5077028748470459</c:v>
                </c:pt>
                <c:pt idx="58">
                  <c:v>0.36909683932123505</c:v>
                </c:pt>
                <c:pt idx="59">
                  <c:v>0.54587108185299671</c:v>
                </c:pt>
                <c:pt idx="60">
                  <c:v>0.43188727934198118</c:v>
                </c:pt>
                <c:pt idx="61">
                  <c:v>0.40097855111274927</c:v>
                </c:pt>
                <c:pt idx="62">
                  <c:v>0.49794650116604289</c:v>
                </c:pt>
                <c:pt idx="63">
                  <c:v>0.52947185255266627</c:v>
                </c:pt>
                <c:pt idx="64">
                  <c:v>0.60649311467794342</c:v>
                </c:pt>
                <c:pt idx="65">
                  <c:v>0.44716498039022484</c:v>
                </c:pt>
                <c:pt idx="66">
                  <c:v>0.44113995251471011</c:v>
                </c:pt>
                <c:pt idx="67">
                  <c:v>0.27261227673532157</c:v>
                </c:pt>
                <c:pt idx="68">
                  <c:v>0.30487735848499897</c:v>
                </c:pt>
                <c:pt idx="69">
                  <c:v>0.32848592032113633</c:v>
                </c:pt>
                <c:pt idx="70">
                  <c:v>0.38175701862080463</c:v>
                </c:pt>
                <c:pt idx="71">
                  <c:v>0.42232625087148734</c:v>
                </c:pt>
                <c:pt idx="72">
                  <c:v>0.2587995476337866</c:v>
                </c:pt>
                <c:pt idx="73">
                  <c:v>0.26903054379168867</c:v>
                </c:pt>
                <c:pt idx="74">
                  <c:v>0.22983381622573013</c:v>
                </c:pt>
                <c:pt idx="75">
                  <c:v>0.21958008413126953</c:v>
                </c:pt>
                <c:pt idx="76">
                  <c:v>0.19019002164094986</c:v>
                </c:pt>
                <c:pt idx="77">
                  <c:v>0.25829552542249784</c:v>
                </c:pt>
                <c:pt idx="78">
                  <c:v>0.26461831459520058</c:v>
                </c:pt>
                <c:pt idx="79">
                  <c:v>0.45353358819161099</c:v>
                </c:pt>
                <c:pt idx="80">
                  <c:v>0.33944311057018833</c:v>
                </c:pt>
                <c:pt idx="81">
                  <c:v>0.46504173235945945</c:v>
                </c:pt>
                <c:pt idx="82">
                  <c:v>0.52608664972845809</c:v>
                </c:pt>
                <c:pt idx="83">
                  <c:v>0.3330401591165959</c:v>
                </c:pt>
                <c:pt idx="84">
                  <c:v>0.24247014335769443</c:v>
                </c:pt>
                <c:pt idx="85">
                  <c:v>0.282435756909036</c:v>
                </c:pt>
                <c:pt idx="86">
                  <c:v>0.2886094855807671</c:v>
                </c:pt>
                <c:pt idx="87">
                  <c:v>0.23604327518818874</c:v>
                </c:pt>
                <c:pt idx="88">
                  <c:v>0.26071781109336373</c:v>
                </c:pt>
                <c:pt idx="89">
                  <c:v>0.24240035582422631</c:v>
                </c:pt>
                <c:pt idx="90">
                  <c:v>0.27196342133226864</c:v>
                </c:pt>
                <c:pt idx="91">
                  <c:v>0.24043249497522123</c:v>
                </c:pt>
                <c:pt idx="92">
                  <c:v>0.26212612866301466</c:v>
                </c:pt>
                <c:pt idx="93">
                  <c:v>0.21879440293416583</c:v>
                </c:pt>
                <c:pt idx="94">
                  <c:v>0.18429726082790832</c:v>
                </c:pt>
                <c:pt idx="95">
                  <c:v>0.31405445100534291</c:v>
                </c:pt>
              </c:numCache>
            </c:numRef>
          </c:val>
        </c:ser>
        <c:marker val="1"/>
        <c:axId val="133766144"/>
        <c:axId val="133784704"/>
      </c:lineChart>
      <c:catAx>
        <c:axId val="13376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8962542328878057"/>
              <c:y val="0.89224325717953878"/>
            </c:manualLayout>
          </c:layout>
          <c:spPr>
            <a:noFill/>
            <a:ln w="25400">
              <a:noFill/>
            </a:ln>
          </c:spPr>
        </c:title>
        <c:numFmt formatCode="mmm\-yy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84704"/>
        <c:crosses val="autoZero"/>
        <c:lblAlgn val="ctr"/>
        <c:lblOffset val="100"/>
        <c:tickLblSkip val="3"/>
        <c:tickMarkSkip val="1"/>
      </c:catAx>
      <c:valAx>
        <c:axId val="133784704"/>
        <c:scaling>
          <c:orientation val="minMax"/>
          <c:max val="1.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DLR (%)</a:t>
                </a:r>
              </a:p>
            </c:rich>
          </c:tx>
          <c:layout>
            <c:manualLayout>
              <c:xMode val="edge"/>
              <c:yMode val="edge"/>
              <c:x val="1.0086462427997812E-2"/>
              <c:y val="0.77586370189525056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766144"/>
        <c:crosses val="autoZero"/>
        <c:crossBetween val="midCat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43817011196012"/>
          <c:y val="9.913813968661539E-2"/>
          <c:w val="7.9250776219982819E-2"/>
          <c:h val="7.75863701895251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paperSize="9" orientation="landscape" horizontalDpi="-4" verticalDpi="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Volatility (5-day annualised) vs. Volume</a:t>
            </a:r>
          </a:p>
        </c:rich>
      </c:tx>
      <c:layout>
        <c:manualLayout>
          <c:xMode val="edge"/>
          <c:yMode val="edge"/>
          <c:x val="0.32614988291055336"/>
          <c:y val="2.293577981651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96666633927501E-2"/>
          <c:y val="6.8807339449541344E-2"/>
          <c:w val="0.85632304059334674"/>
          <c:h val="0.66972477064220204"/>
        </c:manualLayout>
      </c:layout>
      <c:barChart>
        <c:barDir val="col"/>
        <c:grouping val="clustered"/>
        <c:ser>
          <c:idx val="1"/>
          <c:order val="0"/>
          <c:tx>
            <c:strRef>
              <c:f>'[1]FKLI 5d-Volatility'!$B$1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'[1]FKLI 5d-Volatility'!$A$1747:$A$1991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'[1]FKLI 5d-Volatility'!$B$1747:$B$1991</c:f>
              <c:numCache>
                <c:formatCode>General</c:formatCode>
                <c:ptCount val="245"/>
                <c:pt idx="0">
                  <c:v>860</c:v>
                </c:pt>
                <c:pt idx="1">
                  <c:v>786</c:v>
                </c:pt>
                <c:pt idx="2">
                  <c:v>711</c:v>
                </c:pt>
                <c:pt idx="3">
                  <c:v>1124</c:v>
                </c:pt>
                <c:pt idx="4">
                  <c:v>519</c:v>
                </c:pt>
                <c:pt idx="5">
                  <c:v>961</c:v>
                </c:pt>
                <c:pt idx="6">
                  <c:v>1317</c:v>
                </c:pt>
                <c:pt idx="7">
                  <c:v>1909</c:v>
                </c:pt>
                <c:pt idx="8">
                  <c:v>2274</c:v>
                </c:pt>
                <c:pt idx="9">
                  <c:v>1876</c:v>
                </c:pt>
                <c:pt idx="10">
                  <c:v>814</c:v>
                </c:pt>
                <c:pt idx="11">
                  <c:v>387</c:v>
                </c:pt>
                <c:pt idx="12">
                  <c:v>289</c:v>
                </c:pt>
                <c:pt idx="13">
                  <c:v>1270</c:v>
                </c:pt>
                <c:pt idx="14">
                  <c:v>597</c:v>
                </c:pt>
                <c:pt idx="15">
                  <c:v>648</c:v>
                </c:pt>
                <c:pt idx="16">
                  <c:v>585</c:v>
                </c:pt>
                <c:pt idx="17">
                  <c:v>279</c:v>
                </c:pt>
                <c:pt idx="18">
                  <c:v>871</c:v>
                </c:pt>
                <c:pt idx="19">
                  <c:v>443</c:v>
                </c:pt>
                <c:pt idx="20">
                  <c:v>394</c:v>
                </c:pt>
                <c:pt idx="21">
                  <c:v>337</c:v>
                </c:pt>
                <c:pt idx="22">
                  <c:v>273</c:v>
                </c:pt>
                <c:pt idx="23">
                  <c:v>582</c:v>
                </c:pt>
                <c:pt idx="24">
                  <c:v>1228</c:v>
                </c:pt>
                <c:pt idx="25">
                  <c:v>1290</c:v>
                </c:pt>
                <c:pt idx="26">
                  <c:v>2004</c:v>
                </c:pt>
                <c:pt idx="27">
                  <c:v>819</c:v>
                </c:pt>
                <c:pt idx="28">
                  <c:v>236</c:v>
                </c:pt>
                <c:pt idx="29">
                  <c:v>389</c:v>
                </c:pt>
                <c:pt idx="30">
                  <c:v>221</c:v>
                </c:pt>
                <c:pt idx="31">
                  <c:v>376</c:v>
                </c:pt>
                <c:pt idx="32">
                  <c:v>339</c:v>
                </c:pt>
                <c:pt idx="33">
                  <c:v>620</c:v>
                </c:pt>
                <c:pt idx="34">
                  <c:v>662</c:v>
                </c:pt>
                <c:pt idx="35">
                  <c:v>519</c:v>
                </c:pt>
                <c:pt idx="36">
                  <c:v>819</c:v>
                </c:pt>
                <c:pt idx="37">
                  <c:v>548</c:v>
                </c:pt>
                <c:pt idx="38">
                  <c:v>791</c:v>
                </c:pt>
                <c:pt idx="39">
                  <c:v>304</c:v>
                </c:pt>
                <c:pt idx="40">
                  <c:v>1456</c:v>
                </c:pt>
                <c:pt idx="41">
                  <c:v>474</c:v>
                </c:pt>
                <c:pt idx="42">
                  <c:v>748</c:v>
                </c:pt>
                <c:pt idx="43">
                  <c:v>1135</c:v>
                </c:pt>
                <c:pt idx="44">
                  <c:v>1189</c:v>
                </c:pt>
                <c:pt idx="45">
                  <c:v>1266</c:v>
                </c:pt>
                <c:pt idx="46">
                  <c:v>1488</c:v>
                </c:pt>
                <c:pt idx="47">
                  <c:v>1140</c:v>
                </c:pt>
                <c:pt idx="48">
                  <c:v>457</c:v>
                </c:pt>
                <c:pt idx="49">
                  <c:v>374</c:v>
                </c:pt>
                <c:pt idx="50">
                  <c:v>675</c:v>
                </c:pt>
                <c:pt idx="51">
                  <c:v>1195</c:v>
                </c:pt>
                <c:pt idx="52">
                  <c:v>727</c:v>
                </c:pt>
                <c:pt idx="53">
                  <c:v>770</c:v>
                </c:pt>
                <c:pt idx="54">
                  <c:v>712</c:v>
                </c:pt>
                <c:pt idx="55">
                  <c:v>424</c:v>
                </c:pt>
                <c:pt idx="56">
                  <c:v>341</c:v>
                </c:pt>
                <c:pt idx="57">
                  <c:v>498</c:v>
                </c:pt>
                <c:pt idx="58">
                  <c:v>587</c:v>
                </c:pt>
                <c:pt idx="59">
                  <c:v>595</c:v>
                </c:pt>
                <c:pt idx="60">
                  <c:v>248</c:v>
                </c:pt>
                <c:pt idx="61">
                  <c:v>328</c:v>
                </c:pt>
                <c:pt idx="62">
                  <c:v>167</c:v>
                </c:pt>
                <c:pt idx="63">
                  <c:v>401</c:v>
                </c:pt>
                <c:pt idx="64">
                  <c:v>493</c:v>
                </c:pt>
                <c:pt idx="65">
                  <c:v>523</c:v>
                </c:pt>
                <c:pt idx="66">
                  <c:v>1621</c:v>
                </c:pt>
                <c:pt idx="67">
                  <c:v>1996</c:v>
                </c:pt>
                <c:pt idx="68">
                  <c:v>770</c:v>
                </c:pt>
                <c:pt idx="69">
                  <c:v>591</c:v>
                </c:pt>
                <c:pt idx="70">
                  <c:v>148</c:v>
                </c:pt>
                <c:pt idx="71">
                  <c:v>592</c:v>
                </c:pt>
                <c:pt idx="72">
                  <c:v>250</c:v>
                </c:pt>
                <c:pt idx="73">
                  <c:v>307</c:v>
                </c:pt>
                <c:pt idx="74">
                  <c:v>318</c:v>
                </c:pt>
                <c:pt idx="75">
                  <c:v>225</c:v>
                </c:pt>
                <c:pt idx="76">
                  <c:v>275</c:v>
                </c:pt>
                <c:pt idx="77">
                  <c:v>208</c:v>
                </c:pt>
                <c:pt idx="78">
                  <c:v>699</c:v>
                </c:pt>
                <c:pt idx="79">
                  <c:v>692</c:v>
                </c:pt>
                <c:pt idx="80">
                  <c:v>506</c:v>
                </c:pt>
                <c:pt idx="81">
                  <c:v>369</c:v>
                </c:pt>
                <c:pt idx="82">
                  <c:v>663</c:v>
                </c:pt>
                <c:pt idx="83">
                  <c:v>991</c:v>
                </c:pt>
                <c:pt idx="84">
                  <c:v>1583</c:v>
                </c:pt>
                <c:pt idx="85">
                  <c:v>1504</c:v>
                </c:pt>
                <c:pt idx="86">
                  <c:v>1466</c:v>
                </c:pt>
                <c:pt idx="87">
                  <c:v>2091</c:v>
                </c:pt>
                <c:pt idx="88">
                  <c:v>1634</c:v>
                </c:pt>
                <c:pt idx="89">
                  <c:v>654</c:v>
                </c:pt>
                <c:pt idx="90">
                  <c:v>568</c:v>
                </c:pt>
                <c:pt idx="91">
                  <c:v>286</c:v>
                </c:pt>
                <c:pt idx="92">
                  <c:v>1412</c:v>
                </c:pt>
                <c:pt idx="93">
                  <c:v>576</c:v>
                </c:pt>
                <c:pt idx="94">
                  <c:v>379</c:v>
                </c:pt>
                <c:pt idx="95">
                  <c:v>416</c:v>
                </c:pt>
                <c:pt idx="96">
                  <c:v>926</c:v>
                </c:pt>
                <c:pt idx="97">
                  <c:v>1169</c:v>
                </c:pt>
                <c:pt idx="98">
                  <c:v>880</c:v>
                </c:pt>
                <c:pt idx="99">
                  <c:v>705</c:v>
                </c:pt>
                <c:pt idx="100">
                  <c:v>1016</c:v>
                </c:pt>
                <c:pt idx="101">
                  <c:v>656</c:v>
                </c:pt>
                <c:pt idx="102">
                  <c:v>764</c:v>
                </c:pt>
                <c:pt idx="103">
                  <c:v>766</c:v>
                </c:pt>
                <c:pt idx="104">
                  <c:v>1603</c:v>
                </c:pt>
                <c:pt idx="105">
                  <c:v>2020</c:v>
                </c:pt>
                <c:pt idx="106">
                  <c:v>2196</c:v>
                </c:pt>
                <c:pt idx="107">
                  <c:v>1965</c:v>
                </c:pt>
                <c:pt idx="108">
                  <c:v>1445</c:v>
                </c:pt>
                <c:pt idx="109">
                  <c:v>1348</c:v>
                </c:pt>
                <c:pt idx="110">
                  <c:v>589</c:v>
                </c:pt>
                <c:pt idx="111">
                  <c:v>849</c:v>
                </c:pt>
                <c:pt idx="112">
                  <c:v>1931</c:v>
                </c:pt>
                <c:pt idx="113">
                  <c:v>856</c:v>
                </c:pt>
                <c:pt idx="114">
                  <c:v>1110</c:v>
                </c:pt>
                <c:pt idx="115">
                  <c:v>1231</c:v>
                </c:pt>
                <c:pt idx="116">
                  <c:v>760</c:v>
                </c:pt>
                <c:pt idx="117">
                  <c:v>771</c:v>
                </c:pt>
                <c:pt idx="118">
                  <c:v>1073</c:v>
                </c:pt>
                <c:pt idx="119">
                  <c:v>1064</c:v>
                </c:pt>
                <c:pt idx="120">
                  <c:v>985</c:v>
                </c:pt>
                <c:pt idx="121">
                  <c:v>759</c:v>
                </c:pt>
                <c:pt idx="122">
                  <c:v>1275</c:v>
                </c:pt>
                <c:pt idx="123">
                  <c:v>1413</c:v>
                </c:pt>
                <c:pt idx="124">
                  <c:v>950</c:v>
                </c:pt>
                <c:pt idx="125">
                  <c:v>1227</c:v>
                </c:pt>
                <c:pt idx="126">
                  <c:v>1093</c:v>
                </c:pt>
                <c:pt idx="127">
                  <c:v>1461</c:v>
                </c:pt>
                <c:pt idx="128">
                  <c:v>813</c:v>
                </c:pt>
                <c:pt idx="129">
                  <c:v>2318</c:v>
                </c:pt>
                <c:pt idx="130">
                  <c:v>2908</c:v>
                </c:pt>
                <c:pt idx="131">
                  <c:v>2265</c:v>
                </c:pt>
                <c:pt idx="132">
                  <c:v>1306</c:v>
                </c:pt>
                <c:pt idx="133">
                  <c:v>686</c:v>
                </c:pt>
                <c:pt idx="134">
                  <c:v>651</c:v>
                </c:pt>
                <c:pt idx="135">
                  <c:v>1273</c:v>
                </c:pt>
                <c:pt idx="136">
                  <c:v>2160</c:v>
                </c:pt>
                <c:pt idx="137">
                  <c:v>1020</c:v>
                </c:pt>
                <c:pt idx="138">
                  <c:v>406</c:v>
                </c:pt>
                <c:pt idx="139">
                  <c:v>622</c:v>
                </c:pt>
                <c:pt idx="140">
                  <c:v>659</c:v>
                </c:pt>
                <c:pt idx="141">
                  <c:v>617</c:v>
                </c:pt>
                <c:pt idx="142">
                  <c:v>685</c:v>
                </c:pt>
                <c:pt idx="143">
                  <c:v>641</c:v>
                </c:pt>
                <c:pt idx="144">
                  <c:v>466</c:v>
                </c:pt>
                <c:pt idx="145">
                  <c:v>600</c:v>
                </c:pt>
                <c:pt idx="146">
                  <c:v>553</c:v>
                </c:pt>
                <c:pt idx="147">
                  <c:v>1222</c:v>
                </c:pt>
                <c:pt idx="148">
                  <c:v>1060</c:v>
                </c:pt>
                <c:pt idx="149">
                  <c:v>1092</c:v>
                </c:pt>
                <c:pt idx="150">
                  <c:v>1916</c:v>
                </c:pt>
                <c:pt idx="151">
                  <c:v>1975</c:v>
                </c:pt>
                <c:pt idx="152">
                  <c:v>1687</c:v>
                </c:pt>
                <c:pt idx="153">
                  <c:v>1569</c:v>
                </c:pt>
                <c:pt idx="154">
                  <c:v>400</c:v>
                </c:pt>
                <c:pt idx="155">
                  <c:v>761</c:v>
                </c:pt>
                <c:pt idx="156">
                  <c:v>752</c:v>
                </c:pt>
                <c:pt idx="157">
                  <c:v>535</c:v>
                </c:pt>
                <c:pt idx="158">
                  <c:v>579</c:v>
                </c:pt>
                <c:pt idx="159">
                  <c:v>1261</c:v>
                </c:pt>
                <c:pt idx="160">
                  <c:v>953</c:v>
                </c:pt>
                <c:pt idx="161">
                  <c:v>912</c:v>
                </c:pt>
                <c:pt idx="162">
                  <c:v>696</c:v>
                </c:pt>
                <c:pt idx="163">
                  <c:v>337</c:v>
                </c:pt>
                <c:pt idx="164">
                  <c:v>717</c:v>
                </c:pt>
                <c:pt idx="165">
                  <c:v>1318</c:v>
                </c:pt>
                <c:pt idx="166">
                  <c:v>384</c:v>
                </c:pt>
                <c:pt idx="167">
                  <c:v>959</c:v>
                </c:pt>
                <c:pt idx="168">
                  <c:v>1503</c:v>
                </c:pt>
                <c:pt idx="169">
                  <c:v>1544</c:v>
                </c:pt>
                <c:pt idx="170">
                  <c:v>3215</c:v>
                </c:pt>
                <c:pt idx="171">
                  <c:v>3514</c:v>
                </c:pt>
                <c:pt idx="172">
                  <c:v>4146</c:v>
                </c:pt>
                <c:pt idx="173">
                  <c:v>3272</c:v>
                </c:pt>
                <c:pt idx="174">
                  <c:v>1847</c:v>
                </c:pt>
                <c:pt idx="175">
                  <c:v>1734</c:v>
                </c:pt>
                <c:pt idx="176">
                  <c:v>1412</c:v>
                </c:pt>
                <c:pt idx="177">
                  <c:v>620</c:v>
                </c:pt>
                <c:pt idx="178">
                  <c:v>1410</c:v>
                </c:pt>
                <c:pt idx="179">
                  <c:v>1785</c:v>
                </c:pt>
                <c:pt idx="180">
                  <c:v>2331</c:v>
                </c:pt>
                <c:pt idx="181">
                  <c:v>3202</c:v>
                </c:pt>
                <c:pt idx="182">
                  <c:v>4356</c:v>
                </c:pt>
                <c:pt idx="183">
                  <c:v>2135</c:v>
                </c:pt>
                <c:pt idx="184">
                  <c:v>2397</c:v>
                </c:pt>
                <c:pt idx="185">
                  <c:v>2215</c:v>
                </c:pt>
                <c:pt idx="186">
                  <c:v>1155</c:v>
                </c:pt>
                <c:pt idx="187">
                  <c:v>1408</c:v>
                </c:pt>
                <c:pt idx="188">
                  <c:v>1180</c:v>
                </c:pt>
                <c:pt idx="189">
                  <c:v>1978</c:v>
                </c:pt>
                <c:pt idx="190">
                  <c:v>2985</c:v>
                </c:pt>
                <c:pt idx="191">
                  <c:v>3841</c:v>
                </c:pt>
                <c:pt idx="192">
                  <c:v>1641</c:v>
                </c:pt>
                <c:pt idx="193">
                  <c:v>4717</c:v>
                </c:pt>
                <c:pt idx="194">
                  <c:v>6208</c:v>
                </c:pt>
                <c:pt idx="195">
                  <c:v>2787</c:v>
                </c:pt>
                <c:pt idx="196">
                  <c:v>3365</c:v>
                </c:pt>
                <c:pt idx="197">
                  <c:v>1583</c:v>
                </c:pt>
                <c:pt idx="198">
                  <c:v>1278</c:v>
                </c:pt>
                <c:pt idx="199">
                  <c:v>1835</c:v>
                </c:pt>
                <c:pt idx="200">
                  <c:v>2118</c:v>
                </c:pt>
                <c:pt idx="201">
                  <c:v>1262</c:v>
                </c:pt>
                <c:pt idx="202">
                  <c:v>1272</c:v>
                </c:pt>
                <c:pt idx="203">
                  <c:v>2129</c:v>
                </c:pt>
                <c:pt idx="204">
                  <c:v>1863</c:v>
                </c:pt>
                <c:pt idx="205">
                  <c:v>1965</c:v>
                </c:pt>
                <c:pt idx="206">
                  <c:v>1483</c:v>
                </c:pt>
                <c:pt idx="207">
                  <c:v>2717</c:v>
                </c:pt>
                <c:pt idx="208">
                  <c:v>1769</c:v>
                </c:pt>
                <c:pt idx="209">
                  <c:v>3640</c:v>
                </c:pt>
                <c:pt idx="210">
                  <c:v>2735</c:v>
                </c:pt>
                <c:pt idx="211">
                  <c:v>3358</c:v>
                </c:pt>
                <c:pt idx="212">
                  <c:v>8967</c:v>
                </c:pt>
                <c:pt idx="213">
                  <c:v>3576</c:v>
                </c:pt>
                <c:pt idx="214">
                  <c:v>2371</c:v>
                </c:pt>
                <c:pt idx="215">
                  <c:v>3327</c:v>
                </c:pt>
                <c:pt idx="216">
                  <c:v>1158</c:v>
                </c:pt>
                <c:pt idx="217">
                  <c:v>2317</c:v>
                </c:pt>
                <c:pt idx="218">
                  <c:v>1311</c:v>
                </c:pt>
                <c:pt idx="219">
                  <c:v>1056</c:v>
                </c:pt>
                <c:pt idx="220">
                  <c:v>1633</c:v>
                </c:pt>
                <c:pt idx="221">
                  <c:v>1497</c:v>
                </c:pt>
                <c:pt idx="222">
                  <c:v>1177</c:v>
                </c:pt>
                <c:pt idx="223">
                  <c:v>1062</c:v>
                </c:pt>
                <c:pt idx="224">
                  <c:v>1512</c:v>
                </c:pt>
                <c:pt idx="225">
                  <c:v>1606</c:v>
                </c:pt>
                <c:pt idx="226">
                  <c:v>2504</c:v>
                </c:pt>
                <c:pt idx="227">
                  <c:v>3546</c:v>
                </c:pt>
                <c:pt idx="228">
                  <c:v>2705</c:v>
                </c:pt>
                <c:pt idx="229">
                  <c:v>2994</c:v>
                </c:pt>
                <c:pt idx="230">
                  <c:v>4642</c:v>
                </c:pt>
                <c:pt idx="231">
                  <c:v>5455</c:v>
                </c:pt>
                <c:pt idx="232">
                  <c:v>2109</c:v>
                </c:pt>
                <c:pt idx="233">
                  <c:v>5034</c:v>
                </c:pt>
                <c:pt idx="234">
                  <c:v>5044</c:v>
                </c:pt>
                <c:pt idx="235">
                  <c:v>1159</c:v>
                </c:pt>
                <c:pt idx="236">
                  <c:v>1907</c:v>
                </c:pt>
                <c:pt idx="237">
                  <c:v>2348</c:v>
                </c:pt>
                <c:pt idx="238">
                  <c:v>2675</c:v>
                </c:pt>
                <c:pt idx="239">
                  <c:v>3596</c:v>
                </c:pt>
                <c:pt idx="240">
                  <c:v>4363</c:v>
                </c:pt>
                <c:pt idx="241">
                  <c:v>7596</c:v>
                </c:pt>
                <c:pt idx="242">
                  <c:v>3451</c:v>
                </c:pt>
                <c:pt idx="243">
                  <c:v>2800</c:v>
                </c:pt>
                <c:pt idx="244">
                  <c:v>3324</c:v>
                </c:pt>
              </c:numCache>
            </c:numRef>
          </c:val>
        </c:ser>
        <c:axId val="133819008"/>
        <c:axId val="133833088"/>
      </c:barChart>
      <c:lineChart>
        <c:grouping val="standard"/>
        <c:ser>
          <c:idx val="0"/>
          <c:order val="1"/>
          <c:tx>
            <c:strRef>
              <c:f>'[1]FKLI 5d-Volatility'!$C$1</c:f>
              <c:strCache>
                <c:ptCount val="1"/>
                <c:pt idx="0">
                  <c:v>FKLI VOLATILITY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'[1]FKLI 5d-Volatility'!$A$1747:$A$1991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'[1]FKLI 5d-Volatility'!$C$1747:$C$1991</c:f>
              <c:numCache>
                <c:formatCode>General</c:formatCode>
                <c:ptCount val="245"/>
                <c:pt idx="0">
                  <c:v>0.18107547652166905</c:v>
                </c:pt>
                <c:pt idx="1">
                  <c:v>0.19842814792096455</c:v>
                </c:pt>
                <c:pt idx="2">
                  <c:v>0.15311892273299571</c:v>
                </c:pt>
                <c:pt idx="3">
                  <c:v>0.13774436430162595</c:v>
                </c:pt>
                <c:pt idx="4">
                  <c:v>8.9020965177529179E-2</c:v>
                </c:pt>
                <c:pt idx="5">
                  <c:v>0.10295441900275451</c:v>
                </c:pt>
                <c:pt idx="6">
                  <c:v>0.11417899158723982</c:v>
                </c:pt>
                <c:pt idx="7">
                  <c:v>0.13049723814356134</c:v>
                </c:pt>
                <c:pt idx="8">
                  <c:v>0.2217040761988732</c:v>
                </c:pt>
                <c:pt idx="9">
                  <c:v>0.25025080494492791</c:v>
                </c:pt>
                <c:pt idx="10">
                  <c:v>0.24880744243004427</c:v>
                </c:pt>
                <c:pt idx="11">
                  <c:v>0.25766352712898949</c:v>
                </c:pt>
                <c:pt idx="12">
                  <c:v>0.23992982744744792</c:v>
                </c:pt>
                <c:pt idx="13">
                  <c:v>0.20576716914448057</c:v>
                </c:pt>
                <c:pt idx="14">
                  <c:v>0.18233733561621773</c:v>
                </c:pt>
                <c:pt idx="15">
                  <c:v>0.19747103761637508</c:v>
                </c:pt>
                <c:pt idx="16">
                  <c:v>0.16693761224272077</c:v>
                </c:pt>
                <c:pt idx="17">
                  <c:v>0.18397390519035756</c:v>
                </c:pt>
                <c:pt idx="18">
                  <c:v>0.10199273769788679</c:v>
                </c:pt>
                <c:pt idx="19">
                  <c:v>0.10920559957702673</c:v>
                </c:pt>
                <c:pt idx="20">
                  <c:v>0.10332623960480282</c:v>
                </c:pt>
                <c:pt idx="21">
                  <c:v>0.12743389628245849</c:v>
                </c:pt>
                <c:pt idx="22">
                  <c:v>0.12011515034775634</c:v>
                </c:pt>
                <c:pt idx="23">
                  <c:v>0.11126257277862002</c:v>
                </c:pt>
                <c:pt idx="24">
                  <c:v>0.1140776219838263</c:v>
                </c:pt>
                <c:pt idx="25">
                  <c:v>0.11160468743352718</c:v>
                </c:pt>
                <c:pt idx="26">
                  <c:v>9.6150838903635863E-2</c:v>
                </c:pt>
                <c:pt idx="27">
                  <c:v>9.4039492497525551E-2</c:v>
                </c:pt>
                <c:pt idx="28">
                  <c:v>6.310813850709919E-2</c:v>
                </c:pt>
                <c:pt idx="29">
                  <c:v>0.14740344403977468</c:v>
                </c:pt>
                <c:pt idx="30">
                  <c:v>0.14738561109808332</c:v>
                </c:pt>
                <c:pt idx="31">
                  <c:v>0.12700529465953889</c:v>
                </c:pt>
                <c:pt idx="32">
                  <c:v>0.14841089088662926</c:v>
                </c:pt>
                <c:pt idx="33">
                  <c:v>0.15367849208660503</c:v>
                </c:pt>
                <c:pt idx="34">
                  <c:v>0.16117976544630988</c:v>
                </c:pt>
                <c:pt idx="35">
                  <c:v>0.16137244052660504</c:v>
                </c:pt>
                <c:pt idx="36">
                  <c:v>0.17571963308437538</c:v>
                </c:pt>
                <c:pt idx="37">
                  <c:v>0.19131274840747528</c:v>
                </c:pt>
                <c:pt idx="38">
                  <c:v>0.26513210397747683</c:v>
                </c:pt>
                <c:pt idx="39">
                  <c:v>0.26346017423781382</c:v>
                </c:pt>
                <c:pt idx="40">
                  <c:v>0.28209829348230464</c:v>
                </c:pt>
                <c:pt idx="41">
                  <c:v>0.28228894140569549</c:v>
                </c:pt>
                <c:pt idx="42">
                  <c:v>0.17892547956329941</c:v>
                </c:pt>
                <c:pt idx="43">
                  <c:v>0.12026039564383124</c:v>
                </c:pt>
                <c:pt idx="44">
                  <c:v>0.1167414600252162</c:v>
                </c:pt>
                <c:pt idx="45">
                  <c:v>5.0322885770418622E-2</c:v>
                </c:pt>
                <c:pt idx="46">
                  <c:v>7.6746521825959202E-2</c:v>
                </c:pt>
                <c:pt idx="47">
                  <c:v>6.9357340252970384E-2</c:v>
                </c:pt>
                <c:pt idx="48">
                  <c:v>0.19618963562560865</c:v>
                </c:pt>
                <c:pt idx="49">
                  <c:v>0.20606200637738789</c:v>
                </c:pt>
                <c:pt idx="50">
                  <c:v>0.20963301008569787</c:v>
                </c:pt>
                <c:pt idx="51">
                  <c:v>0.20621288129493834</c:v>
                </c:pt>
                <c:pt idx="52">
                  <c:v>0.27536005560561766</c:v>
                </c:pt>
                <c:pt idx="53">
                  <c:v>0.19767943039497338</c:v>
                </c:pt>
                <c:pt idx="54">
                  <c:v>0.27273129742466262</c:v>
                </c:pt>
                <c:pt idx="55">
                  <c:v>0.2714646099244582</c:v>
                </c:pt>
                <c:pt idx="56">
                  <c:v>0.26814043858689385</c:v>
                </c:pt>
                <c:pt idx="57">
                  <c:v>0.13760818711468806</c:v>
                </c:pt>
                <c:pt idx="58">
                  <c:v>0.21641727808812158</c:v>
                </c:pt>
                <c:pt idx="59">
                  <c:v>0.16243241417868109</c:v>
                </c:pt>
                <c:pt idx="60">
                  <c:v>0.16116774091453726</c:v>
                </c:pt>
                <c:pt idx="61">
                  <c:v>0.1697762747429965</c:v>
                </c:pt>
                <c:pt idx="62">
                  <c:v>0.13095567612328929</c:v>
                </c:pt>
                <c:pt idx="63">
                  <c:v>9.9665862101454811E-2</c:v>
                </c:pt>
                <c:pt idx="64">
                  <c:v>9.9766571898643464E-2</c:v>
                </c:pt>
                <c:pt idx="65">
                  <c:v>0.12189217325793593</c:v>
                </c:pt>
                <c:pt idx="66">
                  <c:v>0.10517070211023881</c:v>
                </c:pt>
                <c:pt idx="67">
                  <c:v>0.10942669772651946</c:v>
                </c:pt>
                <c:pt idx="68">
                  <c:v>0.11179517593427879</c:v>
                </c:pt>
                <c:pt idx="69">
                  <c:v>0.1116822944474634</c:v>
                </c:pt>
                <c:pt idx="70">
                  <c:v>0.10116919385153381</c:v>
                </c:pt>
                <c:pt idx="71">
                  <c:v>0.10405041004748516</c:v>
                </c:pt>
                <c:pt idx="72">
                  <c:v>0.10640737261381056</c:v>
                </c:pt>
                <c:pt idx="73">
                  <c:v>9.7668848213409612E-2</c:v>
                </c:pt>
                <c:pt idx="74">
                  <c:v>0.10500698335492863</c:v>
                </c:pt>
                <c:pt idx="75">
                  <c:v>7.9910570447910181E-2</c:v>
                </c:pt>
                <c:pt idx="76">
                  <c:v>8.1549963997802538E-2</c:v>
                </c:pt>
                <c:pt idx="77">
                  <c:v>7.8280309946741983E-2</c:v>
                </c:pt>
                <c:pt idx="78">
                  <c:v>7.6893901241748941E-2</c:v>
                </c:pt>
                <c:pt idx="79">
                  <c:v>3.8870260658995577E-2</c:v>
                </c:pt>
                <c:pt idx="80">
                  <c:v>3.8771617714474717E-2</c:v>
                </c:pt>
                <c:pt idx="81">
                  <c:v>7.795898651568374E-2</c:v>
                </c:pt>
                <c:pt idx="82">
                  <c:v>9.7777334968370377E-2</c:v>
                </c:pt>
                <c:pt idx="83">
                  <c:v>0.11368301396167911</c:v>
                </c:pt>
                <c:pt idx="84">
                  <c:v>0.13262512870691195</c:v>
                </c:pt>
                <c:pt idx="85">
                  <c:v>0.16546718091392645</c:v>
                </c:pt>
                <c:pt idx="86">
                  <c:v>0.14805235808684372</c:v>
                </c:pt>
                <c:pt idx="87">
                  <c:v>0.15004851979482758</c:v>
                </c:pt>
                <c:pt idx="88">
                  <c:v>0.16418934091265561</c:v>
                </c:pt>
                <c:pt idx="89">
                  <c:v>0.15055094877108408</c:v>
                </c:pt>
                <c:pt idx="90">
                  <c:v>0.1115262148449466</c:v>
                </c:pt>
                <c:pt idx="91">
                  <c:v>9.0235346365772851E-2</c:v>
                </c:pt>
                <c:pt idx="92">
                  <c:v>6.274856394871467E-2</c:v>
                </c:pt>
                <c:pt idx="93">
                  <c:v>8.3497808958380729E-2</c:v>
                </c:pt>
                <c:pt idx="94">
                  <c:v>8.3089569906103694E-2</c:v>
                </c:pt>
                <c:pt idx="95">
                  <c:v>0.10194947907349827</c:v>
                </c:pt>
                <c:pt idx="96">
                  <c:v>9.3149764100580193E-2</c:v>
                </c:pt>
                <c:pt idx="97">
                  <c:v>9.6588431265342611E-2</c:v>
                </c:pt>
                <c:pt idx="98">
                  <c:v>7.4437522650713281E-2</c:v>
                </c:pt>
                <c:pt idx="99">
                  <c:v>0.13377798583170214</c:v>
                </c:pt>
                <c:pt idx="100">
                  <c:v>0.13791659586985441</c:v>
                </c:pt>
                <c:pt idx="101">
                  <c:v>0.13513506255174382</c:v>
                </c:pt>
                <c:pt idx="102">
                  <c:v>0.11129012364115436</c:v>
                </c:pt>
                <c:pt idx="103">
                  <c:v>0.11064036120355196</c:v>
                </c:pt>
                <c:pt idx="104">
                  <c:v>5.8380415864669487E-2</c:v>
                </c:pt>
                <c:pt idx="105">
                  <c:v>7.1892557423767739E-2</c:v>
                </c:pt>
                <c:pt idx="106">
                  <c:v>0.10219575751245966</c:v>
                </c:pt>
                <c:pt idx="107">
                  <c:v>0.11388771163105275</c:v>
                </c:pt>
                <c:pt idx="108">
                  <c:v>0.1388758419033912</c:v>
                </c:pt>
                <c:pt idx="109">
                  <c:v>0.13240530257598357</c:v>
                </c:pt>
                <c:pt idx="110">
                  <c:v>6.2391720057305873E-2</c:v>
                </c:pt>
                <c:pt idx="111">
                  <c:v>0.10355343513268482</c:v>
                </c:pt>
                <c:pt idx="112">
                  <c:v>0.1308758571889585</c:v>
                </c:pt>
                <c:pt idx="113">
                  <c:v>0.13404339121588033</c:v>
                </c:pt>
                <c:pt idx="114">
                  <c:v>0.1034289453420867</c:v>
                </c:pt>
                <c:pt idx="115">
                  <c:v>0.15033571798671502</c:v>
                </c:pt>
                <c:pt idx="116">
                  <c:v>0.16143292917104174</c:v>
                </c:pt>
                <c:pt idx="117">
                  <c:v>9.2677076268148695E-2</c:v>
                </c:pt>
                <c:pt idx="118">
                  <c:v>9.316673369323128E-2</c:v>
                </c:pt>
                <c:pt idx="119">
                  <c:v>8.1329694246741344E-2</c:v>
                </c:pt>
                <c:pt idx="120">
                  <c:v>8.7885808101645937E-2</c:v>
                </c:pt>
                <c:pt idx="121">
                  <c:v>8.7910996925117765E-2</c:v>
                </c:pt>
                <c:pt idx="122">
                  <c:v>0.16089138152354368</c:v>
                </c:pt>
                <c:pt idx="123">
                  <c:v>0.16629679189975724</c:v>
                </c:pt>
                <c:pt idx="124">
                  <c:v>0.15660013837290623</c:v>
                </c:pt>
                <c:pt idx="125">
                  <c:v>0.1566184063026807</c:v>
                </c:pt>
                <c:pt idx="126">
                  <c:v>0.15646481980962773</c:v>
                </c:pt>
                <c:pt idx="127">
                  <c:v>0.1226949487296414</c:v>
                </c:pt>
                <c:pt idx="128">
                  <c:v>9.220615888240391E-2</c:v>
                </c:pt>
                <c:pt idx="129">
                  <c:v>9.3552259676327021E-2</c:v>
                </c:pt>
                <c:pt idx="130">
                  <c:v>8.6741824222185918E-2</c:v>
                </c:pt>
                <c:pt idx="131">
                  <c:v>0.11079175624079564</c:v>
                </c:pt>
                <c:pt idx="132">
                  <c:v>0.12099110416554179</c:v>
                </c:pt>
                <c:pt idx="133">
                  <c:v>0.10720212357599797</c:v>
                </c:pt>
                <c:pt idx="134">
                  <c:v>0.12738357120146757</c:v>
                </c:pt>
                <c:pt idx="135">
                  <c:v>0.14222335955138915</c:v>
                </c:pt>
                <c:pt idx="136">
                  <c:v>0.1152253481204184</c:v>
                </c:pt>
                <c:pt idx="137">
                  <c:v>0.11457840487957831</c:v>
                </c:pt>
                <c:pt idx="138">
                  <c:v>7.9236615836309324E-2</c:v>
                </c:pt>
                <c:pt idx="139">
                  <c:v>0.11177643331720687</c:v>
                </c:pt>
                <c:pt idx="140">
                  <c:v>0.10536232937631576</c:v>
                </c:pt>
                <c:pt idx="141">
                  <c:v>7.7652823897304185E-2</c:v>
                </c:pt>
                <c:pt idx="142">
                  <c:v>5.7712789239444166E-2</c:v>
                </c:pt>
                <c:pt idx="143">
                  <c:v>7.5488174966293217E-2</c:v>
                </c:pt>
                <c:pt idx="144">
                  <c:v>6.9306688586765058E-2</c:v>
                </c:pt>
                <c:pt idx="145">
                  <c:v>5.8499057550494706E-2</c:v>
                </c:pt>
                <c:pt idx="146">
                  <c:v>8.9312753053795088E-2</c:v>
                </c:pt>
                <c:pt idx="147">
                  <c:v>0.13182711618894372</c:v>
                </c:pt>
                <c:pt idx="148">
                  <c:v>0.12390835234856529</c:v>
                </c:pt>
                <c:pt idx="149">
                  <c:v>0.13585648904042794</c:v>
                </c:pt>
                <c:pt idx="150">
                  <c:v>0.13320139967237263</c:v>
                </c:pt>
                <c:pt idx="151">
                  <c:v>0.11647690540205979</c:v>
                </c:pt>
                <c:pt idx="152">
                  <c:v>3.8609082886457362E-2</c:v>
                </c:pt>
                <c:pt idx="153">
                  <c:v>4.0607219508679494E-2</c:v>
                </c:pt>
                <c:pt idx="154">
                  <c:v>2.8449603303026028E-2</c:v>
                </c:pt>
                <c:pt idx="155">
                  <c:v>6.2454850078172294E-2</c:v>
                </c:pt>
                <c:pt idx="156">
                  <c:v>6.9948444608300728E-2</c:v>
                </c:pt>
                <c:pt idx="157">
                  <c:v>7.1574086092717509E-2</c:v>
                </c:pt>
                <c:pt idx="158">
                  <c:v>9.128729763690617E-2</c:v>
                </c:pt>
                <c:pt idx="159">
                  <c:v>0.15027965560465911</c:v>
                </c:pt>
                <c:pt idx="160">
                  <c:v>0.12464353072908989</c:v>
                </c:pt>
                <c:pt idx="161">
                  <c:v>0.13823500873013725</c:v>
                </c:pt>
                <c:pt idx="162">
                  <c:v>0.14226996066190978</c:v>
                </c:pt>
                <c:pt idx="163">
                  <c:v>0.14909792548926201</c:v>
                </c:pt>
                <c:pt idx="164">
                  <c:v>0.11818185600566682</c:v>
                </c:pt>
                <c:pt idx="165">
                  <c:v>0.1184063183156368</c:v>
                </c:pt>
                <c:pt idx="166">
                  <c:v>0.12155320615598376</c:v>
                </c:pt>
                <c:pt idx="167">
                  <c:v>8.635722929171373E-2</c:v>
                </c:pt>
                <c:pt idx="168">
                  <c:v>0.14638386643724735</c:v>
                </c:pt>
                <c:pt idx="169">
                  <c:v>0.12743334023321831</c:v>
                </c:pt>
                <c:pt idx="170">
                  <c:v>0.16461198812928679</c:v>
                </c:pt>
                <c:pt idx="171">
                  <c:v>0.17098166406267429</c:v>
                </c:pt>
                <c:pt idx="172">
                  <c:v>0.16922610145828831</c:v>
                </c:pt>
                <c:pt idx="173">
                  <c:v>0.14933393328710373</c:v>
                </c:pt>
                <c:pt idx="174">
                  <c:v>0.15230127090808479</c:v>
                </c:pt>
                <c:pt idx="175">
                  <c:v>6.2674408872050863E-2</c:v>
                </c:pt>
                <c:pt idx="176">
                  <c:v>7.0712387358016021E-2</c:v>
                </c:pt>
                <c:pt idx="177">
                  <c:v>9.0959074404578205E-2</c:v>
                </c:pt>
                <c:pt idx="178">
                  <c:v>8.4635782420414474E-2</c:v>
                </c:pt>
                <c:pt idx="179">
                  <c:v>4.6097929282966882E-2</c:v>
                </c:pt>
                <c:pt idx="180">
                  <c:v>8.0893444317989116E-2</c:v>
                </c:pt>
                <c:pt idx="181">
                  <c:v>0.10492778408403475</c:v>
                </c:pt>
                <c:pt idx="182">
                  <c:v>0.10301375649404987</c:v>
                </c:pt>
                <c:pt idx="183">
                  <c:v>0.12492823837621252</c:v>
                </c:pt>
                <c:pt idx="184">
                  <c:v>0.20068515608223869</c:v>
                </c:pt>
                <c:pt idx="185">
                  <c:v>0.20369065869870237</c:v>
                </c:pt>
                <c:pt idx="186">
                  <c:v>0.16446111150257564</c:v>
                </c:pt>
                <c:pt idx="187">
                  <c:v>7.8031480422548954E-2</c:v>
                </c:pt>
                <c:pt idx="188">
                  <c:v>7.8175249777182571E-2</c:v>
                </c:pt>
                <c:pt idx="189">
                  <c:v>0.10959097608503299</c:v>
                </c:pt>
                <c:pt idx="190">
                  <c:v>0.11894908768917922</c:v>
                </c:pt>
                <c:pt idx="191">
                  <c:v>0.15973732727972109</c:v>
                </c:pt>
                <c:pt idx="192">
                  <c:v>0.15328792579754119</c:v>
                </c:pt>
                <c:pt idx="193">
                  <c:v>0.15205218854153976</c:v>
                </c:pt>
                <c:pt idx="194">
                  <c:v>0.13761404557304774</c:v>
                </c:pt>
                <c:pt idx="195">
                  <c:v>0.13097555304251612</c:v>
                </c:pt>
                <c:pt idx="196">
                  <c:v>9.6285144586545052E-2</c:v>
                </c:pt>
                <c:pt idx="197">
                  <c:v>9.2287229692875727E-2</c:v>
                </c:pt>
                <c:pt idx="198">
                  <c:v>9.4500281987080048E-2</c:v>
                </c:pt>
                <c:pt idx="199">
                  <c:v>9.9174057583848785E-2</c:v>
                </c:pt>
                <c:pt idx="200">
                  <c:v>0.15901263339543176</c:v>
                </c:pt>
                <c:pt idx="201">
                  <c:v>0.16594738298901485</c:v>
                </c:pt>
                <c:pt idx="202">
                  <c:v>0.15860744804446761</c:v>
                </c:pt>
                <c:pt idx="203">
                  <c:v>0.15538597972351487</c:v>
                </c:pt>
                <c:pt idx="204">
                  <c:v>0.16837099741627676</c:v>
                </c:pt>
                <c:pt idx="205">
                  <c:v>0.14542952337646775</c:v>
                </c:pt>
                <c:pt idx="206">
                  <c:v>0.10755669587934609</c:v>
                </c:pt>
                <c:pt idx="207">
                  <c:v>0.16350295045332877</c:v>
                </c:pt>
                <c:pt idx="208">
                  <c:v>0.17586921022023749</c:v>
                </c:pt>
                <c:pt idx="209">
                  <c:v>0.18182738559206019</c:v>
                </c:pt>
                <c:pt idx="210">
                  <c:v>0.21022276267204237</c:v>
                </c:pt>
                <c:pt idx="211">
                  <c:v>0.2260227699724639</c:v>
                </c:pt>
                <c:pt idx="212">
                  <c:v>0.16595196433362694</c:v>
                </c:pt>
                <c:pt idx="213">
                  <c:v>0.16228532208592783</c:v>
                </c:pt>
                <c:pt idx="214">
                  <c:v>0.21823890920187414</c:v>
                </c:pt>
                <c:pt idx="215">
                  <c:v>0.22121842466506145</c:v>
                </c:pt>
                <c:pt idx="216">
                  <c:v>0.24147976881299393</c:v>
                </c:pt>
                <c:pt idx="217">
                  <c:v>0.28054995532803523</c:v>
                </c:pt>
                <c:pt idx="218">
                  <c:v>0.27963725876426476</c:v>
                </c:pt>
                <c:pt idx="219">
                  <c:v>9.7765618475767688E-2</c:v>
                </c:pt>
                <c:pt idx="220">
                  <c:v>0.15600385123377916</c:v>
                </c:pt>
                <c:pt idx="221">
                  <c:v>0.15866571722186723</c:v>
                </c:pt>
                <c:pt idx="222">
                  <c:v>0.11973728250487679</c:v>
                </c:pt>
                <c:pt idx="223">
                  <c:v>0.11970161688882182</c:v>
                </c:pt>
                <c:pt idx="224">
                  <c:v>9.4714696940288973E-2</c:v>
                </c:pt>
                <c:pt idx="225">
                  <c:v>0.10293921028003622</c:v>
                </c:pt>
                <c:pt idx="226">
                  <c:v>0.12718905966929606</c:v>
                </c:pt>
                <c:pt idx="227">
                  <c:v>0.12626727727522369</c:v>
                </c:pt>
                <c:pt idx="228">
                  <c:v>0.19333552611925917</c:v>
                </c:pt>
                <c:pt idx="229">
                  <c:v>0.19348213250682678</c:v>
                </c:pt>
                <c:pt idx="230">
                  <c:v>0.20490318033893351</c:v>
                </c:pt>
                <c:pt idx="231">
                  <c:v>0.16583481926564075</c:v>
                </c:pt>
                <c:pt idx="232">
                  <c:v>7.131667003881495E-2</c:v>
                </c:pt>
                <c:pt idx="233">
                  <c:v>6.072464597292429E-2</c:v>
                </c:pt>
                <c:pt idx="234">
                  <c:v>5.6946772692629377E-2</c:v>
                </c:pt>
                <c:pt idx="235">
                  <c:v>7.737930819782067E-2</c:v>
                </c:pt>
                <c:pt idx="236">
                  <c:v>7.5714696984897481E-2</c:v>
                </c:pt>
                <c:pt idx="237">
                  <c:v>8.0635576749719301E-2</c:v>
                </c:pt>
                <c:pt idx="238">
                  <c:v>0.10004977302966082</c:v>
                </c:pt>
                <c:pt idx="239">
                  <c:v>0.18314347897538161</c:v>
                </c:pt>
                <c:pt idx="240">
                  <c:v>0.17077190616632285</c:v>
                </c:pt>
                <c:pt idx="241">
                  <c:v>0.16865778457922401</c:v>
                </c:pt>
                <c:pt idx="242">
                  <c:v>0.17266226732333581</c:v>
                </c:pt>
                <c:pt idx="243">
                  <c:v>0.25643409332623568</c:v>
                </c:pt>
                <c:pt idx="244">
                  <c:v>0.21681737145197877</c:v>
                </c:pt>
              </c:numCache>
            </c:numRef>
          </c:val>
        </c:ser>
        <c:marker val="1"/>
        <c:axId val="133835008"/>
        <c:axId val="133836800"/>
      </c:lineChart>
      <c:catAx>
        <c:axId val="133819008"/>
        <c:scaling>
          <c:orientation val="minMax"/>
        </c:scaling>
        <c:axPos val="b"/>
        <c:numFmt formatCode="dd/mmm/yy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33088"/>
        <c:crosses val="autoZero"/>
        <c:lblAlgn val="ctr"/>
        <c:lblOffset val="100"/>
        <c:tickLblSkip val="8"/>
        <c:tickMarkSkip val="8"/>
      </c:catAx>
      <c:valAx>
        <c:axId val="133833088"/>
        <c:scaling>
          <c:orientation val="minMax"/>
          <c:max val="10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7.1839181257831132E-3"/>
              <c:y val="0.325688073394495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19008"/>
        <c:crosses val="autoZero"/>
        <c:crossBetween val="between"/>
        <c:majorUnit val="1000"/>
      </c:valAx>
      <c:catAx>
        <c:axId val="133835008"/>
        <c:scaling>
          <c:orientation val="minMax"/>
        </c:scaling>
        <c:delete val="1"/>
        <c:axPos val="b"/>
        <c:numFmt formatCode="General" sourceLinked="1"/>
        <c:tickLblPos val="nextTo"/>
        <c:crossAx val="133836800"/>
        <c:crossesAt val="0"/>
        <c:lblAlgn val="ctr"/>
        <c:lblOffset val="100"/>
      </c:catAx>
      <c:valAx>
        <c:axId val="133836800"/>
        <c:scaling>
          <c:orientation val="minMax"/>
          <c:max val="0.5"/>
          <c:min val="0"/>
        </c:scaling>
        <c:axPos val="r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Volatility Percentage</a:t>
                </a:r>
              </a:p>
            </c:rich>
          </c:tx>
          <c:layout>
            <c:manualLayout>
              <c:xMode val="edge"/>
              <c:yMode val="edge"/>
              <c:x val="0.97126573060587684"/>
              <c:y val="0.243119266055045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835008"/>
        <c:crosses val="max"/>
        <c:crossBetween val="between"/>
        <c:majorUnit val="0.1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931087704134847"/>
          <c:y val="0.15137614678899089"/>
          <c:w val="0.23706929815084274"/>
          <c:h val="9.6330275229357776E-2"/>
        </c:manualLayout>
      </c:layout>
      <c:spPr>
        <a:solidFill>
          <a:srgbClr val="E3E3E3"/>
        </a:solidFill>
        <a:ln w="25400">
          <a:noFill/>
        </a:ln>
      </c:spPr>
      <c:txPr>
        <a:bodyPr/>
        <a:lstStyle/>
        <a:p>
          <a:pPr>
            <a:defRPr lang="ko-KR"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FKLI Vs. KLSE CI</a:t>
            </a:r>
          </a:p>
        </c:rich>
      </c:tx>
      <c:layout>
        <c:manualLayout>
          <c:xMode val="edge"/>
          <c:yMode val="edge"/>
          <c:x val="0.44444495748023499"/>
          <c:y val="1.6666720920315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465791991947426E-2"/>
          <c:y val="5.0000162760946487E-2"/>
          <c:w val="0.91134856972675815"/>
          <c:h val="0.64333542752417883"/>
        </c:manualLayout>
      </c:layout>
      <c:areaChart>
        <c:grouping val="stacked"/>
        <c:ser>
          <c:idx val="2"/>
          <c:order val="0"/>
          <c:tx>
            <c:strRef>
              <c:f>[1]FKLI!$B$1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808080"/>
              </a:solidFill>
              <a:prstDash val="solid"/>
            </a:ln>
          </c:spP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[1]FKLI!$B$1747:$B$1991</c:f>
              <c:numCache>
                <c:formatCode>General</c:formatCode>
                <c:ptCount val="245"/>
                <c:pt idx="0">
                  <c:v>670.14</c:v>
                </c:pt>
                <c:pt idx="1">
                  <c:v>670.53</c:v>
                </c:pt>
                <c:pt idx="2">
                  <c:v>666.36</c:v>
                </c:pt>
                <c:pt idx="3">
                  <c:v>675.87</c:v>
                </c:pt>
                <c:pt idx="4">
                  <c:v>672.41</c:v>
                </c:pt>
                <c:pt idx="5">
                  <c:v>670.78</c:v>
                </c:pt>
                <c:pt idx="6">
                  <c:v>668.81</c:v>
                </c:pt>
                <c:pt idx="7">
                  <c:v>664.62</c:v>
                </c:pt>
                <c:pt idx="8">
                  <c:v>671.63</c:v>
                </c:pt>
                <c:pt idx="9">
                  <c:v>665.44</c:v>
                </c:pt>
                <c:pt idx="10">
                  <c:v>664.77</c:v>
                </c:pt>
                <c:pt idx="11">
                  <c:v>668.18</c:v>
                </c:pt>
                <c:pt idx="12">
                  <c:v>664.95</c:v>
                </c:pt>
                <c:pt idx="13">
                  <c:v>661.25</c:v>
                </c:pt>
                <c:pt idx="14">
                  <c:v>658.46</c:v>
                </c:pt>
                <c:pt idx="15">
                  <c:v>659.95</c:v>
                </c:pt>
                <c:pt idx="16">
                  <c:v>656.54</c:v>
                </c:pt>
                <c:pt idx="17">
                  <c:v>656.95</c:v>
                </c:pt>
                <c:pt idx="18">
                  <c:v>659.33</c:v>
                </c:pt>
                <c:pt idx="19">
                  <c:v>657.45</c:v>
                </c:pt>
                <c:pt idx="20">
                  <c:v>660.96</c:v>
                </c:pt>
                <c:pt idx="21">
                  <c:v>655.32000000000005</c:v>
                </c:pt>
                <c:pt idx="22">
                  <c:v>654.49</c:v>
                </c:pt>
                <c:pt idx="23">
                  <c:v>646.6</c:v>
                </c:pt>
                <c:pt idx="24">
                  <c:v>653.13</c:v>
                </c:pt>
                <c:pt idx="25">
                  <c:v>650.71</c:v>
                </c:pt>
                <c:pt idx="26">
                  <c:v>652.44000000000005</c:v>
                </c:pt>
                <c:pt idx="27">
                  <c:v>646.79999999999995</c:v>
                </c:pt>
                <c:pt idx="28">
                  <c:v>649.22</c:v>
                </c:pt>
                <c:pt idx="29">
                  <c:v>643.07000000000005</c:v>
                </c:pt>
                <c:pt idx="30">
                  <c:v>642.42999999999995</c:v>
                </c:pt>
                <c:pt idx="31">
                  <c:v>635.66</c:v>
                </c:pt>
                <c:pt idx="32">
                  <c:v>624.78</c:v>
                </c:pt>
                <c:pt idx="33">
                  <c:v>619.22</c:v>
                </c:pt>
                <c:pt idx="34">
                  <c:v>629.1</c:v>
                </c:pt>
                <c:pt idx="35">
                  <c:v>627.46</c:v>
                </c:pt>
                <c:pt idx="36">
                  <c:v>628.54999999999995</c:v>
                </c:pt>
                <c:pt idx="37">
                  <c:v>622.61</c:v>
                </c:pt>
                <c:pt idx="38">
                  <c:v>627.08000000000004</c:v>
                </c:pt>
                <c:pt idx="39">
                  <c:v>627.94000000000005</c:v>
                </c:pt>
                <c:pt idx="40">
                  <c:v>632.03</c:v>
                </c:pt>
                <c:pt idx="41">
                  <c:v>632.16999999999996</c:v>
                </c:pt>
                <c:pt idx="42">
                  <c:v>633.13</c:v>
                </c:pt>
                <c:pt idx="43">
                  <c:v>629.66</c:v>
                </c:pt>
                <c:pt idx="44">
                  <c:v>632.99</c:v>
                </c:pt>
                <c:pt idx="45">
                  <c:v>632.84</c:v>
                </c:pt>
                <c:pt idx="46">
                  <c:v>634.96</c:v>
                </c:pt>
                <c:pt idx="47">
                  <c:v>635.72</c:v>
                </c:pt>
                <c:pt idx="48">
                  <c:v>627.11</c:v>
                </c:pt>
                <c:pt idx="49">
                  <c:v>628.97</c:v>
                </c:pt>
                <c:pt idx="50">
                  <c:v>628.54</c:v>
                </c:pt>
                <c:pt idx="51">
                  <c:v>631.02</c:v>
                </c:pt>
                <c:pt idx="52">
                  <c:v>640.35</c:v>
                </c:pt>
                <c:pt idx="53">
                  <c:v>640.08000000000004</c:v>
                </c:pt>
                <c:pt idx="54">
                  <c:v>634.41</c:v>
                </c:pt>
                <c:pt idx="55">
                  <c:v>629.91999999999996</c:v>
                </c:pt>
                <c:pt idx="56">
                  <c:v>629.69000000000005</c:v>
                </c:pt>
                <c:pt idx="57">
                  <c:v>624.21</c:v>
                </c:pt>
                <c:pt idx="58">
                  <c:v>631.16999999999996</c:v>
                </c:pt>
                <c:pt idx="59">
                  <c:v>633.77</c:v>
                </c:pt>
                <c:pt idx="60">
                  <c:v>631.37</c:v>
                </c:pt>
                <c:pt idx="61">
                  <c:v>635.61</c:v>
                </c:pt>
                <c:pt idx="62">
                  <c:v>634.29999999999995</c:v>
                </c:pt>
                <c:pt idx="63">
                  <c:v>632.99</c:v>
                </c:pt>
                <c:pt idx="64">
                  <c:v>629.62</c:v>
                </c:pt>
                <c:pt idx="65">
                  <c:v>624.66</c:v>
                </c:pt>
                <c:pt idx="66">
                  <c:v>627.73</c:v>
                </c:pt>
                <c:pt idx="67">
                  <c:v>624.17999999999995</c:v>
                </c:pt>
                <c:pt idx="68">
                  <c:v>628.04</c:v>
                </c:pt>
                <c:pt idx="69">
                  <c:v>630.37</c:v>
                </c:pt>
                <c:pt idx="70">
                  <c:v>627.26</c:v>
                </c:pt>
                <c:pt idx="71">
                  <c:v>631.41</c:v>
                </c:pt>
                <c:pt idx="72">
                  <c:v>631.83000000000004</c:v>
                </c:pt>
                <c:pt idx="73">
                  <c:v>632.28</c:v>
                </c:pt>
                <c:pt idx="74">
                  <c:v>630.84</c:v>
                </c:pt>
                <c:pt idx="75">
                  <c:v>630.14</c:v>
                </c:pt>
                <c:pt idx="76">
                  <c:v>633.95000000000005</c:v>
                </c:pt>
                <c:pt idx="77">
                  <c:v>635.78</c:v>
                </c:pt>
                <c:pt idx="78">
                  <c:v>636.26</c:v>
                </c:pt>
                <c:pt idx="79">
                  <c:v>636.67999999999995</c:v>
                </c:pt>
                <c:pt idx="80">
                  <c:v>636.96</c:v>
                </c:pt>
                <c:pt idx="81">
                  <c:v>640.37</c:v>
                </c:pt>
                <c:pt idx="82">
                  <c:v>642.25</c:v>
                </c:pt>
                <c:pt idx="83">
                  <c:v>653.79999999999995</c:v>
                </c:pt>
                <c:pt idx="84">
                  <c:v>655.74</c:v>
                </c:pt>
                <c:pt idx="85">
                  <c:v>652.11</c:v>
                </c:pt>
                <c:pt idx="86">
                  <c:v>664</c:v>
                </c:pt>
                <c:pt idx="87">
                  <c:v>672.05</c:v>
                </c:pt>
                <c:pt idx="88">
                  <c:v>671.46</c:v>
                </c:pt>
                <c:pt idx="89">
                  <c:v>671.84</c:v>
                </c:pt>
                <c:pt idx="90">
                  <c:v>674.57</c:v>
                </c:pt>
                <c:pt idx="91">
                  <c:v>672.84</c:v>
                </c:pt>
                <c:pt idx="92">
                  <c:v>691</c:v>
                </c:pt>
                <c:pt idx="93">
                  <c:v>681.57</c:v>
                </c:pt>
                <c:pt idx="94">
                  <c:v>684.41</c:v>
                </c:pt>
                <c:pt idx="95">
                  <c:v>682.07</c:v>
                </c:pt>
                <c:pt idx="96">
                  <c:v>688.61</c:v>
                </c:pt>
                <c:pt idx="97">
                  <c:v>690.32</c:v>
                </c:pt>
                <c:pt idx="98">
                  <c:v>689.94</c:v>
                </c:pt>
                <c:pt idx="99">
                  <c:v>683.27</c:v>
                </c:pt>
                <c:pt idx="100">
                  <c:v>685.06</c:v>
                </c:pt>
                <c:pt idx="101">
                  <c:v>683.76</c:v>
                </c:pt>
                <c:pt idx="102">
                  <c:v>681.69</c:v>
                </c:pt>
                <c:pt idx="103">
                  <c:v>682.44</c:v>
                </c:pt>
                <c:pt idx="104">
                  <c:v>684.91</c:v>
                </c:pt>
                <c:pt idx="105">
                  <c:v>678.73</c:v>
                </c:pt>
                <c:pt idx="106">
                  <c:v>682.32</c:v>
                </c:pt>
                <c:pt idx="107">
                  <c:v>682.72</c:v>
                </c:pt>
                <c:pt idx="108">
                  <c:v>691.45</c:v>
                </c:pt>
                <c:pt idx="109">
                  <c:v>691.96</c:v>
                </c:pt>
                <c:pt idx="110">
                  <c:v>693.58</c:v>
                </c:pt>
                <c:pt idx="111">
                  <c:v>703.26</c:v>
                </c:pt>
                <c:pt idx="112">
                  <c:v>721.93</c:v>
                </c:pt>
                <c:pt idx="113">
                  <c:v>725.11</c:v>
                </c:pt>
                <c:pt idx="114">
                  <c:v>730.4</c:v>
                </c:pt>
                <c:pt idx="115">
                  <c:v>727</c:v>
                </c:pt>
                <c:pt idx="116">
                  <c:v>725.67</c:v>
                </c:pt>
                <c:pt idx="117">
                  <c:v>723.85</c:v>
                </c:pt>
                <c:pt idx="118">
                  <c:v>723.9</c:v>
                </c:pt>
                <c:pt idx="119">
                  <c:v>727.11</c:v>
                </c:pt>
                <c:pt idx="120">
                  <c:v>729.39</c:v>
                </c:pt>
                <c:pt idx="121">
                  <c:v>724.35</c:v>
                </c:pt>
                <c:pt idx="122">
                  <c:v>715.65</c:v>
                </c:pt>
                <c:pt idx="123">
                  <c:v>716.52</c:v>
                </c:pt>
                <c:pt idx="124">
                  <c:v>719.66</c:v>
                </c:pt>
                <c:pt idx="125">
                  <c:v>712.86</c:v>
                </c:pt>
                <c:pt idx="126">
                  <c:v>712.87</c:v>
                </c:pt>
                <c:pt idx="127">
                  <c:v>710.37</c:v>
                </c:pt>
                <c:pt idx="128">
                  <c:v>710.53</c:v>
                </c:pt>
                <c:pt idx="129">
                  <c:v>708.24</c:v>
                </c:pt>
                <c:pt idx="130">
                  <c:v>711.68</c:v>
                </c:pt>
                <c:pt idx="131">
                  <c:v>720.71</c:v>
                </c:pt>
                <c:pt idx="132">
                  <c:v>720.56</c:v>
                </c:pt>
                <c:pt idx="133">
                  <c:v>723.03</c:v>
                </c:pt>
                <c:pt idx="134">
                  <c:v>723.24</c:v>
                </c:pt>
                <c:pt idx="135">
                  <c:v>722.23</c:v>
                </c:pt>
                <c:pt idx="136">
                  <c:v>718.91</c:v>
                </c:pt>
                <c:pt idx="137">
                  <c:v>719.79</c:v>
                </c:pt>
                <c:pt idx="138">
                  <c:v>722.21</c:v>
                </c:pt>
                <c:pt idx="139">
                  <c:v>726.83</c:v>
                </c:pt>
                <c:pt idx="140">
                  <c:v>724.21</c:v>
                </c:pt>
                <c:pt idx="141">
                  <c:v>724.23</c:v>
                </c:pt>
                <c:pt idx="142">
                  <c:v>727.46</c:v>
                </c:pt>
                <c:pt idx="143">
                  <c:v>728.51</c:v>
                </c:pt>
                <c:pt idx="144">
                  <c:v>728.84</c:v>
                </c:pt>
                <c:pt idx="145">
                  <c:v>732.07</c:v>
                </c:pt>
                <c:pt idx="146">
                  <c:v>732.24</c:v>
                </c:pt>
                <c:pt idx="147">
                  <c:v>739.96</c:v>
                </c:pt>
                <c:pt idx="148">
                  <c:v>743.35</c:v>
                </c:pt>
                <c:pt idx="149">
                  <c:v>742.26</c:v>
                </c:pt>
                <c:pt idx="150">
                  <c:v>741.02</c:v>
                </c:pt>
                <c:pt idx="151">
                  <c:v>744.62</c:v>
                </c:pt>
                <c:pt idx="152">
                  <c:v>746.49</c:v>
                </c:pt>
                <c:pt idx="153">
                  <c:v>743.3</c:v>
                </c:pt>
                <c:pt idx="154">
                  <c:v>742.02</c:v>
                </c:pt>
                <c:pt idx="155">
                  <c:v>745.17</c:v>
                </c:pt>
                <c:pt idx="156">
                  <c:v>752.26</c:v>
                </c:pt>
                <c:pt idx="157">
                  <c:v>756.48</c:v>
                </c:pt>
                <c:pt idx="158">
                  <c:v>748.86</c:v>
                </c:pt>
                <c:pt idx="159">
                  <c:v>742.83</c:v>
                </c:pt>
                <c:pt idx="160">
                  <c:v>736.23</c:v>
                </c:pt>
                <c:pt idx="161">
                  <c:v>743</c:v>
                </c:pt>
                <c:pt idx="162">
                  <c:v>740.94</c:v>
                </c:pt>
                <c:pt idx="163">
                  <c:v>743.01</c:v>
                </c:pt>
                <c:pt idx="164">
                  <c:v>741.76</c:v>
                </c:pt>
                <c:pt idx="165">
                  <c:v>747</c:v>
                </c:pt>
                <c:pt idx="166">
                  <c:v>743.43</c:v>
                </c:pt>
                <c:pt idx="167">
                  <c:v>744.17</c:v>
                </c:pt>
                <c:pt idx="168">
                  <c:v>738.36</c:v>
                </c:pt>
                <c:pt idx="169">
                  <c:v>737.24</c:v>
                </c:pt>
                <c:pt idx="170">
                  <c:v>744.99</c:v>
                </c:pt>
                <c:pt idx="171">
                  <c:v>742.67</c:v>
                </c:pt>
                <c:pt idx="172">
                  <c:v>742.22</c:v>
                </c:pt>
                <c:pt idx="173">
                  <c:v>736.16</c:v>
                </c:pt>
                <c:pt idx="174">
                  <c:v>733.45</c:v>
                </c:pt>
                <c:pt idx="175">
                  <c:v>737.64</c:v>
                </c:pt>
                <c:pt idx="176">
                  <c:v>737.43</c:v>
                </c:pt>
                <c:pt idx="177">
                  <c:v>740.2</c:v>
                </c:pt>
                <c:pt idx="178">
                  <c:v>742.73</c:v>
                </c:pt>
                <c:pt idx="179">
                  <c:v>748.55</c:v>
                </c:pt>
                <c:pt idx="180">
                  <c:v>759.62</c:v>
                </c:pt>
                <c:pt idx="181">
                  <c:v>779.41</c:v>
                </c:pt>
                <c:pt idx="182">
                  <c:v>790.66</c:v>
                </c:pt>
                <c:pt idx="183">
                  <c:v>791.74</c:v>
                </c:pt>
                <c:pt idx="184">
                  <c:v>782.63</c:v>
                </c:pt>
                <c:pt idx="185">
                  <c:v>783.21</c:v>
                </c:pt>
                <c:pt idx="186">
                  <c:v>784.12</c:v>
                </c:pt>
                <c:pt idx="187">
                  <c:v>781.05</c:v>
                </c:pt>
                <c:pt idx="188">
                  <c:v>781.45</c:v>
                </c:pt>
                <c:pt idx="189">
                  <c:v>790.31</c:v>
                </c:pt>
                <c:pt idx="190">
                  <c:v>805.11</c:v>
                </c:pt>
                <c:pt idx="191">
                  <c:v>804.43</c:v>
                </c:pt>
                <c:pt idx="192">
                  <c:v>803.52</c:v>
                </c:pt>
                <c:pt idx="193">
                  <c:v>805.64</c:v>
                </c:pt>
                <c:pt idx="194">
                  <c:v>809.97</c:v>
                </c:pt>
                <c:pt idx="195">
                  <c:v>812.1</c:v>
                </c:pt>
                <c:pt idx="196">
                  <c:v>817.12</c:v>
                </c:pt>
                <c:pt idx="197">
                  <c:v>813.09</c:v>
                </c:pt>
                <c:pt idx="198">
                  <c:v>815.99</c:v>
                </c:pt>
                <c:pt idx="199">
                  <c:v>813.49</c:v>
                </c:pt>
                <c:pt idx="200">
                  <c:v>809.14</c:v>
                </c:pt>
                <c:pt idx="201">
                  <c:v>806.78</c:v>
                </c:pt>
                <c:pt idx="202">
                  <c:v>800.96</c:v>
                </c:pt>
                <c:pt idx="203">
                  <c:v>795.28</c:v>
                </c:pt>
                <c:pt idx="204">
                  <c:v>790.31</c:v>
                </c:pt>
                <c:pt idx="205">
                  <c:v>791.49</c:v>
                </c:pt>
                <c:pt idx="206">
                  <c:v>792.23</c:v>
                </c:pt>
                <c:pt idx="207">
                  <c:v>781.95</c:v>
                </c:pt>
                <c:pt idx="208">
                  <c:v>782.17</c:v>
                </c:pt>
                <c:pt idx="209">
                  <c:v>765.95</c:v>
                </c:pt>
                <c:pt idx="210">
                  <c:v>777.21</c:v>
                </c:pt>
                <c:pt idx="211">
                  <c:v>784.47</c:v>
                </c:pt>
                <c:pt idx="212">
                  <c:v>778.37</c:v>
                </c:pt>
                <c:pt idx="213">
                  <c:v>779.28</c:v>
                </c:pt>
                <c:pt idx="214">
                  <c:v>790.56</c:v>
                </c:pt>
                <c:pt idx="215">
                  <c:v>797.8</c:v>
                </c:pt>
                <c:pt idx="216">
                  <c:v>795.57</c:v>
                </c:pt>
                <c:pt idx="217">
                  <c:v>790.13</c:v>
                </c:pt>
                <c:pt idx="218">
                  <c:v>786.98</c:v>
                </c:pt>
                <c:pt idx="219">
                  <c:v>784.03</c:v>
                </c:pt>
                <c:pt idx="220">
                  <c:v>788.47</c:v>
                </c:pt>
                <c:pt idx="221">
                  <c:v>794.51</c:v>
                </c:pt>
                <c:pt idx="222">
                  <c:v>793.6</c:v>
                </c:pt>
                <c:pt idx="223">
                  <c:v>791.94</c:v>
                </c:pt>
                <c:pt idx="224">
                  <c:v>788.01</c:v>
                </c:pt>
                <c:pt idx="225">
                  <c:v>782.08</c:v>
                </c:pt>
                <c:pt idx="226">
                  <c:v>775.13</c:v>
                </c:pt>
                <c:pt idx="227">
                  <c:v>766.59</c:v>
                </c:pt>
                <c:pt idx="228">
                  <c:v>769.75</c:v>
                </c:pt>
                <c:pt idx="229">
                  <c:v>775.3</c:v>
                </c:pt>
                <c:pt idx="230">
                  <c:v>777.63</c:v>
                </c:pt>
                <c:pt idx="231">
                  <c:v>777.37</c:v>
                </c:pt>
                <c:pt idx="232">
                  <c:v>780.02</c:v>
                </c:pt>
                <c:pt idx="233">
                  <c:v>787.8</c:v>
                </c:pt>
                <c:pt idx="234">
                  <c:v>792.72</c:v>
                </c:pt>
                <c:pt idx="235">
                  <c:v>793.94</c:v>
                </c:pt>
                <c:pt idx="236">
                  <c:v>788.49</c:v>
                </c:pt>
                <c:pt idx="237">
                  <c:v>792.66</c:v>
                </c:pt>
                <c:pt idx="238">
                  <c:v>787.29</c:v>
                </c:pt>
                <c:pt idx="239">
                  <c:v>805.76</c:v>
                </c:pt>
                <c:pt idx="240">
                  <c:v>813.2</c:v>
                </c:pt>
                <c:pt idx="241">
                  <c:v>841</c:v>
                </c:pt>
                <c:pt idx="242">
                  <c:v>823.68</c:v>
                </c:pt>
                <c:pt idx="243">
                  <c:v>827</c:v>
                </c:pt>
                <c:pt idx="244">
                  <c:v>815.98</c:v>
                </c:pt>
              </c:numCache>
            </c:numRef>
          </c:val>
        </c:ser>
        <c:axId val="132196224"/>
        <c:axId val="132197760"/>
      </c:areaChart>
      <c:lineChart>
        <c:grouping val="standard"/>
        <c:ser>
          <c:idx val="3"/>
          <c:order val="1"/>
          <c:tx>
            <c:strRef>
              <c:f>[1]FKLI!$C$1</c:f>
              <c:strCache>
                <c:ptCount val="1"/>
                <c:pt idx="0">
                  <c:v>FKLI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[1]FKLI!$C$1747:$C$1991</c:f>
              <c:numCache>
                <c:formatCode>General</c:formatCode>
                <c:ptCount val="245"/>
                <c:pt idx="0">
                  <c:v>677</c:v>
                </c:pt>
                <c:pt idx="1">
                  <c:v>677.4</c:v>
                </c:pt>
                <c:pt idx="2">
                  <c:v>675.4</c:v>
                </c:pt>
                <c:pt idx="3">
                  <c:v>681.3</c:v>
                </c:pt>
                <c:pt idx="4">
                  <c:v>679.1</c:v>
                </c:pt>
                <c:pt idx="5">
                  <c:v>673</c:v>
                </c:pt>
                <c:pt idx="6">
                  <c:v>667</c:v>
                </c:pt>
                <c:pt idx="7">
                  <c:v>659</c:v>
                </c:pt>
                <c:pt idx="8">
                  <c:v>673.8</c:v>
                </c:pt>
                <c:pt idx="9">
                  <c:v>661.5</c:v>
                </c:pt>
                <c:pt idx="10">
                  <c:v>660.5</c:v>
                </c:pt>
                <c:pt idx="11">
                  <c:v>666.5</c:v>
                </c:pt>
                <c:pt idx="12">
                  <c:v>663.9</c:v>
                </c:pt>
                <c:pt idx="13">
                  <c:v>648.9</c:v>
                </c:pt>
                <c:pt idx="14">
                  <c:v>647</c:v>
                </c:pt>
                <c:pt idx="15">
                  <c:v>651</c:v>
                </c:pt>
                <c:pt idx="16">
                  <c:v>647.5</c:v>
                </c:pt>
                <c:pt idx="17">
                  <c:v>650.70000000000005</c:v>
                </c:pt>
                <c:pt idx="18">
                  <c:v>657.2</c:v>
                </c:pt>
                <c:pt idx="19">
                  <c:v>654</c:v>
                </c:pt>
                <c:pt idx="20">
                  <c:v>654.5</c:v>
                </c:pt>
                <c:pt idx="21">
                  <c:v>647.6</c:v>
                </c:pt>
                <c:pt idx="22">
                  <c:v>646.1</c:v>
                </c:pt>
                <c:pt idx="23">
                  <c:v>651.55999999999995</c:v>
                </c:pt>
                <c:pt idx="24">
                  <c:v>647.5</c:v>
                </c:pt>
                <c:pt idx="25">
                  <c:v>645.20000000000005</c:v>
                </c:pt>
                <c:pt idx="26">
                  <c:v>648.1</c:v>
                </c:pt>
                <c:pt idx="27">
                  <c:v>647.79999999999995</c:v>
                </c:pt>
                <c:pt idx="28">
                  <c:v>647</c:v>
                </c:pt>
                <c:pt idx="29">
                  <c:v>634.20000000000005</c:v>
                </c:pt>
                <c:pt idx="30">
                  <c:v>631.9</c:v>
                </c:pt>
                <c:pt idx="31">
                  <c:v>626.5</c:v>
                </c:pt>
                <c:pt idx="32">
                  <c:v>613</c:v>
                </c:pt>
                <c:pt idx="33">
                  <c:v>613</c:v>
                </c:pt>
                <c:pt idx="34">
                  <c:v>616</c:v>
                </c:pt>
                <c:pt idx="35">
                  <c:v>613.9</c:v>
                </c:pt>
                <c:pt idx="36">
                  <c:v>617.20000000000005</c:v>
                </c:pt>
                <c:pt idx="37">
                  <c:v>602.5</c:v>
                </c:pt>
                <c:pt idx="38">
                  <c:v>615.9</c:v>
                </c:pt>
                <c:pt idx="39">
                  <c:v>614.29999999999995</c:v>
                </c:pt>
                <c:pt idx="40">
                  <c:v>623.5</c:v>
                </c:pt>
                <c:pt idx="41">
                  <c:v>623.1</c:v>
                </c:pt>
                <c:pt idx="42">
                  <c:v>622</c:v>
                </c:pt>
                <c:pt idx="43">
                  <c:v>620.1</c:v>
                </c:pt>
                <c:pt idx="44">
                  <c:v>623.29999999999995</c:v>
                </c:pt>
                <c:pt idx="45">
                  <c:v>624</c:v>
                </c:pt>
                <c:pt idx="46">
                  <c:v>629.4</c:v>
                </c:pt>
                <c:pt idx="47">
                  <c:v>631.79999999999995</c:v>
                </c:pt>
                <c:pt idx="48">
                  <c:v>617.79999999999995</c:v>
                </c:pt>
                <c:pt idx="49">
                  <c:v>623.6</c:v>
                </c:pt>
                <c:pt idx="50">
                  <c:v>627</c:v>
                </c:pt>
                <c:pt idx="51">
                  <c:v>631.4</c:v>
                </c:pt>
                <c:pt idx="52">
                  <c:v>648</c:v>
                </c:pt>
                <c:pt idx="53">
                  <c:v>642.1</c:v>
                </c:pt>
                <c:pt idx="54">
                  <c:v>629.79999999999995</c:v>
                </c:pt>
                <c:pt idx="55">
                  <c:v>631.9</c:v>
                </c:pt>
                <c:pt idx="56">
                  <c:v>630</c:v>
                </c:pt>
                <c:pt idx="57">
                  <c:v>622.20000000000005</c:v>
                </c:pt>
                <c:pt idx="58">
                  <c:v>632.1</c:v>
                </c:pt>
                <c:pt idx="59">
                  <c:v>632</c:v>
                </c:pt>
                <c:pt idx="60">
                  <c:v>631</c:v>
                </c:pt>
                <c:pt idx="61">
                  <c:v>636.5</c:v>
                </c:pt>
                <c:pt idx="62">
                  <c:v>633.9</c:v>
                </c:pt>
                <c:pt idx="63">
                  <c:v>628.6</c:v>
                </c:pt>
                <c:pt idx="64">
                  <c:v>628.6</c:v>
                </c:pt>
                <c:pt idx="65">
                  <c:v>621.79999999999995</c:v>
                </c:pt>
                <c:pt idx="66">
                  <c:v>625.4</c:v>
                </c:pt>
                <c:pt idx="67">
                  <c:v>626</c:v>
                </c:pt>
                <c:pt idx="68">
                  <c:v>630.4</c:v>
                </c:pt>
                <c:pt idx="69">
                  <c:v>630.79999999999995</c:v>
                </c:pt>
                <c:pt idx="70">
                  <c:v>625</c:v>
                </c:pt>
                <c:pt idx="71">
                  <c:v>629.20000000000005</c:v>
                </c:pt>
                <c:pt idx="72">
                  <c:v>632</c:v>
                </c:pt>
                <c:pt idx="73">
                  <c:v>631</c:v>
                </c:pt>
                <c:pt idx="74">
                  <c:v>627.6</c:v>
                </c:pt>
                <c:pt idx="75">
                  <c:v>630.5</c:v>
                </c:pt>
                <c:pt idx="76">
                  <c:v>635</c:v>
                </c:pt>
                <c:pt idx="77">
                  <c:v>636</c:v>
                </c:pt>
                <c:pt idx="78">
                  <c:v>639.1</c:v>
                </c:pt>
                <c:pt idx="79">
                  <c:v>639.9</c:v>
                </c:pt>
                <c:pt idx="80">
                  <c:v>642.79999999999995</c:v>
                </c:pt>
                <c:pt idx="81">
                  <c:v>638.1</c:v>
                </c:pt>
                <c:pt idx="82">
                  <c:v>644</c:v>
                </c:pt>
                <c:pt idx="83">
                  <c:v>650.88</c:v>
                </c:pt>
                <c:pt idx="84">
                  <c:v>660.3</c:v>
                </c:pt>
                <c:pt idx="85">
                  <c:v>655.4</c:v>
                </c:pt>
                <c:pt idx="86">
                  <c:v>666</c:v>
                </c:pt>
                <c:pt idx="87">
                  <c:v>674</c:v>
                </c:pt>
                <c:pt idx="88">
                  <c:v>673.4</c:v>
                </c:pt>
                <c:pt idx="89">
                  <c:v>678</c:v>
                </c:pt>
                <c:pt idx="90">
                  <c:v>679</c:v>
                </c:pt>
                <c:pt idx="91">
                  <c:v>678</c:v>
                </c:pt>
                <c:pt idx="92">
                  <c:v>682.43</c:v>
                </c:pt>
                <c:pt idx="93">
                  <c:v>690.8</c:v>
                </c:pt>
                <c:pt idx="94">
                  <c:v>692.8</c:v>
                </c:pt>
                <c:pt idx="95">
                  <c:v>690</c:v>
                </c:pt>
                <c:pt idx="96">
                  <c:v>693</c:v>
                </c:pt>
                <c:pt idx="97">
                  <c:v>698.8</c:v>
                </c:pt>
                <c:pt idx="98">
                  <c:v>698.5</c:v>
                </c:pt>
                <c:pt idx="99">
                  <c:v>689</c:v>
                </c:pt>
                <c:pt idx="100">
                  <c:v>692.9</c:v>
                </c:pt>
                <c:pt idx="101">
                  <c:v>691.5</c:v>
                </c:pt>
                <c:pt idx="102">
                  <c:v>690.8</c:v>
                </c:pt>
                <c:pt idx="103">
                  <c:v>690</c:v>
                </c:pt>
                <c:pt idx="104">
                  <c:v>687.1</c:v>
                </c:pt>
                <c:pt idx="105">
                  <c:v>679</c:v>
                </c:pt>
                <c:pt idx="106">
                  <c:v>683.1</c:v>
                </c:pt>
                <c:pt idx="107">
                  <c:v>686.2</c:v>
                </c:pt>
                <c:pt idx="108">
                  <c:v>693</c:v>
                </c:pt>
                <c:pt idx="109">
                  <c:v>692.9</c:v>
                </c:pt>
                <c:pt idx="110">
                  <c:v>699</c:v>
                </c:pt>
                <c:pt idx="111">
                  <c:v>711.3</c:v>
                </c:pt>
                <c:pt idx="112">
                  <c:v>726.5</c:v>
                </c:pt>
                <c:pt idx="113">
                  <c:v>731.8</c:v>
                </c:pt>
                <c:pt idx="114">
                  <c:v>736.9</c:v>
                </c:pt>
                <c:pt idx="115">
                  <c:v>734.8</c:v>
                </c:pt>
                <c:pt idx="116">
                  <c:v>731.6</c:v>
                </c:pt>
                <c:pt idx="117">
                  <c:v>729.1</c:v>
                </c:pt>
                <c:pt idx="118">
                  <c:v>734.5</c:v>
                </c:pt>
                <c:pt idx="119">
                  <c:v>737.1</c:v>
                </c:pt>
                <c:pt idx="120">
                  <c:v>733.3</c:v>
                </c:pt>
                <c:pt idx="121">
                  <c:v>730.1</c:v>
                </c:pt>
                <c:pt idx="122">
                  <c:v>716.3</c:v>
                </c:pt>
                <c:pt idx="123">
                  <c:v>722.5</c:v>
                </c:pt>
                <c:pt idx="124">
                  <c:v>716.6</c:v>
                </c:pt>
                <c:pt idx="125">
                  <c:v>712</c:v>
                </c:pt>
                <c:pt idx="126">
                  <c:v>708.7</c:v>
                </c:pt>
                <c:pt idx="127">
                  <c:v>713.2</c:v>
                </c:pt>
                <c:pt idx="128">
                  <c:v>708.7</c:v>
                </c:pt>
                <c:pt idx="129">
                  <c:v>710.9</c:v>
                </c:pt>
                <c:pt idx="130">
                  <c:v>713.1</c:v>
                </c:pt>
                <c:pt idx="131">
                  <c:v>722.5</c:v>
                </c:pt>
                <c:pt idx="132">
                  <c:v>719.4</c:v>
                </c:pt>
                <c:pt idx="133">
                  <c:v>726.6</c:v>
                </c:pt>
                <c:pt idx="134">
                  <c:v>723.3</c:v>
                </c:pt>
                <c:pt idx="135">
                  <c:v>719.4</c:v>
                </c:pt>
                <c:pt idx="136">
                  <c:v>713</c:v>
                </c:pt>
                <c:pt idx="137">
                  <c:v>710.6</c:v>
                </c:pt>
                <c:pt idx="138">
                  <c:v>713.9</c:v>
                </c:pt>
                <c:pt idx="139">
                  <c:v>719.6</c:v>
                </c:pt>
                <c:pt idx="140">
                  <c:v>718.6</c:v>
                </c:pt>
                <c:pt idx="141">
                  <c:v>723</c:v>
                </c:pt>
                <c:pt idx="142">
                  <c:v>727.8</c:v>
                </c:pt>
                <c:pt idx="143">
                  <c:v>726.3</c:v>
                </c:pt>
                <c:pt idx="144">
                  <c:v>730.7</c:v>
                </c:pt>
                <c:pt idx="145">
                  <c:v>735.1</c:v>
                </c:pt>
                <c:pt idx="146">
                  <c:v>731</c:v>
                </c:pt>
                <c:pt idx="147">
                  <c:v>742.7</c:v>
                </c:pt>
                <c:pt idx="148">
                  <c:v>743.7</c:v>
                </c:pt>
                <c:pt idx="149">
                  <c:v>741</c:v>
                </c:pt>
                <c:pt idx="150">
                  <c:v>741.5</c:v>
                </c:pt>
                <c:pt idx="151">
                  <c:v>743.7</c:v>
                </c:pt>
                <c:pt idx="152">
                  <c:v>744.1</c:v>
                </c:pt>
                <c:pt idx="153">
                  <c:v>742.6</c:v>
                </c:pt>
                <c:pt idx="154">
                  <c:v>743.6</c:v>
                </c:pt>
                <c:pt idx="155">
                  <c:v>750</c:v>
                </c:pt>
                <c:pt idx="156">
                  <c:v>755</c:v>
                </c:pt>
                <c:pt idx="157">
                  <c:v>754.9</c:v>
                </c:pt>
                <c:pt idx="158">
                  <c:v>750.4</c:v>
                </c:pt>
                <c:pt idx="159">
                  <c:v>739.5</c:v>
                </c:pt>
                <c:pt idx="160">
                  <c:v>738.6</c:v>
                </c:pt>
                <c:pt idx="161">
                  <c:v>745.5</c:v>
                </c:pt>
                <c:pt idx="162">
                  <c:v>739</c:v>
                </c:pt>
                <c:pt idx="163">
                  <c:v>741.1</c:v>
                </c:pt>
                <c:pt idx="164">
                  <c:v>747.5</c:v>
                </c:pt>
                <c:pt idx="165">
                  <c:v>753</c:v>
                </c:pt>
                <c:pt idx="166">
                  <c:v>749</c:v>
                </c:pt>
                <c:pt idx="167">
                  <c:v>751</c:v>
                </c:pt>
                <c:pt idx="168">
                  <c:v>741</c:v>
                </c:pt>
                <c:pt idx="169">
                  <c:v>742</c:v>
                </c:pt>
                <c:pt idx="170">
                  <c:v>753</c:v>
                </c:pt>
                <c:pt idx="171">
                  <c:v>747</c:v>
                </c:pt>
                <c:pt idx="172">
                  <c:v>744.5</c:v>
                </c:pt>
                <c:pt idx="173">
                  <c:v>738.5</c:v>
                </c:pt>
                <c:pt idx="174">
                  <c:v>734</c:v>
                </c:pt>
                <c:pt idx="175">
                  <c:v>735</c:v>
                </c:pt>
                <c:pt idx="176">
                  <c:v>736.5</c:v>
                </c:pt>
                <c:pt idx="177">
                  <c:v>740.5</c:v>
                </c:pt>
                <c:pt idx="178">
                  <c:v>746.5</c:v>
                </c:pt>
                <c:pt idx="179">
                  <c:v>751.5</c:v>
                </c:pt>
                <c:pt idx="180">
                  <c:v>763.5</c:v>
                </c:pt>
                <c:pt idx="181">
                  <c:v>779.5</c:v>
                </c:pt>
                <c:pt idx="182">
                  <c:v>795</c:v>
                </c:pt>
                <c:pt idx="183">
                  <c:v>797.5</c:v>
                </c:pt>
                <c:pt idx="184">
                  <c:v>790.5</c:v>
                </c:pt>
                <c:pt idx="185">
                  <c:v>790.5</c:v>
                </c:pt>
                <c:pt idx="186">
                  <c:v>791</c:v>
                </c:pt>
                <c:pt idx="187">
                  <c:v>786.5</c:v>
                </c:pt>
                <c:pt idx="188">
                  <c:v>789</c:v>
                </c:pt>
                <c:pt idx="189">
                  <c:v>799.5</c:v>
                </c:pt>
                <c:pt idx="190">
                  <c:v>807.5</c:v>
                </c:pt>
                <c:pt idx="191">
                  <c:v>799</c:v>
                </c:pt>
                <c:pt idx="192">
                  <c:v>808</c:v>
                </c:pt>
                <c:pt idx="193">
                  <c:v>812.5</c:v>
                </c:pt>
                <c:pt idx="194">
                  <c:v>816.5</c:v>
                </c:pt>
                <c:pt idx="195">
                  <c:v>815.5</c:v>
                </c:pt>
                <c:pt idx="196">
                  <c:v>812</c:v>
                </c:pt>
                <c:pt idx="197">
                  <c:v>820.5</c:v>
                </c:pt>
                <c:pt idx="198">
                  <c:v>826</c:v>
                </c:pt>
                <c:pt idx="199">
                  <c:v>824.5</c:v>
                </c:pt>
                <c:pt idx="200">
                  <c:v>812</c:v>
                </c:pt>
                <c:pt idx="201">
                  <c:v>818.5</c:v>
                </c:pt>
                <c:pt idx="202">
                  <c:v>811</c:v>
                </c:pt>
                <c:pt idx="203">
                  <c:v>799</c:v>
                </c:pt>
                <c:pt idx="204">
                  <c:v>801.5</c:v>
                </c:pt>
                <c:pt idx="205">
                  <c:v>799.5</c:v>
                </c:pt>
                <c:pt idx="206">
                  <c:v>795</c:v>
                </c:pt>
                <c:pt idx="207">
                  <c:v>777</c:v>
                </c:pt>
                <c:pt idx="208">
                  <c:v>781</c:v>
                </c:pt>
                <c:pt idx="209">
                  <c:v>767</c:v>
                </c:pt>
                <c:pt idx="210">
                  <c:v>772</c:v>
                </c:pt>
                <c:pt idx="211">
                  <c:v>775.5</c:v>
                </c:pt>
                <c:pt idx="212">
                  <c:v>779.5</c:v>
                </c:pt>
                <c:pt idx="213">
                  <c:v>777</c:v>
                </c:pt>
                <c:pt idx="214">
                  <c:v>803</c:v>
                </c:pt>
                <c:pt idx="215">
                  <c:v>806</c:v>
                </c:pt>
                <c:pt idx="216">
                  <c:v>802</c:v>
                </c:pt>
                <c:pt idx="217">
                  <c:v>791.5</c:v>
                </c:pt>
                <c:pt idx="218">
                  <c:v>789.5</c:v>
                </c:pt>
                <c:pt idx="219">
                  <c:v>784</c:v>
                </c:pt>
                <c:pt idx="220">
                  <c:v>794.5</c:v>
                </c:pt>
                <c:pt idx="221">
                  <c:v>796.5</c:v>
                </c:pt>
                <c:pt idx="222">
                  <c:v>797</c:v>
                </c:pt>
                <c:pt idx="223">
                  <c:v>795</c:v>
                </c:pt>
                <c:pt idx="224">
                  <c:v>796.5</c:v>
                </c:pt>
                <c:pt idx="225">
                  <c:v>786</c:v>
                </c:pt>
                <c:pt idx="226">
                  <c:v>774</c:v>
                </c:pt>
                <c:pt idx="227">
                  <c:v>762.5</c:v>
                </c:pt>
                <c:pt idx="228">
                  <c:v>771.5</c:v>
                </c:pt>
                <c:pt idx="229">
                  <c:v>773</c:v>
                </c:pt>
                <c:pt idx="230">
                  <c:v>780</c:v>
                </c:pt>
                <c:pt idx="231">
                  <c:v>784</c:v>
                </c:pt>
                <c:pt idx="232">
                  <c:v>785</c:v>
                </c:pt>
                <c:pt idx="233">
                  <c:v>792.5</c:v>
                </c:pt>
                <c:pt idx="234">
                  <c:v>795</c:v>
                </c:pt>
                <c:pt idx="235">
                  <c:v>792</c:v>
                </c:pt>
                <c:pt idx="236">
                  <c:v>795</c:v>
                </c:pt>
                <c:pt idx="237">
                  <c:v>801</c:v>
                </c:pt>
                <c:pt idx="238">
                  <c:v>794.5</c:v>
                </c:pt>
                <c:pt idx="239">
                  <c:v>812</c:v>
                </c:pt>
                <c:pt idx="240">
                  <c:v>820</c:v>
                </c:pt>
                <c:pt idx="241">
                  <c:v>825.42</c:v>
                </c:pt>
                <c:pt idx="242">
                  <c:v>836</c:v>
                </c:pt>
                <c:pt idx="243">
                  <c:v>818.42</c:v>
                </c:pt>
                <c:pt idx="244">
                  <c:v>823.5</c:v>
                </c:pt>
              </c:numCache>
            </c:numRef>
          </c:val>
        </c:ser>
        <c:marker val="1"/>
        <c:axId val="132196224"/>
        <c:axId val="132197760"/>
      </c:lineChart>
      <c:catAx>
        <c:axId val="132196224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97760"/>
        <c:crossesAt val="44"/>
        <c:lblAlgn val="ctr"/>
        <c:lblOffset val="100"/>
        <c:tickLblSkip val="10"/>
        <c:tickMarkSkip val="1"/>
      </c:catAx>
      <c:valAx>
        <c:axId val="132197760"/>
        <c:scaling>
          <c:orientation val="minMax"/>
          <c:max val="860"/>
          <c:min val="58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196224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742354580325844"/>
          <c:y val="0.91333630643328922"/>
          <c:w val="0.34633609718539587"/>
          <c:h val="5.33335069450096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altLang="en-US"/>
              <a:t>Notional Value Comparison Between FKLI and KLSE CI</a:t>
            </a:r>
          </a:p>
        </c:rich>
      </c:tx>
      <c:layout>
        <c:manualLayout>
          <c:xMode val="edge"/>
          <c:yMode val="edge"/>
          <c:x val="0.40948333316963742"/>
          <c:y val="4.8780681452781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896666633927501E-2"/>
          <c:y val="6.5040908603708564E-2"/>
          <c:w val="0.82471380083990109"/>
          <c:h val="0.76423067609357642"/>
        </c:manualLayout>
      </c:layout>
      <c:barChart>
        <c:barDir val="col"/>
        <c:grouping val="clustered"/>
        <c:ser>
          <c:idx val="0"/>
          <c:order val="0"/>
          <c:tx>
            <c:strRef>
              <c:f>notional!$C$3</c:f>
              <c:strCache>
                <c:ptCount val="1"/>
                <c:pt idx="0">
                  <c:v>FKLI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notional!$A$4:$A$99</c:f>
              <c:numCache>
                <c:formatCode>mmm\-yy</c:formatCode>
                <c:ptCount val="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</c:numCache>
            </c:numRef>
          </c:cat>
          <c:val>
            <c:numRef>
              <c:f>notional!$C$4:$C$99</c:f>
              <c:numCache>
                <c:formatCode>#,##0.00</c:formatCode>
                <c:ptCount val="96"/>
                <c:pt idx="0">
                  <c:v>66.727999999999994</c:v>
                </c:pt>
                <c:pt idx="1">
                  <c:v>249.1216</c:v>
                </c:pt>
                <c:pt idx="2">
                  <c:v>230.304</c:v>
                </c:pt>
                <c:pt idx="3">
                  <c:v>628.75599999999997</c:v>
                </c:pt>
                <c:pt idx="4">
                  <c:v>745.08100000000002</c:v>
                </c:pt>
                <c:pt idx="5">
                  <c:v>751.22500000000002</c:v>
                </c:pt>
                <c:pt idx="6">
                  <c:v>648.29200000000003</c:v>
                </c:pt>
                <c:pt idx="7">
                  <c:v>784.49099999999999</c:v>
                </c:pt>
                <c:pt idx="8">
                  <c:v>854.76499999999999</c:v>
                </c:pt>
                <c:pt idx="9">
                  <c:v>705.505</c:v>
                </c:pt>
                <c:pt idx="10">
                  <c:v>1104.204</c:v>
                </c:pt>
                <c:pt idx="11">
                  <c:v>861.4</c:v>
                </c:pt>
                <c:pt idx="12">
                  <c:v>1291.8</c:v>
                </c:pt>
                <c:pt idx="13">
                  <c:v>1341.16715</c:v>
                </c:pt>
                <c:pt idx="14">
                  <c:v>1092.9313099999999</c:v>
                </c:pt>
                <c:pt idx="15">
                  <c:v>1383.48128</c:v>
                </c:pt>
                <c:pt idx="16">
                  <c:v>2034.6561799999999</c:v>
                </c:pt>
                <c:pt idx="17">
                  <c:v>2594.21252</c:v>
                </c:pt>
                <c:pt idx="18">
                  <c:v>2191.1624299999999</c:v>
                </c:pt>
                <c:pt idx="19">
                  <c:v>2575.6539400000001</c:v>
                </c:pt>
                <c:pt idx="20">
                  <c:v>3894.75371</c:v>
                </c:pt>
                <c:pt idx="21">
                  <c:v>4738.2346500000003</c:v>
                </c:pt>
                <c:pt idx="22">
                  <c:v>3738.837</c:v>
                </c:pt>
                <c:pt idx="23">
                  <c:v>3335.404</c:v>
                </c:pt>
                <c:pt idx="24">
                  <c:v>3075.5920000000001</c:v>
                </c:pt>
                <c:pt idx="25">
                  <c:v>2646.1766710000002</c:v>
                </c:pt>
                <c:pt idx="26">
                  <c:v>5008.4573700000001</c:v>
                </c:pt>
                <c:pt idx="27">
                  <c:v>4173.3029999999999</c:v>
                </c:pt>
                <c:pt idx="28">
                  <c:v>5259.84</c:v>
                </c:pt>
                <c:pt idx="29">
                  <c:v>4628.2700000000004</c:v>
                </c:pt>
                <c:pt idx="30">
                  <c:v>4451.96</c:v>
                </c:pt>
                <c:pt idx="31">
                  <c:v>3993.67</c:v>
                </c:pt>
                <c:pt idx="32">
                  <c:v>3122.4</c:v>
                </c:pt>
                <c:pt idx="33">
                  <c:v>2898.2449999999999</c:v>
                </c:pt>
                <c:pt idx="34">
                  <c:v>691.37</c:v>
                </c:pt>
                <c:pt idx="35">
                  <c:v>1217.83</c:v>
                </c:pt>
                <c:pt idx="36">
                  <c:v>1529.69</c:v>
                </c:pt>
                <c:pt idx="37">
                  <c:v>1463.7539999999999</c:v>
                </c:pt>
                <c:pt idx="38">
                  <c:v>2018.6569999999999</c:v>
                </c:pt>
                <c:pt idx="39">
                  <c:v>1809.5694000000001</c:v>
                </c:pt>
                <c:pt idx="40">
                  <c:v>3504.2619800000002</c:v>
                </c:pt>
                <c:pt idx="41">
                  <c:v>4373.21371</c:v>
                </c:pt>
                <c:pt idx="42">
                  <c:v>3731.3125300000002</c:v>
                </c:pt>
                <c:pt idx="43">
                  <c:v>3458.65877</c:v>
                </c:pt>
                <c:pt idx="44">
                  <c:v>3325.85016</c:v>
                </c:pt>
                <c:pt idx="45">
                  <c:v>2137.9818500000001</c:v>
                </c:pt>
                <c:pt idx="46">
                  <c:v>2299.5105600000002</c:v>
                </c:pt>
                <c:pt idx="47">
                  <c:v>1313.77378</c:v>
                </c:pt>
                <c:pt idx="48">
                  <c:v>1323.92092</c:v>
                </c:pt>
                <c:pt idx="49">
                  <c:v>3669.5331900000001</c:v>
                </c:pt>
                <c:pt idx="50">
                  <c:v>2933.4793</c:v>
                </c:pt>
                <c:pt idx="51">
                  <c:v>3731.5790099999999</c:v>
                </c:pt>
                <c:pt idx="52">
                  <c:v>2540.6633099999999</c:v>
                </c:pt>
                <c:pt idx="53">
                  <c:v>2955.2810899999999</c:v>
                </c:pt>
                <c:pt idx="54">
                  <c:v>3044.7454200000002</c:v>
                </c:pt>
                <c:pt idx="55">
                  <c:v>2725.9655899999998</c:v>
                </c:pt>
                <c:pt idx="56">
                  <c:v>1642.6429700000001</c:v>
                </c:pt>
                <c:pt idx="57">
                  <c:v>2169.28208</c:v>
                </c:pt>
                <c:pt idx="58">
                  <c:v>2564.17</c:v>
                </c:pt>
                <c:pt idx="59">
                  <c:v>2064.2619100000002</c:v>
                </c:pt>
                <c:pt idx="60">
                  <c:v>1363.9546499999999</c:v>
                </c:pt>
                <c:pt idx="61">
                  <c:v>1579.8877399999999</c:v>
                </c:pt>
                <c:pt idx="62">
                  <c:v>1585.02495</c:v>
                </c:pt>
                <c:pt idx="63">
                  <c:v>1403.7155399999999</c:v>
                </c:pt>
                <c:pt idx="64">
                  <c:v>2098.9615800000001</c:v>
                </c:pt>
                <c:pt idx="65">
                  <c:v>1497.598</c:v>
                </c:pt>
                <c:pt idx="66">
                  <c:v>1150.42401</c:v>
                </c:pt>
                <c:pt idx="67">
                  <c:v>1768.0563199999999</c:v>
                </c:pt>
                <c:pt idx="68">
                  <c:v>1462.66101</c:v>
                </c:pt>
                <c:pt idx="69">
                  <c:v>1847.5500500000001</c:v>
                </c:pt>
                <c:pt idx="70">
                  <c:v>1215.5576000000001</c:v>
                </c:pt>
                <c:pt idx="71">
                  <c:v>1461.08898</c:v>
                </c:pt>
                <c:pt idx="72">
                  <c:v>1150.41155</c:v>
                </c:pt>
                <c:pt idx="73">
                  <c:v>1462.8117110000001</c:v>
                </c:pt>
                <c:pt idx="74">
                  <c:v>1178.1236699999999</c:v>
                </c:pt>
                <c:pt idx="75">
                  <c:v>1538.6865</c:v>
                </c:pt>
                <c:pt idx="76">
                  <c:v>1801.20066</c:v>
                </c:pt>
                <c:pt idx="77">
                  <c:v>1433.6687199999999</c:v>
                </c:pt>
                <c:pt idx="78">
                  <c:v>1398.5353700000001</c:v>
                </c:pt>
                <c:pt idx="79">
                  <c:v>1814.3211699999999</c:v>
                </c:pt>
                <c:pt idx="80">
                  <c:v>1230.12643</c:v>
                </c:pt>
                <c:pt idx="81">
                  <c:v>1632.76441</c:v>
                </c:pt>
                <c:pt idx="82">
                  <c:v>1592.94182</c:v>
                </c:pt>
                <c:pt idx="83">
                  <c:v>985.95826999999997</c:v>
                </c:pt>
                <c:pt idx="84">
                  <c:v>671.71852999999999</c:v>
                </c:pt>
                <c:pt idx="85">
                  <c:v>1305.39805</c:v>
                </c:pt>
                <c:pt idx="86">
                  <c:v>798.06281999999999</c:v>
                </c:pt>
                <c:pt idx="87">
                  <c:v>913.73200999999995</c:v>
                </c:pt>
                <c:pt idx="88">
                  <c:v>910.49766999999997</c:v>
                </c:pt>
                <c:pt idx="89">
                  <c:v>951.21405000000004</c:v>
                </c:pt>
                <c:pt idx="90">
                  <c:v>1500.48182</c:v>
                </c:pt>
                <c:pt idx="91">
                  <c:v>2031.1451199999999</c:v>
                </c:pt>
                <c:pt idx="92">
                  <c:v>1575.5474200000001</c:v>
                </c:pt>
                <c:pt idx="93">
                  <c:v>1448.0416499999999</c:v>
                </c:pt>
                <c:pt idx="94">
                  <c:v>2175.8303000000001</c:v>
                </c:pt>
                <c:pt idx="95">
                  <c:v>1722.6547</c:v>
                </c:pt>
              </c:numCache>
            </c:numRef>
          </c:val>
        </c:ser>
        <c:gapWidth val="30"/>
        <c:axId val="133885312"/>
        <c:axId val="133891200"/>
      </c:barChart>
      <c:barChart>
        <c:barDir val="col"/>
        <c:grouping val="clustered"/>
        <c:ser>
          <c:idx val="1"/>
          <c:order val="1"/>
          <c:tx>
            <c:strRef>
              <c:f>notional!$G$3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notional!$A$4:$A$99</c:f>
              <c:numCache>
                <c:formatCode>mmm\-yy</c:formatCode>
                <c:ptCount val="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</c:numCache>
            </c:numRef>
          </c:cat>
          <c:val>
            <c:numRef>
              <c:f>notional!$G$4:$G$99</c:f>
              <c:numCache>
                <c:formatCode>#,##0.00</c:formatCode>
                <c:ptCount val="96"/>
                <c:pt idx="0">
                  <c:v>11920.77</c:v>
                </c:pt>
                <c:pt idx="1">
                  <c:v>10074.299999999999</c:v>
                </c:pt>
                <c:pt idx="2">
                  <c:v>5246.06</c:v>
                </c:pt>
                <c:pt idx="3">
                  <c:v>10631.82</c:v>
                </c:pt>
                <c:pt idx="4">
                  <c:v>9769.7199999999993</c:v>
                </c:pt>
                <c:pt idx="5">
                  <c:v>8038.18</c:v>
                </c:pt>
                <c:pt idx="6">
                  <c:v>5736.53</c:v>
                </c:pt>
                <c:pt idx="7">
                  <c:v>7142.97</c:v>
                </c:pt>
                <c:pt idx="8">
                  <c:v>5239.1000000000004</c:v>
                </c:pt>
                <c:pt idx="9">
                  <c:v>6909.0879999999997</c:v>
                </c:pt>
                <c:pt idx="10">
                  <c:v>7490.9</c:v>
                </c:pt>
                <c:pt idx="11">
                  <c:v>7965.9</c:v>
                </c:pt>
                <c:pt idx="12">
                  <c:v>6257.4</c:v>
                </c:pt>
                <c:pt idx="13">
                  <c:v>11180.43</c:v>
                </c:pt>
                <c:pt idx="14">
                  <c:v>12725.741</c:v>
                </c:pt>
                <c:pt idx="15">
                  <c:v>14704.165999999999</c:v>
                </c:pt>
                <c:pt idx="16">
                  <c:v>13097.268</c:v>
                </c:pt>
                <c:pt idx="17">
                  <c:v>10347.017</c:v>
                </c:pt>
                <c:pt idx="18">
                  <c:v>8310.4410000000007</c:v>
                </c:pt>
                <c:pt idx="19">
                  <c:v>9182.0419999999995</c:v>
                </c:pt>
                <c:pt idx="20">
                  <c:v>9283.3970000000008</c:v>
                </c:pt>
                <c:pt idx="21">
                  <c:v>13041.393</c:v>
                </c:pt>
                <c:pt idx="22">
                  <c:v>8411.7209999999995</c:v>
                </c:pt>
                <c:pt idx="23" formatCode="#,##0.0">
                  <c:v>6667.9960000000001</c:v>
                </c:pt>
                <c:pt idx="24" formatCode="#,##0.0">
                  <c:v>5852.2950000000001</c:v>
                </c:pt>
                <c:pt idx="25">
                  <c:v>4806.3069999999998</c:v>
                </c:pt>
                <c:pt idx="26">
                  <c:v>12350.959000000001</c:v>
                </c:pt>
                <c:pt idx="27">
                  <c:v>5867.0865910000002</c:v>
                </c:pt>
                <c:pt idx="28">
                  <c:v>4123.7253010000004</c:v>
                </c:pt>
                <c:pt idx="29">
                  <c:v>3651.2420000000002</c:v>
                </c:pt>
                <c:pt idx="30">
                  <c:v>3740.69</c:v>
                </c:pt>
                <c:pt idx="31">
                  <c:v>3674.694</c:v>
                </c:pt>
                <c:pt idx="32">
                  <c:v>3000.39</c:v>
                </c:pt>
                <c:pt idx="33">
                  <c:v>6002.4429406700001</c:v>
                </c:pt>
                <c:pt idx="34">
                  <c:v>3234.4</c:v>
                </c:pt>
                <c:pt idx="35">
                  <c:v>4459.21</c:v>
                </c:pt>
                <c:pt idx="36">
                  <c:v>6301.1419152500002</c:v>
                </c:pt>
                <c:pt idx="37">
                  <c:v>3854.8922803099999</c:v>
                </c:pt>
                <c:pt idx="38">
                  <c:v>3149.49643109</c:v>
                </c:pt>
                <c:pt idx="39">
                  <c:v>2364.52978226</c:v>
                </c:pt>
                <c:pt idx="40">
                  <c:v>7724.0198434399999</c:v>
                </c:pt>
                <c:pt idx="41">
                  <c:v>11175.37031728</c:v>
                </c:pt>
                <c:pt idx="42">
                  <c:v>9425.2903905700005</c:v>
                </c:pt>
                <c:pt idx="43">
                  <c:v>14718.92848997</c:v>
                </c:pt>
                <c:pt idx="44">
                  <c:v>9027.2820063399995</c:v>
                </c:pt>
                <c:pt idx="45">
                  <c:v>5548.4416293000004</c:v>
                </c:pt>
                <c:pt idx="46">
                  <c:v>5531.38</c:v>
                </c:pt>
                <c:pt idx="47">
                  <c:v>4236.8021516600002</c:v>
                </c:pt>
                <c:pt idx="48">
                  <c:v>4745.5696172099997</c:v>
                </c:pt>
                <c:pt idx="49">
                  <c:v>14024.07808872</c:v>
                </c:pt>
                <c:pt idx="50">
                  <c:v>15855.16547541</c:v>
                </c:pt>
                <c:pt idx="51">
                  <c:v>10483.04915171</c:v>
                </c:pt>
                <c:pt idx="52">
                  <c:v>8107.4387313899997</c:v>
                </c:pt>
                <c:pt idx="53">
                  <c:v>8646.5982519699992</c:v>
                </c:pt>
                <c:pt idx="54">
                  <c:v>7527.5751778800004</c:v>
                </c:pt>
                <c:pt idx="55">
                  <c:v>4547.6740975700004</c:v>
                </c:pt>
                <c:pt idx="56">
                  <c:v>3753.4089689399998</c:v>
                </c:pt>
                <c:pt idx="57">
                  <c:v>4272.7394062000003</c:v>
                </c:pt>
                <c:pt idx="58">
                  <c:v>6947.1469999999999</c:v>
                </c:pt>
                <c:pt idx="59">
                  <c:v>3781.5923550900002</c:v>
                </c:pt>
                <c:pt idx="60">
                  <c:v>3158.1264724399998</c:v>
                </c:pt>
                <c:pt idx="61">
                  <c:v>3940.0804247900001</c:v>
                </c:pt>
                <c:pt idx="62">
                  <c:v>3183.1229786499998</c:v>
                </c:pt>
                <c:pt idx="63">
                  <c:v>2651.16178175</c:v>
                </c:pt>
                <c:pt idx="64">
                  <c:v>3460.8168323800001</c:v>
                </c:pt>
                <c:pt idx="65">
                  <c:v>3349.0949999999998</c:v>
                </c:pt>
                <c:pt idx="66">
                  <c:v>2607.8436184299999</c:v>
                </c:pt>
                <c:pt idx="67">
                  <c:v>6485.6078426599997</c:v>
                </c:pt>
                <c:pt idx="68">
                  <c:v>4797.5389752399997</c:v>
                </c:pt>
                <c:pt idx="69">
                  <c:v>5624.44213193</c:v>
                </c:pt>
                <c:pt idx="70">
                  <c:v>3184.1132990599999</c:v>
                </c:pt>
                <c:pt idx="71">
                  <c:v>3459.6215058500002</c:v>
                </c:pt>
                <c:pt idx="72">
                  <c:v>4445.1837745399998</c:v>
                </c:pt>
                <c:pt idx="73">
                  <c:v>5437.3443638899998</c:v>
                </c:pt>
                <c:pt idx="74">
                  <c:v>5125.9805425799996</c:v>
                </c:pt>
                <c:pt idx="75">
                  <c:v>7007.4046382099996</c:v>
                </c:pt>
                <c:pt idx="76">
                  <c:v>9470.5318631299997</c:v>
                </c:pt>
                <c:pt idx="77">
                  <c:v>5550.4977008599999</c:v>
                </c:pt>
                <c:pt idx="78">
                  <c:v>5285.10421563</c:v>
                </c:pt>
                <c:pt idx="79">
                  <c:v>4000.41191488</c:v>
                </c:pt>
                <c:pt idx="80">
                  <c:v>3623.9546236000001</c:v>
                </c:pt>
                <c:pt idx="81">
                  <c:v>3511.0062095200001</c:v>
                </c:pt>
                <c:pt idx="82">
                  <c:v>3027.9077046000002</c:v>
                </c:pt>
                <c:pt idx="83">
                  <c:v>2960.4786180000001</c:v>
                </c:pt>
                <c:pt idx="84">
                  <c:v>2770.31440118</c:v>
                </c:pt>
                <c:pt idx="85">
                  <c:v>4621.9291221699996</c:v>
                </c:pt>
                <c:pt idx="86">
                  <c:v>2765.1995511999999</c:v>
                </c:pt>
                <c:pt idx="87">
                  <c:v>3871.0359753799999</c:v>
                </c:pt>
                <c:pt idx="88">
                  <c:v>3492.2726076200001</c:v>
                </c:pt>
                <c:pt idx="89">
                  <c:v>3924.1446109499998</c:v>
                </c:pt>
                <c:pt idx="90">
                  <c:v>5517.2192372400004</c:v>
                </c:pt>
                <c:pt idx="91">
                  <c:v>8447.8810578800003</c:v>
                </c:pt>
                <c:pt idx="92">
                  <c:v>6010.6462031700003</c:v>
                </c:pt>
                <c:pt idx="93">
                  <c:v>6618.27556181</c:v>
                </c:pt>
                <c:pt idx="94">
                  <c:v>11806.09136688</c:v>
                </c:pt>
                <c:pt idx="95">
                  <c:v>5485.2102700200003</c:v>
                </c:pt>
              </c:numCache>
            </c:numRef>
          </c:val>
        </c:ser>
        <c:gapWidth val="170"/>
        <c:axId val="133893120"/>
        <c:axId val="133911296"/>
      </c:barChart>
      <c:catAx>
        <c:axId val="133885312"/>
        <c:scaling>
          <c:orientation val="minMax"/>
        </c:scaling>
        <c:axPos val="b"/>
        <c:numFmt formatCode="mmm\-yy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891200"/>
        <c:crosses val="autoZero"/>
        <c:lblAlgn val="ctr"/>
        <c:lblOffset val="100"/>
        <c:tickLblSkip val="4"/>
        <c:tickMarkSkip val="1"/>
      </c:catAx>
      <c:valAx>
        <c:axId val="133891200"/>
        <c:scaling>
          <c:orientation val="minMax"/>
          <c:max val="10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altLang="en-US"/>
                  <a:t>FKLI (RMm)</a:t>
                </a:r>
              </a:p>
            </c:rich>
          </c:tx>
          <c:layout>
            <c:manualLayout>
              <c:xMode val="edge"/>
              <c:yMode val="edge"/>
              <c:x val="7.1839181257831132E-3"/>
              <c:y val="0.2967491455044203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885312"/>
        <c:crosses val="autoZero"/>
        <c:crossBetween val="between"/>
        <c:majorUnit val="1000"/>
        <c:minorUnit val="500"/>
      </c:valAx>
      <c:catAx>
        <c:axId val="133893120"/>
        <c:scaling>
          <c:orientation val="minMax"/>
        </c:scaling>
        <c:delete val="1"/>
        <c:axPos val="b"/>
        <c:numFmt formatCode="mmm\-yy" sourceLinked="1"/>
        <c:tickLblPos val="nextTo"/>
        <c:crossAx val="133911296"/>
        <c:crosses val="autoZero"/>
        <c:lblAlgn val="ctr"/>
        <c:lblOffset val="100"/>
      </c:catAx>
      <c:valAx>
        <c:axId val="133911296"/>
        <c:scaling>
          <c:orientation val="minMax"/>
          <c:max val="18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altLang="en-US"/>
                  <a:t>KLSE CI (RMm)</a:t>
                </a:r>
              </a:p>
            </c:rich>
          </c:tx>
          <c:layout>
            <c:manualLayout>
              <c:xMode val="edge"/>
              <c:yMode val="edge"/>
              <c:x val="0.96839216335556322"/>
              <c:y val="0.2886190319289568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3893120"/>
        <c:crosses val="max"/>
        <c:crossBetween val="between"/>
        <c:majorUnit val="2000"/>
        <c:min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31052626409592"/>
          <c:y val="9.7561362905562929E-2"/>
          <c:w val="0.25718426890303536"/>
          <c:h val="5.284573824051323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5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 horizontalDpi="-4" verticalDpi="15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FKLI vs. KLSE CI</a:t>
            </a:r>
          </a:p>
        </c:rich>
      </c:tx>
      <c:layout>
        <c:manualLayout>
          <c:xMode val="edge"/>
          <c:yMode val="edge"/>
          <c:x val="0.42402345447569084"/>
          <c:y val="2.23214285714285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806130301229483E-2"/>
          <c:y val="7.1428571428571425E-2"/>
          <c:w val="0.90593406997195347"/>
          <c:h val="0.6741071428571429"/>
        </c:manualLayout>
      </c:layout>
      <c:areaChart>
        <c:grouping val="stacked"/>
        <c:ser>
          <c:idx val="3"/>
          <c:order val="1"/>
          <c:tx>
            <c:strRef>
              <c:f>[1]FKLI!$C$1</c:f>
              <c:strCache>
                <c:ptCount val="1"/>
                <c:pt idx="0">
                  <c:v>FKLI</c:v>
                </c:pt>
              </c:strCache>
            </c:strRef>
          </c:tx>
          <c:spPr>
            <a:solidFill>
              <a:srgbClr val="E0FFE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[1]FKLI!$C$1747:$C$1991</c:f>
              <c:numCache>
                <c:formatCode>General</c:formatCode>
                <c:ptCount val="245"/>
                <c:pt idx="0">
                  <c:v>677</c:v>
                </c:pt>
                <c:pt idx="1">
                  <c:v>677.4</c:v>
                </c:pt>
                <c:pt idx="2">
                  <c:v>675.4</c:v>
                </c:pt>
                <c:pt idx="3">
                  <c:v>681.3</c:v>
                </c:pt>
                <c:pt idx="4">
                  <c:v>679.1</c:v>
                </c:pt>
                <c:pt idx="5">
                  <c:v>673</c:v>
                </c:pt>
                <c:pt idx="6">
                  <c:v>667</c:v>
                </c:pt>
                <c:pt idx="7">
                  <c:v>659</c:v>
                </c:pt>
                <c:pt idx="8">
                  <c:v>673.8</c:v>
                </c:pt>
                <c:pt idx="9">
                  <c:v>661.5</c:v>
                </c:pt>
                <c:pt idx="10">
                  <c:v>660.5</c:v>
                </c:pt>
                <c:pt idx="11">
                  <c:v>666.5</c:v>
                </c:pt>
                <c:pt idx="12">
                  <c:v>663.9</c:v>
                </c:pt>
                <c:pt idx="13">
                  <c:v>648.9</c:v>
                </c:pt>
                <c:pt idx="14">
                  <c:v>647</c:v>
                </c:pt>
                <c:pt idx="15">
                  <c:v>651</c:v>
                </c:pt>
                <c:pt idx="16">
                  <c:v>647.5</c:v>
                </c:pt>
                <c:pt idx="17">
                  <c:v>650.70000000000005</c:v>
                </c:pt>
                <c:pt idx="18">
                  <c:v>657.2</c:v>
                </c:pt>
                <c:pt idx="19">
                  <c:v>654</c:v>
                </c:pt>
                <c:pt idx="20">
                  <c:v>654.5</c:v>
                </c:pt>
                <c:pt idx="21">
                  <c:v>647.6</c:v>
                </c:pt>
                <c:pt idx="22">
                  <c:v>646.1</c:v>
                </c:pt>
                <c:pt idx="23">
                  <c:v>651.55999999999995</c:v>
                </c:pt>
                <c:pt idx="24">
                  <c:v>647.5</c:v>
                </c:pt>
                <c:pt idx="25">
                  <c:v>645.20000000000005</c:v>
                </c:pt>
                <c:pt idx="26">
                  <c:v>648.1</c:v>
                </c:pt>
                <c:pt idx="27">
                  <c:v>647.79999999999995</c:v>
                </c:pt>
                <c:pt idx="28">
                  <c:v>647</c:v>
                </c:pt>
                <c:pt idx="29">
                  <c:v>634.20000000000005</c:v>
                </c:pt>
                <c:pt idx="30">
                  <c:v>631.9</c:v>
                </c:pt>
                <c:pt idx="31">
                  <c:v>626.5</c:v>
                </c:pt>
                <c:pt idx="32">
                  <c:v>613</c:v>
                </c:pt>
                <c:pt idx="33">
                  <c:v>613</c:v>
                </c:pt>
                <c:pt idx="34">
                  <c:v>616</c:v>
                </c:pt>
                <c:pt idx="35">
                  <c:v>613.9</c:v>
                </c:pt>
                <c:pt idx="36">
                  <c:v>617.20000000000005</c:v>
                </c:pt>
                <c:pt idx="37">
                  <c:v>602.5</c:v>
                </c:pt>
                <c:pt idx="38">
                  <c:v>615.9</c:v>
                </c:pt>
                <c:pt idx="39">
                  <c:v>614.29999999999995</c:v>
                </c:pt>
                <c:pt idx="40">
                  <c:v>623.5</c:v>
                </c:pt>
                <c:pt idx="41">
                  <c:v>623.1</c:v>
                </c:pt>
                <c:pt idx="42">
                  <c:v>622</c:v>
                </c:pt>
                <c:pt idx="43">
                  <c:v>620.1</c:v>
                </c:pt>
                <c:pt idx="44">
                  <c:v>623.29999999999995</c:v>
                </c:pt>
                <c:pt idx="45">
                  <c:v>624</c:v>
                </c:pt>
                <c:pt idx="46">
                  <c:v>629.4</c:v>
                </c:pt>
                <c:pt idx="47">
                  <c:v>631.79999999999995</c:v>
                </c:pt>
                <c:pt idx="48">
                  <c:v>617.79999999999995</c:v>
                </c:pt>
                <c:pt idx="49">
                  <c:v>623.6</c:v>
                </c:pt>
                <c:pt idx="50">
                  <c:v>627</c:v>
                </c:pt>
                <c:pt idx="51">
                  <c:v>631.4</c:v>
                </c:pt>
                <c:pt idx="52">
                  <c:v>648</c:v>
                </c:pt>
                <c:pt idx="53">
                  <c:v>642.1</c:v>
                </c:pt>
                <c:pt idx="54">
                  <c:v>629.79999999999995</c:v>
                </c:pt>
                <c:pt idx="55">
                  <c:v>631.9</c:v>
                </c:pt>
                <c:pt idx="56">
                  <c:v>630</c:v>
                </c:pt>
                <c:pt idx="57">
                  <c:v>622.20000000000005</c:v>
                </c:pt>
                <c:pt idx="58">
                  <c:v>632.1</c:v>
                </c:pt>
                <c:pt idx="59">
                  <c:v>632</c:v>
                </c:pt>
                <c:pt idx="60">
                  <c:v>631</c:v>
                </c:pt>
                <c:pt idx="61">
                  <c:v>636.5</c:v>
                </c:pt>
                <c:pt idx="62">
                  <c:v>633.9</c:v>
                </c:pt>
                <c:pt idx="63">
                  <c:v>628.6</c:v>
                </c:pt>
                <c:pt idx="64">
                  <c:v>628.6</c:v>
                </c:pt>
                <c:pt idx="65">
                  <c:v>621.79999999999995</c:v>
                </c:pt>
                <c:pt idx="66">
                  <c:v>625.4</c:v>
                </c:pt>
                <c:pt idx="67">
                  <c:v>626</c:v>
                </c:pt>
                <c:pt idx="68">
                  <c:v>630.4</c:v>
                </c:pt>
                <c:pt idx="69">
                  <c:v>630.79999999999995</c:v>
                </c:pt>
                <c:pt idx="70">
                  <c:v>625</c:v>
                </c:pt>
                <c:pt idx="71">
                  <c:v>629.20000000000005</c:v>
                </c:pt>
                <c:pt idx="72">
                  <c:v>632</c:v>
                </c:pt>
                <c:pt idx="73">
                  <c:v>631</c:v>
                </c:pt>
                <c:pt idx="74">
                  <c:v>627.6</c:v>
                </c:pt>
                <c:pt idx="75">
                  <c:v>630.5</c:v>
                </c:pt>
                <c:pt idx="76">
                  <c:v>635</c:v>
                </c:pt>
                <c:pt idx="77">
                  <c:v>636</c:v>
                </c:pt>
                <c:pt idx="78">
                  <c:v>639.1</c:v>
                </c:pt>
                <c:pt idx="79">
                  <c:v>639.9</c:v>
                </c:pt>
                <c:pt idx="80">
                  <c:v>642.79999999999995</c:v>
                </c:pt>
                <c:pt idx="81">
                  <c:v>638.1</c:v>
                </c:pt>
                <c:pt idx="82">
                  <c:v>644</c:v>
                </c:pt>
                <c:pt idx="83">
                  <c:v>650.88</c:v>
                </c:pt>
                <c:pt idx="84">
                  <c:v>660.3</c:v>
                </c:pt>
                <c:pt idx="85">
                  <c:v>655.4</c:v>
                </c:pt>
                <c:pt idx="86">
                  <c:v>666</c:v>
                </c:pt>
                <c:pt idx="87">
                  <c:v>674</c:v>
                </c:pt>
                <c:pt idx="88">
                  <c:v>673.4</c:v>
                </c:pt>
                <c:pt idx="89">
                  <c:v>678</c:v>
                </c:pt>
                <c:pt idx="90">
                  <c:v>679</c:v>
                </c:pt>
                <c:pt idx="91">
                  <c:v>678</c:v>
                </c:pt>
                <c:pt idx="92">
                  <c:v>682.43</c:v>
                </c:pt>
                <c:pt idx="93">
                  <c:v>690.8</c:v>
                </c:pt>
                <c:pt idx="94">
                  <c:v>692.8</c:v>
                </c:pt>
                <c:pt idx="95">
                  <c:v>690</c:v>
                </c:pt>
                <c:pt idx="96">
                  <c:v>693</c:v>
                </c:pt>
                <c:pt idx="97">
                  <c:v>698.8</c:v>
                </c:pt>
                <c:pt idx="98">
                  <c:v>698.5</c:v>
                </c:pt>
                <c:pt idx="99">
                  <c:v>689</c:v>
                </c:pt>
                <c:pt idx="100">
                  <c:v>692.9</c:v>
                </c:pt>
                <c:pt idx="101">
                  <c:v>691.5</c:v>
                </c:pt>
                <c:pt idx="102">
                  <c:v>690.8</c:v>
                </c:pt>
                <c:pt idx="103">
                  <c:v>690</c:v>
                </c:pt>
                <c:pt idx="104">
                  <c:v>687.1</c:v>
                </c:pt>
                <c:pt idx="105">
                  <c:v>679</c:v>
                </c:pt>
                <c:pt idx="106">
                  <c:v>683.1</c:v>
                </c:pt>
                <c:pt idx="107">
                  <c:v>686.2</c:v>
                </c:pt>
                <c:pt idx="108">
                  <c:v>693</c:v>
                </c:pt>
                <c:pt idx="109">
                  <c:v>692.9</c:v>
                </c:pt>
                <c:pt idx="110">
                  <c:v>699</c:v>
                </c:pt>
                <c:pt idx="111">
                  <c:v>711.3</c:v>
                </c:pt>
                <c:pt idx="112">
                  <c:v>726.5</c:v>
                </c:pt>
                <c:pt idx="113">
                  <c:v>731.8</c:v>
                </c:pt>
                <c:pt idx="114">
                  <c:v>736.9</c:v>
                </c:pt>
                <c:pt idx="115">
                  <c:v>734.8</c:v>
                </c:pt>
                <c:pt idx="116">
                  <c:v>731.6</c:v>
                </c:pt>
                <c:pt idx="117">
                  <c:v>729.1</c:v>
                </c:pt>
                <c:pt idx="118">
                  <c:v>734.5</c:v>
                </c:pt>
                <c:pt idx="119">
                  <c:v>737.1</c:v>
                </c:pt>
                <c:pt idx="120">
                  <c:v>733.3</c:v>
                </c:pt>
                <c:pt idx="121">
                  <c:v>730.1</c:v>
                </c:pt>
                <c:pt idx="122">
                  <c:v>716.3</c:v>
                </c:pt>
                <c:pt idx="123">
                  <c:v>722.5</c:v>
                </c:pt>
                <c:pt idx="124">
                  <c:v>716.6</c:v>
                </c:pt>
                <c:pt idx="125">
                  <c:v>712</c:v>
                </c:pt>
                <c:pt idx="126">
                  <c:v>708.7</c:v>
                </c:pt>
                <c:pt idx="127">
                  <c:v>713.2</c:v>
                </c:pt>
                <c:pt idx="128">
                  <c:v>708.7</c:v>
                </c:pt>
                <c:pt idx="129">
                  <c:v>710.9</c:v>
                </c:pt>
                <c:pt idx="130">
                  <c:v>713.1</c:v>
                </c:pt>
                <c:pt idx="131">
                  <c:v>722.5</c:v>
                </c:pt>
                <c:pt idx="132">
                  <c:v>719.4</c:v>
                </c:pt>
                <c:pt idx="133">
                  <c:v>726.6</c:v>
                </c:pt>
                <c:pt idx="134">
                  <c:v>723.3</c:v>
                </c:pt>
                <c:pt idx="135">
                  <c:v>719.4</c:v>
                </c:pt>
                <c:pt idx="136">
                  <c:v>713</c:v>
                </c:pt>
                <c:pt idx="137">
                  <c:v>710.6</c:v>
                </c:pt>
                <c:pt idx="138">
                  <c:v>713.9</c:v>
                </c:pt>
                <c:pt idx="139">
                  <c:v>719.6</c:v>
                </c:pt>
                <c:pt idx="140">
                  <c:v>718.6</c:v>
                </c:pt>
                <c:pt idx="141">
                  <c:v>723</c:v>
                </c:pt>
                <c:pt idx="142">
                  <c:v>727.8</c:v>
                </c:pt>
                <c:pt idx="143">
                  <c:v>726.3</c:v>
                </c:pt>
                <c:pt idx="144">
                  <c:v>730.7</c:v>
                </c:pt>
                <c:pt idx="145">
                  <c:v>735.1</c:v>
                </c:pt>
                <c:pt idx="146">
                  <c:v>731</c:v>
                </c:pt>
                <c:pt idx="147">
                  <c:v>742.7</c:v>
                </c:pt>
                <c:pt idx="148">
                  <c:v>743.7</c:v>
                </c:pt>
                <c:pt idx="149">
                  <c:v>741</c:v>
                </c:pt>
                <c:pt idx="150">
                  <c:v>741.5</c:v>
                </c:pt>
                <c:pt idx="151">
                  <c:v>743.7</c:v>
                </c:pt>
                <c:pt idx="152">
                  <c:v>744.1</c:v>
                </c:pt>
                <c:pt idx="153">
                  <c:v>742.6</c:v>
                </c:pt>
                <c:pt idx="154">
                  <c:v>743.6</c:v>
                </c:pt>
                <c:pt idx="155">
                  <c:v>750</c:v>
                </c:pt>
                <c:pt idx="156">
                  <c:v>755</c:v>
                </c:pt>
                <c:pt idx="157">
                  <c:v>754.9</c:v>
                </c:pt>
                <c:pt idx="158">
                  <c:v>750.4</c:v>
                </c:pt>
                <c:pt idx="159">
                  <c:v>739.5</c:v>
                </c:pt>
                <c:pt idx="160">
                  <c:v>738.6</c:v>
                </c:pt>
                <c:pt idx="161">
                  <c:v>745.5</c:v>
                </c:pt>
                <c:pt idx="162">
                  <c:v>739</c:v>
                </c:pt>
                <c:pt idx="163">
                  <c:v>741.1</c:v>
                </c:pt>
                <c:pt idx="164">
                  <c:v>747.5</c:v>
                </c:pt>
                <c:pt idx="165">
                  <c:v>753</c:v>
                </c:pt>
                <c:pt idx="166">
                  <c:v>749</c:v>
                </c:pt>
                <c:pt idx="167">
                  <c:v>751</c:v>
                </c:pt>
                <c:pt idx="168">
                  <c:v>741</c:v>
                </c:pt>
                <c:pt idx="169">
                  <c:v>742</c:v>
                </c:pt>
                <c:pt idx="170">
                  <c:v>753</c:v>
                </c:pt>
                <c:pt idx="171">
                  <c:v>747</c:v>
                </c:pt>
                <c:pt idx="172">
                  <c:v>744.5</c:v>
                </c:pt>
                <c:pt idx="173">
                  <c:v>738.5</c:v>
                </c:pt>
                <c:pt idx="174">
                  <c:v>734</c:v>
                </c:pt>
                <c:pt idx="175">
                  <c:v>735</c:v>
                </c:pt>
                <c:pt idx="176">
                  <c:v>736.5</c:v>
                </c:pt>
                <c:pt idx="177">
                  <c:v>740.5</c:v>
                </c:pt>
                <c:pt idx="178">
                  <c:v>746.5</c:v>
                </c:pt>
                <c:pt idx="179">
                  <c:v>751.5</c:v>
                </c:pt>
                <c:pt idx="180">
                  <c:v>763.5</c:v>
                </c:pt>
                <c:pt idx="181">
                  <c:v>779.5</c:v>
                </c:pt>
                <c:pt idx="182">
                  <c:v>795</c:v>
                </c:pt>
                <c:pt idx="183">
                  <c:v>797.5</c:v>
                </c:pt>
                <c:pt idx="184">
                  <c:v>790.5</c:v>
                </c:pt>
                <c:pt idx="185">
                  <c:v>790.5</c:v>
                </c:pt>
                <c:pt idx="186">
                  <c:v>791</c:v>
                </c:pt>
                <c:pt idx="187">
                  <c:v>786.5</c:v>
                </c:pt>
                <c:pt idx="188">
                  <c:v>789</c:v>
                </c:pt>
                <c:pt idx="189">
                  <c:v>799.5</c:v>
                </c:pt>
                <c:pt idx="190">
                  <c:v>807.5</c:v>
                </c:pt>
                <c:pt idx="191">
                  <c:v>799</c:v>
                </c:pt>
                <c:pt idx="192">
                  <c:v>808</c:v>
                </c:pt>
                <c:pt idx="193">
                  <c:v>812.5</c:v>
                </c:pt>
                <c:pt idx="194">
                  <c:v>816.5</c:v>
                </c:pt>
                <c:pt idx="195">
                  <c:v>815.5</c:v>
                </c:pt>
                <c:pt idx="196">
                  <c:v>812</c:v>
                </c:pt>
                <c:pt idx="197">
                  <c:v>820.5</c:v>
                </c:pt>
                <c:pt idx="198">
                  <c:v>826</c:v>
                </c:pt>
                <c:pt idx="199">
                  <c:v>824.5</c:v>
                </c:pt>
                <c:pt idx="200">
                  <c:v>812</c:v>
                </c:pt>
                <c:pt idx="201">
                  <c:v>818.5</c:v>
                </c:pt>
                <c:pt idx="202">
                  <c:v>811</c:v>
                </c:pt>
                <c:pt idx="203">
                  <c:v>799</c:v>
                </c:pt>
                <c:pt idx="204">
                  <c:v>801.5</c:v>
                </c:pt>
                <c:pt idx="205">
                  <c:v>799.5</c:v>
                </c:pt>
                <c:pt idx="206">
                  <c:v>795</c:v>
                </c:pt>
                <c:pt idx="207">
                  <c:v>777</c:v>
                </c:pt>
                <c:pt idx="208">
                  <c:v>781</c:v>
                </c:pt>
                <c:pt idx="209">
                  <c:v>767</c:v>
                </c:pt>
                <c:pt idx="210">
                  <c:v>772</c:v>
                </c:pt>
                <c:pt idx="211">
                  <c:v>775.5</c:v>
                </c:pt>
                <c:pt idx="212">
                  <c:v>779.5</c:v>
                </c:pt>
                <c:pt idx="213">
                  <c:v>777</c:v>
                </c:pt>
                <c:pt idx="214">
                  <c:v>803</c:v>
                </c:pt>
                <c:pt idx="215">
                  <c:v>806</c:v>
                </c:pt>
                <c:pt idx="216">
                  <c:v>802</c:v>
                </c:pt>
                <c:pt idx="217">
                  <c:v>791.5</c:v>
                </c:pt>
                <c:pt idx="218">
                  <c:v>789.5</c:v>
                </c:pt>
                <c:pt idx="219">
                  <c:v>784</c:v>
                </c:pt>
                <c:pt idx="220">
                  <c:v>794.5</c:v>
                </c:pt>
                <c:pt idx="221">
                  <c:v>796.5</c:v>
                </c:pt>
                <c:pt idx="222">
                  <c:v>797</c:v>
                </c:pt>
                <c:pt idx="223">
                  <c:v>795</c:v>
                </c:pt>
                <c:pt idx="224">
                  <c:v>796.5</c:v>
                </c:pt>
                <c:pt idx="225">
                  <c:v>786</c:v>
                </c:pt>
                <c:pt idx="226">
                  <c:v>774</c:v>
                </c:pt>
                <c:pt idx="227">
                  <c:v>762.5</c:v>
                </c:pt>
                <c:pt idx="228">
                  <c:v>771.5</c:v>
                </c:pt>
                <c:pt idx="229">
                  <c:v>773</c:v>
                </c:pt>
                <c:pt idx="230">
                  <c:v>780</c:v>
                </c:pt>
                <c:pt idx="231">
                  <c:v>784</c:v>
                </c:pt>
                <c:pt idx="232">
                  <c:v>785</c:v>
                </c:pt>
                <c:pt idx="233">
                  <c:v>792.5</c:v>
                </c:pt>
                <c:pt idx="234">
                  <c:v>795</c:v>
                </c:pt>
                <c:pt idx="235">
                  <c:v>792</c:v>
                </c:pt>
                <c:pt idx="236">
                  <c:v>795</c:v>
                </c:pt>
                <c:pt idx="237">
                  <c:v>801</c:v>
                </c:pt>
                <c:pt idx="238">
                  <c:v>794.5</c:v>
                </c:pt>
                <c:pt idx="239">
                  <c:v>812</c:v>
                </c:pt>
                <c:pt idx="240">
                  <c:v>820</c:v>
                </c:pt>
                <c:pt idx="241">
                  <c:v>825.42</c:v>
                </c:pt>
                <c:pt idx="242">
                  <c:v>836</c:v>
                </c:pt>
                <c:pt idx="243">
                  <c:v>818.42</c:v>
                </c:pt>
                <c:pt idx="244">
                  <c:v>823.5</c:v>
                </c:pt>
              </c:numCache>
            </c:numRef>
          </c:val>
        </c:ser>
        <c:axId val="133953408"/>
        <c:axId val="133954944"/>
      </c:areaChart>
      <c:lineChart>
        <c:grouping val="standard"/>
        <c:ser>
          <c:idx val="2"/>
          <c:order val="0"/>
          <c:tx>
            <c:strRef>
              <c:f>[1]FKLI!$B$1</c:f>
              <c:strCache>
                <c:ptCount val="1"/>
                <c:pt idx="0">
                  <c:v>KLSE CI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[1]FKLI!$B$1747:$B$1991</c:f>
              <c:numCache>
                <c:formatCode>General</c:formatCode>
                <c:ptCount val="245"/>
                <c:pt idx="0">
                  <c:v>670.14</c:v>
                </c:pt>
                <c:pt idx="1">
                  <c:v>670.53</c:v>
                </c:pt>
                <c:pt idx="2">
                  <c:v>666.36</c:v>
                </c:pt>
                <c:pt idx="3">
                  <c:v>675.87</c:v>
                </c:pt>
                <c:pt idx="4">
                  <c:v>672.41</c:v>
                </c:pt>
                <c:pt idx="5">
                  <c:v>670.78</c:v>
                </c:pt>
                <c:pt idx="6">
                  <c:v>668.81</c:v>
                </c:pt>
                <c:pt idx="7">
                  <c:v>664.62</c:v>
                </c:pt>
                <c:pt idx="8">
                  <c:v>671.63</c:v>
                </c:pt>
                <c:pt idx="9">
                  <c:v>665.44</c:v>
                </c:pt>
                <c:pt idx="10">
                  <c:v>664.77</c:v>
                </c:pt>
                <c:pt idx="11">
                  <c:v>668.18</c:v>
                </c:pt>
                <c:pt idx="12">
                  <c:v>664.95</c:v>
                </c:pt>
                <c:pt idx="13">
                  <c:v>661.25</c:v>
                </c:pt>
                <c:pt idx="14">
                  <c:v>658.46</c:v>
                </c:pt>
                <c:pt idx="15">
                  <c:v>659.95</c:v>
                </c:pt>
                <c:pt idx="16">
                  <c:v>656.54</c:v>
                </c:pt>
                <c:pt idx="17">
                  <c:v>656.95</c:v>
                </c:pt>
                <c:pt idx="18">
                  <c:v>659.33</c:v>
                </c:pt>
                <c:pt idx="19">
                  <c:v>657.45</c:v>
                </c:pt>
                <c:pt idx="20">
                  <c:v>660.96</c:v>
                </c:pt>
                <c:pt idx="21">
                  <c:v>655.32000000000005</c:v>
                </c:pt>
                <c:pt idx="22">
                  <c:v>654.49</c:v>
                </c:pt>
                <c:pt idx="23">
                  <c:v>646.6</c:v>
                </c:pt>
                <c:pt idx="24">
                  <c:v>653.13</c:v>
                </c:pt>
                <c:pt idx="25">
                  <c:v>650.71</c:v>
                </c:pt>
                <c:pt idx="26">
                  <c:v>652.44000000000005</c:v>
                </c:pt>
                <c:pt idx="27">
                  <c:v>646.79999999999995</c:v>
                </c:pt>
                <c:pt idx="28">
                  <c:v>649.22</c:v>
                </c:pt>
                <c:pt idx="29">
                  <c:v>643.07000000000005</c:v>
                </c:pt>
                <c:pt idx="30">
                  <c:v>642.42999999999995</c:v>
                </c:pt>
                <c:pt idx="31">
                  <c:v>635.66</c:v>
                </c:pt>
                <c:pt idx="32">
                  <c:v>624.78</c:v>
                </c:pt>
                <c:pt idx="33">
                  <c:v>619.22</c:v>
                </c:pt>
                <c:pt idx="34">
                  <c:v>629.1</c:v>
                </c:pt>
                <c:pt idx="35">
                  <c:v>627.46</c:v>
                </c:pt>
                <c:pt idx="36">
                  <c:v>628.54999999999995</c:v>
                </c:pt>
                <c:pt idx="37">
                  <c:v>622.61</c:v>
                </c:pt>
                <c:pt idx="38">
                  <c:v>627.08000000000004</c:v>
                </c:pt>
                <c:pt idx="39">
                  <c:v>627.94000000000005</c:v>
                </c:pt>
                <c:pt idx="40">
                  <c:v>632.03</c:v>
                </c:pt>
                <c:pt idx="41">
                  <c:v>632.16999999999996</c:v>
                </c:pt>
                <c:pt idx="42">
                  <c:v>633.13</c:v>
                </c:pt>
                <c:pt idx="43">
                  <c:v>629.66</c:v>
                </c:pt>
                <c:pt idx="44">
                  <c:v>632.99</c:v>
                </c:pt>
                <c:pt idx="45">
                  <c:v>632.84</c:v>
                </c:pt>
                <c:pt idx="46">
                  <c:v>634.96</c:v>
                </c:pt>
                <c:pt idx="47">
                  <c:v>635.72</c:v>
                </c:pt>
                <c:pt idx="48">
                  <c:v>627.11</c:v>
                </c:pt>
                <c:pt idx="49">
                  <c:v>628.97</c:v>
                </c:pt>
                <c:pt idx="50">
                  <c:v>628.54</c:v>
                </c:pt>
                <c:pt idx="51">
                  <c:v>631.02</c:v>
                </c:pt>
                <c:pt idx="52">
                  <c:v>640.35</c:v>
                </c:pt>
                <c:pt idx="53">
                  <c:v>640.08000000000004</c:v>
                </c:pt>
                <c:pt idx="54">
                  <c:v>634.41</c:v>
                </c:pt>
                <c:pt idx="55">
                  <c:v>629.91999999999996</c:v>
                </c:pt>
                <c:pt idx="56">
                  <c:v>629.69000000000005</c:v>
                </c:pt>
                <c:pt idx="57">
                  <c:v>624.21</c:v>
                </c:pt>
                <c:pt idx="58">
                  <c:v>631.16999999999996</c:v>
                </c:pt>
                <c:pt idx="59">
                  <c:v>633.77</c:v>
                </c:pt>
                <c:pt idx="60">
                  <c:v>631.37</c:v>
                </c:pt>
                <c:pt idx="61">
                  <c:v>635.61</c:v>
                </c:pt>
                <c:pt idx="62">
                  <c:v>634.29999999999995</c:v>
                </c:pt>
                <c:pt idx="63">
                  <c:v>632.99</c:v>
                </c:pt>
                <c:pt idx="64">
                  <c:v>629.62</c:v>
                </c:pt>
                <c:pt idx="65">
                  <c:v>624.66</c:v>
                </c:pt>
                <c:pt idx="66">
                  <c:v>627.73</c:v>
                </c:pt>
                <c:pt idx="67">
                  <c:v>624.17999999999995</c:v>
                </c:pt>
                <c:pt idx="68">
                  <c:v>628.04</c:v>
                </c:pt>
                <c:pt idx="69">
                  <c:v>630.37</c:v>
                </c:pt>
                <c:pt idx="70">
                  <c:v>627.26</c:v>
                </c:pt>
                <c:pt idx="71">
                  <c:v>631.41</c:v>
                </c:pt>
                <c:pt idx="72">
                  <c:v>631.83000000000004</c:v>
                </c:pt>
                <c:pt idx="73">
                  <c:v>632.28</c:v>
                </c:pt>
                <c:pt idx="74">
                  <c:v>630.84</c:v>
                </c:pt>
                <c:pt idx="75">
                  <c:v>630.14</c:v>
                </c:pt>
                <c:pt idx="76">
                  <c:v>633.95000000000005</c:v>
                </c:pt>
                <c:pt idx="77">
                  <c:v>635.78</c:v>
                </c:pt>
                <c:pt idx="78">
                  <c:v>636.26</c:v>
                </c:pt>
                <c:pt idx="79">
                  <c:v>636.67999999999995</c:v>
                </c:pt>
                <c:pt idx="80">
                  <c:v>636.96</c:v>
                </c:pt>
                <c:pt idx="81">
                  <c:v>640.37</c:v>
                </c:pt>
                <c:pt idx="82">
                  <c:v>642.25</c:v>
                </c:pt>
                <c:pt idx="83">
                  <c:v>653.79999999999995</c:v>
                </c:pt>
                <c:pt idx="84">
                  <c:v>655.74</c:v>
                </c:pt>
                <c:pt idx="85">
                  <c:v>652.11</c:v>
                </c:pt>
                <c:pt idx="86">
                  <c:v>664</c:v>
                </c:pt>
                <c:pt idx="87">
                  <c:v>672.05</c:v>
                </c:pt>
                <c:pt idx="88">
                  <c:v>671.46</c:v>
                </c:pt>
                <c:pt idx="89">
                  <c:v>671.84</c:v>
                </c:pt>
                <c:pt idx="90">
                  <c:v>674.57</c:v>
                </c:pt>
                <c:pt idx="91">
                  <c:v>672.84</c:v>
                </c:pt>
                <c:pt idx="92">
                  <c:v>691</c:v>
                </c:pt>
                <c:pt idx="93">
                  <c:v>681.57</c:v>
                </c:pt>
                <c:pt idx="94">
                  <c:v>684.41</c:v>
                </c:pt>
                <c:pt idx="95">
                  <c:v>682.07</c:v>
                </c:pt>
                <c:pt idx="96">
                  <c:v>688.61</c:v>
                </c:pt>
                <c:pt idx="97">
                  <c:v>690.32</c:v>
                </c:pt>
                <c:pt idx="98">
                  <c:v>689.94</c:v>
                </c:pt>
                <c:pt idx="99">
                  <c:v>683.27</c:v>
                </c:pt>
                <c:pt idx="100">
                  <c:v>685.06</c:v>
                </c:pt>
                <c:pt idx="101">
                  <c:v>683.76</c:v>
                </c:pt>
                <c:pt idx="102">
                  <c:v>681.69</c:v>
                </c:pt>
                <c:pt idx="103">
                  <c:v>682.44</c:v>
                </c:pt>
                <c:pt idx="104">
                  <c:v>684.91</c:v>
                </c:pt>
                <c:pt idx="105">
                  <c:v>678.73</c:v>
                </c:pt>
                <c:pt idx="106">
                  <c:v>682.32</c:v>
                </c:pt>
                <c:pt idx="107">
                  <c:v>682.72</c:v>
                </c:pt>
                <c:pt idx="108">
                  <c:v>691.45</c:v>
                </c:pt>
                <c:pt idx="109">
                  <c:v>691.96</c:v>
                </c:pt>
                <c:pt idx="110">
                  <c:v>693.58</c:v>
                </c:pt>
                <c:pt idx="111">
                  <c:v>703.26</c:v>
                </c:pt>
                <c:pt idx="112">
                  <c:v>721.93</c:v>
                </c:pt>
                <c:pt idx="113">
                  <c:v>725.11</c:v>
                </c:pt>
                <c:pt idx="114">
                  <c:v>730.4</c:v>
                </c:pt>
                <c:pt idx="115">
                  <c:v>727</c:v>
                </c:pt>
                <c:pt idx="116">
                  <c:v>725.67</c:v>
                </c:pt>
                <c:pt idx="117">
                  <c:v>723.85</c:v>
                </c:pt>
                <c:pt idx="118">
                  <c:v>723.9</c:v>
                </c:pt>
                <c:pt idx="119">
                  <c:v>727.11</c:v>
                </c:pt>
                <c:pt idx="120">
                  <c:v>729.39</c:v>
                </c:pt>
                <c:pt idx="121">
                  <c:v>724.35</c:v>
                </c:pt>
                <c:pt idx="122">
                  <c:v>715.65</c:v>
                </c:pt>
                <c:pt idx="123">
                  <c:v>716.52</c:v>
                </c:pt>
                <c:pt idx="124">
                  <c:v>719.66</c:v>
                </c:pt>
                <c:pt idx="125">
                  <c:v>712.86</c:v>
                </c:pt>
                <c:pt idx="126">
                  <c:v>712.87</c:v>
                </c:pt>
                <c:pt idx="127">
                  <c:v>710.37</c:v>
                </c:pt>
                <c:pt idx="128">
                  <c:v>710.53</c:v>
                </c:pt>
                <c:pt idx="129">
                  <c:v>708.24</c:v>
                </c:pt>
                <c:pt idx="130">
                  <c:v>711.68</c:v>
                </c:pt>
                <c:pt idx="131">
                  <c:v>720.71</c:v>
                </c:pt>
                <c:pt idx="132">
                  <c:v>720.56</c:v>
                </c:pt>
                <c:pt idx="133">
                  <c:v>723.03</c:v>
                </c:pt>
                <c:pt idx="134">
                  <c:v>723.24</c:v>
                </c:pt>
                <c:pt idx="135">
                  <c:v>722.23</c:v>
                </c:pt>
                <c:pt idx="136">
                  <c:v>718.91</c:v>
                </c:pt>
                <c:pt idx="137">
                  <c:v>719.79</c:v>
                </c:pt>
                <c:pt idx="138">
                  <c:v>722.21</c:v>
                </c:pt>
                <c:pt idx="139">
                  <c:v>726.83</c:v>
                </c:pt>
                <c:pt idx="140">
                  <c:v>724.21</c:v>
                </c:pt>
                <c:pt idx="141">
                  <c:v>724.23</c:v>
                </c:pt>
                <c:pt idx="142">
                  <c:v>727.46</c:v>
                </c:pt>
                <c:pt idx="143">
                  <c:v>728.51</c:v>
                </c:pt>
                <c:pt idx="144">
                  <c:v>728.84</c:v>
                </c:pt>
                <c:pt idx="145">
                  <c:v>732.07</c:v>
                </c:pt>
                <c:pt idx="146">
                  <c:v>732.24</c:v>
                </c:pt>
                <c:pt idx="147">
                  <c:v>739.96</c:v>
                </c:pt>
                <c:pt idx="148">
                  <c:v>743.35</c:v>
                </c:pt>
                <c:pt idx="149">
                  <c:v>742.26</c:v>
                </c:pt>
                <c:pt idx="150">
                  <c:v>741.02</c:v>
                </c:pt>
                <c:pt idx="151">
                  <c:v>744.62</c:v>
                </c:pt>
                <c:pt idx="152">
                  <c:v>746.49</c:v>
                </c:pt>
                <c:pt idx="153">
                  <c:v>743.3</c:v>
                </c:pt>
                <c:pt idx="154">
                  <c:v>742.02</c:v>
                </c:pt>
                <c:pt idx="155">
                  <c:v>745.17</c:v>
                </c:pt>
                <c:pt idx="156">
                  <c:v>752.26</c:v>
                </c:pt>
                <c:pt idx="157">
                  <c:v>756.48</c:v>
                </c:pt>
                <c:pt idx="158">
                  <c:v>748.86</c:v>
                </c:pt>
                <c:pt idx="159">
                  <c:v>742.83</c:v>
                </c:pt>
                <c:pt idx="160">
                  <c:v>736.23</c:v>
                </c:pt>
                <c:pt idx="161">
                  <c:v>743</c:v>
                </c:pt>
                <c:pt idx="162">
                  <c:v>740.94</c:v>
                </c:pt>
                <c:pt idx="163">
                  <c:v>743.01</c:v>
                </c:pt>
                <c:pt idx="164">
                  <c:v>741.76</c:v>
                </c:pt>
                <c:pt idx="165">
                  <c:v>747</c:v>
                </c:pt>
                <c:pt idx="166">
                  <c:v>743.43</c:v>
                </c:pt>
                <c:pt idx="167">
                  <c:v>744.17</c:v>
                </c:pt>
                <c:pt idx="168">
                  <c:v>738.36</c:v>
                </c:pt>
                <c:pt idx="169">
                  <c:v>737.24</c:v>
                </c:pt>
                <c:pt idx="170">
                  <c:v>744.99</c:v>
                </c:pt>
                <c:pt idx="171">
                  <c:v>742.67</c:v>
                </c:pt>
                <c:pt idx="172">
                  <c:v>742.22</c:v>
                </c:pt>
                <c:pt idx="173">
                  <c:v>736.16</c:v>
                </c:pt>
                <c:pt idx="174">
                  <c:v>733.45</c:v>
                </c:pt>
                <c:pt idx="175">
                  <c:v>737.64</c:v>
                </c:pt>
                <c:pt idx="176">
                  <c:v>737.43</c:v>
                </c:pt>
                <c:pt idx="177">
                  <c:v>740.2</c:v>
                </c:pt>
                <c:pt idx="178">
                  <c:v>742.73</c:v>
                </c:pt>
                <c:pt idx="179">
                  <c:v>748.55</c:v>
                </c:pt>
                <c:pt idx="180">
                  <c:v>759.62</c:v>
                </c:pt>
                <c:pt idx="181">
                  <c:v>779.41</c:v>
                </c:pt>
                <c:pt idx="182">
                  <c:v>790.66</c:v>
                </c:pt>
                <c:pt idx="183">
                  <c:v>791.74</c:v>
                </c:pt>
                <c:pt idx="184">
                  <c:v>782.63</c:v>
                </c:pt>
                <c:pt idx="185">
                  <c:v>783.21</c:v>
                </c:pt>
                <c:pt idx="186">
                  <c:v>784.12</c:v>
                </c:pt>
                <c:pt idx="187">
                  <c:v>781.05</c:v>
                </c:pt>
                <c:pt idx="188">
                  <c:v>781.45</c:v>
                </c:pt>
                <c:pt idx="189">
                  <c:v>790.31</c:v>
                </c:pt>
                <c:pt idx="190">
                  <c:v>805.11</c:v>
                </c:pt>
                <c:pt idx="191">
                  <c:v>804.43</c:v>
                </c:pt>
                <c:pt idx="192">
                  <c:v>803.52</c:v>
                </c:pt>
                <c:pt idx="193">
                  <c:v>805.64</c:v>
                </c:pt>
                <c:pt idx="194">
                  <c:v>809.97</c:v>
                </c:pt>
                <c:pt idx="195">
                  <c:v>812.1</c:v>
                </c:pt>
                <c:pt idx="196">
                  <c:v>817.12</c:v>
                </c:pt>
                <c:pt idx="197">
                  <c:v>813.09</c:v>
                </c:pt>
                <c:pt idx="198">
                  <c:v>815.99</c:v>
                </c:pt>
                <c:pt idx="199">
                  <c:v>813.49</c:v>
                </c:pt>
                <c:pt idx="200">
                  <c:v>809.14</c:v>
                </c:pt>
                <c:pt idx="201">
                  <c:v>806.78</c:v>
                </c:pt>
                <c:pt idx="202">
                  <c:v>800.96</c:v>
                </c:pt>
                <c:pt idx="203">
                  <c:v>795.28</c:v>
                </c:pt>
                <c:pt idx="204">
                  <c:v>790.31</c:v>
                </c:pt>
                <c:pt idx="205">
                  <c:v>791.49</c:v>
                </c:pt>
                <c:pt idx="206">
                  <c:v>792.23</c:v>
                </c:pt>
                <c:pt idx="207">
                  <c:v>781.95</c:v>
                </c:pt>
                <c:pt idx="208">
                  <c:v>782.17</c:v>
                </c:pt>
                <c:pt idx="209">
                  <c:v>765.95</c:v>
                </c:pt>
                <c:pt idx="210">
                  <c:v>777.21</c:v>
                </c:pt>
                <c:pt idx="211">
                  <c:v>784.47</c:v>
                </c:pt>
                <c:pt idx="212">
                  <c:v>778.37</c:v>
                </c:pt>
                <c:pt idx="213">
                  <c:v>779.28</c:v>
                </c:pt>
                <c:pt idx="214">
                  <c:v>790.56</c:v>
                </c:pt>
                <c:pt idx="215">
                  <c:v>797.8</c:v>
                </c:pt>
                <c:pt idx="216">
                  <c:v>795.57</c:v>
                </c:pt>
                <c:pt idx="217">
                  <c:v>790.13</c:v>
                </c:pt>
                <c:pt idx="218">
                  <c:v>786.98</c:v>
                </c:pt>
                <c:pt idx="219">
                  <c:v>784.03</c:v>
                </c:pt>
                <c:pt idx="220">
                  <c:v>788.47</c:v>
                </c:pt>
                <c:pt idx="221">
                  <c:v>794.51</c:v>
                </c:pt>
                <c:pt idx="222">
                  <c:v>793.6</c:v>
                </c:pt>
                <c:pt idx="223">
                  <c:v>791.94</c:v>
                </c:pt>
                <c:pt idx="224">
                  <c:v>788.01</c:v>
                </c:pt>
                <c:pt idx="225">
                  <c:v>782.08</c:v>
                </c:pt>
                <c:pt idx="226">
                  <c:v>775.13</c:v>
                </c:pt>
                <c:pt idx="227">
                  <c:v>766.59</c:v>
                </c:pt>
                <c:pt idx="228">
                  <c:v>769.75</c:v>
                </c:pt>
                <c:pt idx="229">
                  <c:v>775.3</c:v>
                </c:pt>
                <c:pt idx="230">
                  <c:v>777.63</c:v>
                </c:pt>
                <c:pt idx="231">
                  <c:v>777.37</c:v>
                </c:pt>
                <c:pt idx="232">
                  <c:v>780.02</c:v>
                </c:pt>
                <c:pt idx="233">
                  <c:v>787.8</c:v>
                </c:pt>
                <c:pt idx="234">
                  <c:v>792.72</c:v>
                </c:pt>
                <c:pt idx="235">
                  <c:v>793.94</c:v>
                </c:pt>
                <c:pt idx="236">
                  <c:v>788.49</c:v>
                </c:pt>
                <c:pt idx="237">
                  <c:v>792.66</c:v>
                </c:pt>
                <c:pt idx="238">
                  <c:v>787.29</c:v>
                </c:pt>
                <c:pt idx="239">
                  <c:v>805.76</c:v>
                </c:pt>
                <c:pt idx="240">
                  <c:v>813.2</c:v>
                </c:pt>
                <c:pt idx="241">
                  <c:v>841</c:v>
                </c:pt>
                <c:pt idx="242">
                  <c:v>823.68</c:v>
                </c:pt>
                <c:pt idx="243">
                  <c:v>827</c:v>
                </c:pt>
                <c:pt idx="244">
                  <c:v>815.98</c:v>
                </c:pt>
              </c:numCache>
            </c:numRef>
          </c:val>
        </c:ser>
        <c:marker val="1"/>
        <c:axId val="133953408"/>
        <c:axId val="133954944"/>
      </c:lineChart>
      <c:catAx>
        <c:axId val="133953408"/>
        <c:scaling>
          <c:orientation val="minMax"/>
        </c:scaling>
        <c:axPos val="b"/>
        <c:numFmt formatCode="dd/mmm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54944"/>
        <c:crossesAt val="45"/>
        <c:lblAlgn val="ctr"/>
        <c:lblOffset val="100"/>
        <c:tickLblSkip val="8"/>
        <c:tickMarkSkip val="1"/>
      </c:catAx>
      <c:valAx>
        <c:axId val="133954944"/>
        <c:scaling>
          <c:orientation val="minMax"/>
          <c:max val="860"/>
          <c:min val="58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Index Points</a:t>
                </a:r>
              </a:p>
            </c:rich>
          </c:tx>
          <c:layout>
            <c:manualLayout>
              <c:xMode val="edge"/>
              <c:yMode val="edge"/>
              <c:x val="7.2358951275715202E-3"/>
              <c:y val="0.2142857142857142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53408"/>
        <c:crosses val="autoZero"/>
        <c:crossBetween val="midCat"/>
        <c:majorUnit val="20"/>
      </c:valAx>
      <c:spPr>
        <a:noFill/>
        <a:ln w="12700">
          <a:solidFill>
            <a:srgbClr val="E3E3E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48502756211821"/>
          <c:y val="0.13392857142857137"/>
          <c:w val="0.3835024417612905"/>
          <c:h val="7.14285714285714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Volatility (5-day annualised) vs. Volume</a:t>
            </a:r>
          </a:p>
        </c:rich>
      </c:tx>
      <c:layout>
        <c:manualLayout>
          <c:xMode val="edge"/>
          <c:yMode val="edge"/>
          <c:x val="0.32758666653571006"/>
          <c:y val="2.19299184909474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459883008770841E-2"/>
          <c:y val="6.1403771774652956E-2"/>
          <c:w val="0.84770233884240698"/>
          <c:h val="0.67982747321937265"/>
        </c:manualLayout>
      </c:layout>
      <c:barChart>
        <c:barDir val="col"/>
        <c:grouping val="clustered"/>
        <c:ser>
          <c:idx val="1"/>
          <c:order val="0"/>
          <c:tx>
            <c:strRef>
              <c:f>'[1]FCPO 5d-Volatility'!$B$1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cat>
            <c:numRef>
              <c:f>'[1]FCPO 5d-Volatility'!$A$5442:$A$5685</c:f>
              <c:numCache>
                <c:formatCode>General</c:formatCode>
                <c:ptCount val="244"/>
                <c:pt idx="0">
                  <c:v>37638</c:v>
                </c:pt>
                <c:pt idx="1">
                  <c:v>37641</c:v>
                </c:pt>
                <c:pt idx="2">
                  <c:v>37642</c:v>
                </c:pt>
                <c:pt idx="3">
                  <c:v>37643</c:v>
                </c:pt>
                <c:pt idx="4">
                  <c:v>37644</c:v>
                </c:pt>
                <c:pt idx="5">
                  <c:v>37645</c:v>
                </c:pt>
                <c:pt idx="6">
                  <c:v>37648</c:v>
                </c:pt>
                <c:pt idx="7">
                  <c:v>37649</c:v>
                </c:pt>
                <c:pt idx="8">
                  <c:v>37650</c:v>
                </c:pt>
                <c:pt idx="9">
                  <c:v>37651</c:v>
                </c:pt>
                <c:pt idx="10">
                  <c:v>37657</c:v>
                </c:pt>
                <c:pt idx="11">
                  <c:v>37658</c:v>
                </c:pt>
                <c:pt idx="12">
                  <c:v>37659</c:v>
                </c:pt>
                <c:pt idx="13">
                  <c:v>37662</c:v>
                </c:pt>
                <c:pt idx="14">
                  <c:v>37663</c:v>
                </c:pt>
                <c:pt idx="15">
                  <c:v>37665</c:v>
                </c:pt>
                <c:pt idx="16">
                  <c:v>37666</c:v>
                </c:pt>
                <c:pt idx="17">
                  <c:v>37669</c:v>
                </c:pt>
                <c:pt idx="18">
                  <c:v>37670</c:v>
                </c:pt>
                <c:pt idx="19">
                  <c:v>37671</c:v>
                </c:pt>
                <c:pt idx="20">
                  <c:v>37672</c:v>
                </c:pt>
                <c:pt idx="21">
                  <c:v>37673</c:v>
                </c:pt>
                <c:pt idx="22">
                  <c:v>37676</c:v>
                </c:pt>
                <c:pt idx="23">
                  <c:v>37677</c:v>
                </c:pt>
                <c:pt idx="24">
                  <c:v>37678</c:v>
                </c:pt>
                <c:pt idx="25">
                  <c:v>37679</c:v>
                </c:pt>
                <c:pt idx="26">
                  <c:v>37680</c:v>
                </c:pt>
                <c:pt idx="27">
                  <c:v>37683</c:v>
                </c:pt>
                <c:pt idx="28">
                  <c:v>37685</c:v>
                </c:pt>
                <c:pt idx="29">
                  <c:v>37686</c:v>
                </c:pt>
                <c:pt idx="30">
                  <c:v>37687</c:v>
                </c:pt>
                <c:pt idx="31">
                  <c:v>37690</c:v>
                </c:pt>
                <c:pt idx="32">
                  <c:v>37691</c:v>
                </c:pt>
                <c:pt idx="33">
                  <c:v>37692</c:v>
                </c:pt>
                <c:pt idx="34">
                  <c:v>37693</c:v>
                </c:pt>
                <c:pt idx="35">
                  <c:v>37694</c:v>
                </c:pt>
                <c:pt idx="36">
                  <c:v>37697</c:v>
                </c:pt>
                <c:pt idx="37">
                  <c:v>37698</c:v>
                </c:pt>
                <c:pt idx="38">
                  <c:v>37699</c:v>
                </c:pt>
                <c:pt idx="39">
                  <c:v>37700</c:v>
                </c:pt>
                <c:pt idx="40">
                  <c:v>37701</c:v>
                </c:pt>
                <c:pt idx="41">
                  <c:v>37704</c:v>
                </c:pt>
                <c:pt idx="42">
                  <c:v>37705</c:v>
                </c:pt>
                <c:pt idx="43">
                  <c:v>37706</c:v>
                </c:pt>
                <c:pt idx="44">
                  <c:v>37707</c:v>
                </c:pt>
                <c:pt idx="45">
                  <c:v>37708</c:v>
                </c:pt>
                <c:pt idx="46">
                  <c:v>37711</c:v>
                </c:pt>
                <c:pt idx="47">
                  <c:v>37712</c:v>
                </c:pt>
                <c:pt idx="48">
                  <c:v>37713</c:v>
                </c:pt>
                <c:pt idx="49">
                  <c:v>37714</c:v>
                </c:pt>
                <c:pt idx="50">
                  <c:v>37715</c:v>
                </c:pt>
                <c:pt idx="51">
                  <c:v>37718</c:v>
                </c:pt>
                <c:pt idx="52">
                  <c:v>37719</c:v>
                </c:pt>
                <c:pt idx="53">
                  <c:v>37720</c:v>
                </c:pt>
                <c:pt idx="54">
                  <c:v>37721</c:v>
                </c:pt>
                <c:pt idx="55">
                  <c:v>37722</c:v>
                </c:pt>
                <c:pt idx="56">
                  <c:v>37725</c:v>
                </c:pt>
                <c:pt idx="57">
                  <c:v>37726</c:v>
                </c:pt>
                <c:pt idx="58">
                  <c:v>37727</c:v>
                </c:pt>
                <c:pt idx="59">
                  <c:v>37728</c:v>
                </c:pt>
                <c:pt idx="60">
                  <c:v>37729</c:v>
                </c:pt>
                <c:pt idx="61">
                  <c:v>37732</c:v>
                </c:pt>
                <c:pt idx="62">
                  <c:v>37733</c:v>
                </c:pt>
                <c:pt idx="63">
                  <c:v>37734</c:v>
                </c:pt>
                <c:pt idx="64">
                  <c:v>37735</c:v>
                </c:pt>
                <c:pt idx="65">
                  <c:v>37736</c:v>
                </c:pt>
                <c:pt idx="66">
                  <c:v>37739</c:v>
                </c:pt>
                <c:pt idx="67">
                  <c:v>37740</c:v>
                </c:pt>
                <c:pt idx="68">
                  <c:v>37741</c:v>
                </c:pt>
                <c:pt idx="69">
                  <c:v>37743</c:v>
                </c:pt>
                <c:pt idx="70">
                  <c:v>37746</c:v>
                </c:pt>
                <c:pt idx="71">
                  <c:v>37747</c:v>
                </c:pt>
                <c:pt idx="72">
                  <c:v>37748</c:v>
                </c:pt>
                <c:pt idx="73">
                  <c:v>37749</c:v>
                </c:pt>
                <c:pt idx="74">
                  <c:v>37750</c:v>
                </c:pt>
                <c:pt idx="75">
                  <c:v>37753</c:v>
                </c:pt>
                <c:pt idx="76">
                  <c:v>37754</c:v>
                </c:pt>
                <c:pt idx="77">
                  <c:v>37757</c:v>
                </c:pt>
                <c:pt idx="78">
                  <c:v>37760</c:v>
                </c:pt>
                <c:pt idx="79">
                  <c:v>37761</c:v>
                </c:pt>
                <c:pt idx="80">
                  <c:v>37762</c:v>
                </c:pt>
                <c:pt idx="81">
                  <c:v>37763</c:v>
                </c:pt>
                <c:pt idx="82">
                  <c:v>37764</c:v>
                </c:pt>
                <c:pt idx="83">
                  <c:v>37767</c:v>
                </c:pt>
                <c:pt idx="84">
                  <c:v>37768</c:v>
                </c:pt>
                <c:pt idx="85">
                  <c:v>37769</c:v>
                </c:pt>
                <c:pt idx="86">
                  <c:v>37770</c:v>
                </c:pt>
                <c:pt idx="87">
                  <c:v>37771</c:v>
                </c:pt>
                <c:pt idx="88">
                  <c:v>37774</c:v>
                </c:pt>
                <c:pt idx="89">
                  <c:v>37775</c:v>
                </c:pt>
                <c:pt idx="90">
                  <c:v>37776</c:v>
                </c:pt>
                <c:pt idx="91">
                  <c:v>37777</c:v>
                </c:pt>
                <c:pt idx="92">
                  <c:v>37778</c:v>
                </c:pt>
                <c:pt idx="93">
                  <c:v>37781</c:v>
                </c:pt>
                <c:pt idx="94">
                  <c:v>37782</c:v>
                </c:pt>
                <c:pt idx="95">
                  <c:v>37783</c:v>
                </c:pt>
                <c:pt idx="96">
                  <c:v>37784</c:v>
                </c:pt>
                <c:pt idx="97">
                  <c:v>37785</c:v>
                </c:pt>
                <c:pt idx="98">
                  <c:v>37788</c:v>
                </c:pt>
                <c:pt idx="99">
                  <c:v>37789</c:v>
                </c:pt>
                <c:pt idx="100">
                  <c:v>37790</c:v>
                </c:pt>
                <c:pt idx="101">
                  <c:v>37791</c:v>
                </c:pt>
                <c:pt idx="102">
                  <c:v>37792</c:v>
                </c:pt>
                <c:pt idx="103">
                  <c:v>37795</c:v>
                </c:pt>
                <c:pt idx="104">
                  <c:v>37796</c:v>
                </c:pt>
                <c:pt idx="105">
                  <c:v>37797</c:v>
                </c:pt>
                <c:pt idx="106">
                  <c:v>37798</c:v>
                </c:pt>
                <c:pt idx="107">
                  <c:v>37799</c:v>
                </c:pt>
                <c:pt idx="108">
                  <c:v>37802</c:v>
                </c:pt>
                <c:pt idx="109">
                  <c:v>37803</c:v>
                </c:pt>
                <c:pt idx="110">
                  <c:v>37804</c:v>
                </c:pt>
                <c:pt idx="111">
                  <c:v>37805</c:v>
                </c:pt>
                <c:pt idx="112">
                  <c:v>37806</c:v>
                </c:pt>
                <c:pt idx="113">
                  <c:v>37809</c:v>
                </c:pt>
                <c:pt idx="114">
                  <c:v>37810</c:v>
                </c:pt>
                <c:pt idx="115">
                  <c:v>37811</c:v>
                </c:pt>
                <c:pt idx="116">
                  <c:v>37812</c:v>
                </c:pt>
                <c:pt idx="117">
                  <c:v>37813</c:v>
                </c:pt>
                <c:pt idx="118">
                  <c:v>37816</c:v>
                </c:pt>
                <c:pt idx="119">
                  <c:v>37817</c:v>
                </c:pt>
                <c:pt idx="120">
                  <c:v>37818</c:v>
                </c:pt>
                <c:pt idx="121">
                  <c:v>37819</c:v>
                </c:pt>
                <c:pt idx="122">
                  <c:v>37820</c:v>
                </c:pt>
                <c:pt idx="123">
                  <c:v>37823</c:v>
                </c:pt>
                <c:pt idx="124">
                  <c:v>37824</c:v>
                </c:pt>
                <c:pt idx="125">
                  <c:v>37825</c:v>
                </c:pt>
                <c:pt idx="126">
                  <c:v>37826</c:v>
                </c:pt>
                <c:pt idx="127">
                  <c:v>37827</c:v>
                </c:pt>
                <c:pt idx="128">
                  <c:v>37830</c:v>
                </c:pt>
                <c:pt idx="129">
                  <c:v>37831</c:v>
                </c:pt>
                <c:pt idx="130">
                  <c:v>37832</c:v>
                </c:pt>
                <c:pt idx="131">
                  <c:v>37833</c:v>
                </c:pt>
                <c:pt idx="132">
                  <c:v>37834</c:v>
                </c:pt>
                <c:pt idx="133">
                  <c:v>37837</c:v>
                </c:pt>
                <c:pt idx="134">
                  <c:v>37838</c:v>
                </c:pt>
                <c:pt idx="135">
                  <c:v>37839</c:v>
                </c:pt>
                <c:pt idx="136">
                  <c:v>37840</c:v>
                </c:pt>
                <c:pt idx="137">
                  <c:v>37841</c:v>
                </c:pt>
                <c:pt idx="138">
                  <c:v>37844</c:v>
                </c:pt>
                <c:pt idx="139">
                  <c:v>37845</c:v>
                </c:pt>
                <c:pt idx="140">
                  <c:v>37846</c:v>
                </c:pt>
                <c:pt idx="141">
                  <c:v>37847</c:v>
                </c:pt>
                <c:pt idx="142">
                  <c:v>37848</c:v>
                </c:pt>
                <c:pt idx="143">
                  <c:v>37851</c:v>
                </c:pt>
                <c:pt idx="144">
                  <c:v>37852</c:v>
                </c:pt>
                <c:pt idx="145">
                  <c:v>37853</c:v>
                </c:pt>
                <c:pt idx="146">
                  <c:v>37854</c:v>
                </c:pt>
                <c:pt idx="147">
                  <c:v>37855</c:v>
                </c:pt>
                <c:pt idx="148">
                  <c:v>37858</c:v>
                </c:pt>
                <c:pt idx="149">
                  <c:v>37859</c:v>
                </c:pt>
                <c:pt idx="150">
                  <c:v>37860</c:v>
                </c:pt>
                <c:pt idx="151">
                  <c:v>37861</c:v>
                </c:pt>
                <c:pt idx="152">
                  <c:v>37862</c:v>
                </c:pt>
                <c:pt idx="153">
                  <c:v>37866</c:v>
                </c:pt>
                <c:pt idx="154">
                  <c:v>37867</c:v>
                </c:pt>
                <c:pt idx="155">
                  <c:v>37868</c:v>
                </c:pt>
                <c:pt idx="156">
                  <c:v>37869</c:v>
                </c:pt>
                <c:pt idx="157">
                  <c:v>37872</c:v>
                </c:pt>
                <c:pt idx="158">
                  <c:v>37873</c:v>
                </c:pt>
                <c:pt idx="159">
                  <c:v>37874</c:v>
                </c:pt>
                <c:pt idx="160">
                  <c:v>37875</c:v>
                </c:pt>
                <c:pt idx="161">
                  <c:v>37876</c:v>
                </c:pt>
                <c:pt idx="162">
                  <c:v>37879</c:v>
                </c:pt>
                <c:pt idx="163">
                  <c:v>37880</c:v>
                </c:pt>
                <c:pt idx="164">
                  <c:v>37881</c:v>
                </c:pt>
                <c:pt idx="165">
                  <c:v>37882</c:v>
                </c:pt>
                <c:pt idx="166">
                  <c:v>37883</c:v>
                </c:pt>
                <c:pt idx="167">
                  <c:v>37886</c:v>
                </c:pt>
                <c:pt idx="168">
                  <c:v>37887</c:v>
                </c:pt>
                <c:pt idx="169">
                  <c:v>37888</c:v>
                </c:pt>
                <c:pt idx="170">
                  <c:v>37889</c:v>
                </c:pt>
                <c:pt idx="171">
                  <c:v>37890</c:v>
                </c:pt>
                <c:pt idx="172">
                  <c:v>37893</c:v>
                </c:pt>
                <c:pt idx="173">
                  <c:v>37894</c:v>
                </c:pt>
                <c:pt idx="174">
                  <c:v>37895</c:v>
                </c:pt>
                <c:pt idx="175">
                  <c:v>37896</c:v>
                </c:pt>
                <c:pt idx="176">
                  <c:v>37897</c:v>
                </c:pt>
                <c:pt idx="177">
                  <c:v>37900</c:v>
                </c:pt>
                <c:pt idx="178">
                  <c:v>37901</c:v>
                </c:pt>
                <c:pt idx="179">
                  <c:v>37902</c:v>
                </c:pt>
                <c:pt idx="180">
                  <c:v>37903</c:v>
                </c:pt>
                <c:pt idx="181">
                  <c:v>37904</c:v>
                </c:pt>
                <c:pt idx="182">
                  <c:v>37907</c:v>
                </c:pt>
                <c:pt idx="183">
                  <c:v>37908</c:v>
                </c:pt>
                <c:pt idx="184">
                  <c:v>37909</c:v>
                </c:pt>
                <c:pt idx="185">
                  <c:v>37910</c:v>
                </c:pt>
                <c:pt idx="186">
                  <c:v>37911</c:v>
                </c:pt>
                <c:pt idx="187">
                  <c:v>37914</c:v>
                </c:pt>
                <c:pt idx="188">
                  <c:v>37915</c:v>
                </c:pt>
                <c:pt idx="189">
                  <c:v>37916</c:v>
                </c:pt>
                <c:pt idx="190">
                  <c:v>37917</c:v>
                </c:pt>
                <c:pt idx="191">
                  <c:v>37921</c:v>
                </c:pt>
                <c:pt idx="192">
                  <c:v>37922</c:v>
                </c:pt>
                <c:pt idx="193">
                  <c:v>37923</c:v>
                </c:pt>
                <c:pt idx="194">
                  <c:v>37924</c:v>
                </c:pt>
                <c:pt idx="195">
                  <c:v>37925</c:v>
                </c:pt>
                <c:pt idx="196">
                  <c:v>37928</c:v>
                </c:pt>
                <c:pt idx="197">
                  <c:v>37929</c:v>
                </c:pt>
                <c:pt idx="198">
                  <c:v>37930</c:v>
                </c:pt>
                <c:pt idx="199">
                  <c:v>37931</c:v>
                </c:pt>
                <c:pt idx="200">
                  <c:v>37932</c:v>
                </c:pt>
                <c:pt idx="201">
                  <c:v>37935</c:v>
                </c:pt>
                <c:pt idx="202">
                  <c:v>37936</c:v>
                </c:pt>
                <c:pt idx="203">
                  <c:v>37937</c:v>
                </c:pt>
                <c:pt idx="204">
                  <c:v>37938</c:v>
                </c:pt>
                <c:pt idx="205">
                  <c:v>37939</c:v>
                </c:pt>
                <c:pt idx="206">
                  <c:v>37942</c:v>
                </c:pt>
                <c:pt idx="207">
                  <c:v>37943</c:v>
                </c:pt>
                <c:pt idx="208">
                  <c:v>37944</c:v>
                </c:pt>
                <c:pt idx="209">
                  <c:v>37945</c:v>
                </c:pt>
                <c:pt idx="210">
                  <c:v>37946</c:v>
                </c:pt>
                <c:pt idx="211">
                  <c:v>37952</c:v>
                </c:pt>
                <c:pt idx="212">
                  <c:v>37953</c:v>
                </c:pt>
                <c:pt idx="213">
                  <c:v>37956</c:v>
                </c:pt>
                <c:pt idx="214">
                  <c:v>37957</c:v>
                </c:pt>
                <c:pt idx="215">
                  <c:v>37958</c:v>
                </c:pt>
                <c:pt idx="216">
                  <c:v>37959</c:v>
                </c:pt>
                <c:pt idx="217">
                  <c:v>37960</c:v>
                </c:pt>
                <c:pt idx="218">
                  <c:v>37963</c:v>
                </c:pt>
                <c:pt idx="219">
                  <c:v>37964</c:v>
                </c:pt>
                <c:pt idx="220">
                  <c:v>37965</c:v>
                </c:pt>
                <c:pt idx="221">
                  <c:v>37966</c:v>
                </c:pt>
                <c:pt idx="222">
                  <c:v>37967</c:v>
                </c:pt>
                <c:pt idx="223">
                  <c:v>37970</c:v>
                </c:pt>
                <c:pt idx="224">
                  <c:v>37971</c:v>
                </c:pt>
                <c:pt idx="225">
                  <c:v>37972</c:v>
                </c:pt>
                <c:pt idx="226">
                  <c:v>37973</c:v>
                </c:pt>
                <c:pt idx="227">
                  <c:v>37974</c:v>
                </c:pt>
                <c:pt idx="228">
                  <c:v>37977</c:v>
                </c:pt>
                <c:pt idx="229">
                  <c:v>37978</c:v>
                </c:pt>
                <c:pt idx="230">
                  <c:v>37979</c:v>
                </c:pt>
                <c:pt idx="231">
                  <c:v>37981</c:v>
                </c:pt>
                <c:pt idx="232">
                  <c:v>37984</c:v>
                </c:pt>
                <c:pt idx="233">
                  <c:v>37985</c:v>
                </c:pt>
                <c:pt idx="234">
                  <c:v>37986</c:v>
                </c:pt>
                <c:pt idx="235">
                  <c:v>37988</c:v>
                </c:pt>
                <c:pt idx="236">
                  <c:v>37991</c:v>
                </c:pt>
                <c:pt idx="237">
                  <c:v>37992</c:v>
                </c:pt>
                <c:pt idx="238">
                  <c:v>37993</c:v>
                </c:pt>
                <c:pt idx="239">
                  <c:v>37994</c:v>
                </c:pt>
                <c:pt idx="240">
                  <c:v>37995</c:v>
                </c:pt>
                <c:pt idx="241">
                  <c:v>37998</c:v>
                </c:pt>
                <c:pt idx="242">
                  <c:v>37999</c:v>
                </c:pt>
                <c:pt idx="243">
                  <c:v>38000</c:v>
                </c:pt>
              </c:numCache>
            </c:numRef>
          </c:cat>
          <c:val>
            <c:numRef>
              <c:f>'[1]FCPO 5d-Volatility'!$B$5442:$B$5685</c:f>
              <c:numCache>
                <c:formatCode>General</c:formatCode>
                <c:ptCount val="244"/>
                <c:pt idx="0">
                  <c:v>2687</c:v>
                </c:pt>
                <c:pt idx="1">
                  <c:v>3449</c:v>
                </c:pt>
                <c:pt idx="2">
                  <c:v>8015</c:v>
                </c:pt>
                <c:pt idx="3">
                  <c:v>5122</c:v>
                </c:pt>
                <c:pt idx="4">
                  <c:v>7748</c:v>
                </c:pt>
                <c:pt idx="5">
                  <c:v>2020</c:v>
                </c:pt>
                <c:pt idx="6">
                  <c:v>3574</c:v>
                </c:pt>
                <c:pt idx="7">
                  <c:v>3147</c:v>
                </c:pt>
                <c:pt idx="8">
                  <c:v>2749</c:v>
                </c:pt>
                <c:pt idx="9">
                  <c:v>4683</c:v>
                </c:pt>
                <c:pt idx="10">
                  <c:v>2992</c:v>
                </c:pt>
                <c:pt idx="11">
                  <c:v>1774</c:v>
                </c:pt>
                <c:pt idx="12">
                  <c:v>4517</c:v>
                </c:pt>
                <c:pt idx="13">
                  <c:v>4785</c:v>
                </c:pt>
                <c:pt idx="14">
                  <c:v>5041</c:v>
                </c:pt>
                <c:pt idx="15">
                  <c:v>3572</c:v>
                </c:pt>
                <c:pt idx="16">
                  <c:v>3404</c:v>
                </c:pt>
                <c:pt idx="17">
                  <c:v>10055</c:v>
                </c:pt>
                <c:pt idx="18">
                  <c:v>6644</c:v>
                </c:pt>
                <c:pt idx="19">
                  <c:v>6642</c:v>
                </c:pt>
                <c:pt idx="20">
                  <c:v>3197</c:v>
                </c:pt>
                <c:pt idx="21">
                  <c:v>2496</c:v>
                </c:pt>
                <c:pt idx="22">
                  <c:v>1525</c:v>
                </c:pt>
                <c:pt idx="23">
                  <c:v>3100</c:v>
                </c:pt>
                <c:pt idx="24">
                  <c:v>1996</c:v>
                </c:pt>
                <c:pt idx="25">
                  <c:v>1234</c:v>
                </c:pt>
                <c:pt idx="26">
                  <c:v>5488</c:v>
                </c:pt>
                <c:pt idx="27">
                  <c:v>3064</c:v>
                </c:pt>
                <c:pt idx="28">
                  <c:v>14003</c:v>
                </c:pt>
                <c:pt idx="29">
                  <c:v>5060</c:v>
                </c:pt>
                <c:pt idx="30">
                  <c:v>7056</c:v>
                </c:pt>
                <c:pt idx="31">
                  <c:v>8538</c:v>
                </c:pt>
                <c:pt idx="32">
                  <c:v>5906</c:v>
                </c:pt>
                <c:pt idx="33">
                  <c:v>6204</c:v>
                </c:pt>
                <c:pt idx="34">
                  <c:v>2633</c:v>
                </c:pt>
                <c:pt idx="35">
                  <c:v>3448</c:v>
                </c:pt>
                <c:pt idx="36">
                  <c:v>10175</c:v>
                </c:pt>
                <c:pt idx="37">
                  <c:v>3984</c:v>
                </c:pt>
                <c:pt idx="38">
                  <c:v>4468</c:v>
                </c:pt>
                <c:pt idx="39">
                  <c:v>6635</c:v>
                </c:pt>
                <c:pt idx="40">
                  <c:v>5527</c:v>
                </c:pt>
                <c:pt idx="41">
                  <c:v>5643</c:v>
                </c:pt>
                <c:pt idx="42">
                  <c:v>11438</c:v>
                </c:pt>
                <c:pt idx="43">
                  <c:v>10258</c:v>
                </c:pt>
                <c:pt idx="44">
                  <c:v>11280</c:v>
                </c:pt>
                <c:pt idx="45">
                  <c:v>8350</c:v>
                </c:pt>
                <c:pt idx="46">
                  <c:v>5268</c:v>
                </c:pt>
                <c:pt idx="47">
                  <c:v>4501</c:v>
                </c:pt>
                <c:pt idx="48">
                  <c:v>6277</c:v>
                </c:pt>
                <c:pt idx="49">
                  <c:v>7705</c:v>
                </c:pt>
                <c:pt idx="50">
                  <c:v>5455</c:v>
                </c:pt>
                <c:pt idx="51">
                  <c:v>6729</c:v>
                </c:pt>
                <c:pt idx="52">
                  <c:v>7934</c:v>
                </c:pt>
                <c:pt idx="53">
                  <c:v>12426</c:v>
                </c:pt>
                <c:pt idx="54">
                  <c:v>4444</c:v>
                </c:pt>
                <c:pt idx="55">
                  <c:v>4188</c:v>
                </c:pt>
                <c:pt idx="56">
                  <c:v>6412</c:v>
                </c:pt>
                <c:pt idx="57">
                  <c:v>6044</c:v>
                </c:pt>
                <c:pt idx="58">
                  <c:v>7655</c:v>
                </c:pt>
                <c:pt idx="59">
                  <c:v>7140</c:v>
                </c:pt>
                <c:pt idx="60">
                  <c:v>3898</c:v>
                </c:pt>
                <c:pt idx="61">
                  <c:v>4272</c:v>
                </c:pt>
                <c:pt idx="62">
                  <c:v>6865</c:v>
                </c:pt>
                <c:pt idx="63">
                  <c:v>7169</c:v>
                </c:pt>
                <c:pt idx="64">
                  <c:v>5024</c:v>
                </c:pt>
                <c:pt idx="65">
                  <c:v>4687</c:v>
                </c:pt>
                <c:pt idx="66">
                  <c:v>4507</c:v>
                </c:pt>
                <c:pt idx="67">
                  <c:v>5279</c:v>
                </c:pt>
                <c:pt idx="68">
                  <c:v>5573</c:v>
                </c:pt>
                <c:pt idx="69">
                  <c:v>5208</c:v>
                </c:pt>
                <c:pt idx="70">
                  <c:v>2795</c:v>
                </c:pt>
                <c:pt idx="71">
                  <c:v>3566</c:v>
                </c:pt>
                <c:pt idx="72">
                  <c:v>4861</c:v>
                </c:pt>
                <c:pt idx="73">
                  <c:v>4681</c:v>
                </c:pt>
                <c:pt idx="74">
                  <c:v>6932</c:v>
                </c:pt>
                <c:pt idx="75">
                  <c:v>8698</c:v>
                </c:pt>
                <c:pt idx="76">
                  <c:v>6325</c:v>
                </c:pt>
                <c:pt idx="77">
                  <c:v>8296</c:v>
                </c:pt>
                <c:pt idx="78">
                  <c:v>8052</c:v>
                </c:pt>
                <c:pt idx="79">
                  <c:v>4257</c:v>
                </c:pt>
                <c:pt idx="80">
                  <c:v>6078</c:v>
                </c:pt>
                <c:pt idx="81">
                  <c:v>6170</c:v>
                </c:pt>
                <c:pt idx="82">
                  <c:v>5797</c:v>
                </c:pt>
                <c:pt idx="83">
                  <c:v>3784</c:v>
                </c:pt>
                <c:pt idx="84">
                  <c:v>5921</c:v>
                </c:pt>
                <c:pt idx="85">
                  <c:v>6575</c:v>
                </c:pt>
                <c:pt idx="86">
                  <c:v>5075</c:v>
                </c:pt>
                <c:pt idx="87">
                  <c:v>6154</c:v>
                </c:pt>
                <c:pt idx="88">
                  <c:v>3592</c:v>
                </c:pt>
                <c:pt idx="89">
                  <c:v>5336</c:v>
                </c:pt>
                <c:pt idx="90">
                  <c:v>6147</c:v>
                </c:pt>
                <c:pt idx="91">
                  <c:v>6260</c:v>
                </c:pt>
                <c:pt idx="92">
                  <c:v>7066</c:v>
                </c:pt>
                <c:pt idx="93">
                  <c:v>6289</c:v>
                </c:pt>
                <c:pt idx="94">
                  <c:v>6993</c:v>
                </c:pt>
                <c:pt idx="95">
                  <c:v>6194</c:v>
                </c:pt>
                <c:pt idx="96">
                  <c:v>6130</c:v>
                </c:pt>
                <c:pt idx="97">
                  <c:v>4326</c:v>
                </c:pt>
                <c:pt idx="98">
                  <c:v>5573</c:v>
                </c:pt>
                <c:pt idx="99">
                  <c:v>5079</c:v>
                </c:pt>
                <c:pt idx="100">
                  <c:v>6964</c:v>
                </c:pt>
                <c:pt idx="101">
                  <c:v>6139</c:v>
                </c:pt>
                <c:pt idx="102">
                  <c:v>3183</c:v>
                </c:pt>
                <c:pt idx="103">
                  <c:v>4852</c:v>
                </c:pt>
                <c:pt idx="104">
                  <c:v>5910</c:v>
                </c:pt>
                <c:pt idx="105">
                  <c:v>3594</c:v>
                </c:pt>
                <c:pt idx="106">
                  <c:v>6194</c:v>
                </c:pt>
                <c:pt idx="107">
                  <c:v>8823</c:v>
                </c:pt>
                <c:pt idx="108">
                  <c:v>2587</c:v>
                </c:pt>
                <c:pt idx="109">
                  <c:v>2122</c:v>
                </c:pt>
                <c:pt idx="110">
                  <c:v>5174</c:v>
                </c:pt>
                <c:pt idx="111">
                  <c:v>5463</c:v>
                </c:pt>
                <c:pt idx="112">
                  <c:v>3870</c:v>
                </c:pt>
                <c:pt idx="113">
                  <c:v>5693</c:v>
                </c:pt>
                <c:pt idx="114">
                  <c:v>4000</c:v>
                </c:pt>
                <c:pt idx="115">
                  <c:v>4444</c:v>
                </c:pt>
                <c:pt idx="116">
                  <c:v>3265</c:v>
                </c:pt>
                <c:pt idx="117">
                  <c:v>3753</c:v>
                </c:pt>
                <c:pt idx="118">
                  <c:v>2658</c:v>
                </c:pt>
                <c:pt idx="119">
                  <c:v>3735</c:v>
                </c:pt>
                <c:pt idx="120">
                  <c:v>4445</c:v>
                </c:pt>
                <c:pt idx="121">
                  <c:v>5433</c:v>
                </c:pt>
                <c:pt idx="122">
                  <c:v>5641</c:v>
                </c:pt>
                <c:pt idx="123">
                  <c:v>4823</c:v>
                </c:pt>
                <c:pt idx="124">
                  <c:v>6365</c:v>
                </c:pt>
                <c:pt idx="125">
                  <c:v>10482</c:v>
                </c:pt>
                <c:pt idx="126">
                  <c:v>3690</c:v>
                </c:pt>
                <c:pt idx="127">
                  <c:v>3851</c:v>
                </c:pt>
                <c:pt idx="128">
                  <c:v>5826</c:v>
                </c:pt>
                <c:pt idx="129">
                  <c:v>6322</c:v>
                </c:pt>
                <c:pt idx="130">
                  <c:v>6880</c:v>
                </c:pt>
                <c:pt idx="131">
                  <c:v>4855</c:v>
                </c:pt>
                <c:pt idx="132">
                  <c:v>6067</c:v>
                </c:pt>
                <c:pt idx="133">
                  <c:v>5848</c:v>
                </c:pt>
                <c:pt idx="134">
                  <c:v>3860</c:v>
                </c:pt>
                <c:pt idx="135">
                  <c:v>7454</c:v>
                </c:pt>
                <c:pt idx="136">
                  <c:v>8326</c:v>
                </c:pt>
                <c:pt idx="137">
                  <c:v>5531</c:v>
                </c:pt>
                <c:pt idx="138">
                  <c:v>3618</c:v>
                </c:pt>
                <c:pt idx="139">
                  <c:v>4079</c:v>
                </c:pt>
                <c:pt idx="140">
                  <c:v>5556</c:v>
                </c:pt>
                <c:pt idx="141">
                  <c:v>5049</c:v>
                </c:pt>
                <c:pt idx="142">
                  <c:v>5223</c:v>
                </c:pt>
                <c:pt idx="143">
                  <c:v>5484</c:v>
                </c:pt>
                <c:pt idx="144">
                  <c:v>5949</c:v>
                </c:pt>
                <c:pt idx="145">
                  <c:v>5402</c:v>
                </c:pt>
                <c:pt idx="146">
                  <c:v>11610</c:v>
                </c:pt>
                <c:pt idx="147">
                  <c:v>3193</c:v>
                </c:pt>
                <c:pt idx="148">
                  <c:v>3767</c:v>
                </c:pt>
                <c:pt idx="149">
                  <c:v>3543</c:v>
                </c:pt>
                <c:pt idx="150">
                  <c:v>4210</c:v>
                </c:pt>
                <c:pt idx="151">
                  <c:v>6988</c:v>
                </c:pt>
                <c:pt idx="152">
                  <c:v>5887</c:v>
                </c:pt>
                <c:pt idx="153">
                  <c:v>4787</c:v>
                </c:pt>
                <c:pt idx="154">
                  <c:v>6780</c:v>
                </c:pt>
                <c:pt idx="155">
                  <c:v>5240</c:v>
                </c:pt>
                <c:pt idx="156">
                  <c:v>2447</c:v>
                </c:pt>
                <c:pt idx="157">
                  <c:v>2872</c:v>
                </c:pt>
                <c:pt idx="158">
                  <c:v>5021</c:v>
                </c:pt>
                <c:pt idx="159">
                  <c:v>6718</c:v>
                </c:pt>
                <c:pt idx="160">
                  <c:v>5288</c:v>
                </c:pt>
                <c:pt idx="161">
                  <c:v>9533</c:v>
                </c:pt>
                <c:pt idx="162">
                  <c:v>4879</c:v>
                </c:pt>
                <c:pt idx="163">
                  <c:v>3494</c:v>
                </c:pt>
                <c:pt idx="164">
                  <c:v>10162</c:v>
                </c:pt>
                <c:pt idx="165">
                  <c:v>6928</c:v>
                </c:pt>
                <c:pt idx="166">
                  <c:v>8451</c:v>
                </c:pt>
                <c:pt idx="167">
                  <c:v>7897</c:v>
                </c:pt>
                <c:pt idx="168">
                  <c:v>7115</c:v>
                </c:pt>
                <c:pt idx="169">
                  <c:v>5414</c:v>
                </c:pt>
                <c:pt idx="170">
                  <c:v>7064</c:v>
                </c:pt>
                <c:pt idx="171">
                  <c:v>4715</c:v>
                </c:pt>
                <c:pt idx="172">
                  <c:v>10288</c:v>
                </c:pt>
                <c:pt idx="173">
                  <c:v>8112</c:v>
                </c:pt>
                <c:pt idx="174">
                  <c:v>6225</c:v>
                </c:pt>
                <c:pt idx="175">
                  <c:v>12076</c:v>
                </c:pt>
                <c:pt idx="176">
                  <c:v>6240</c:v>
                </c:pt>
                <c:pt idx="177">
                  <c:v>5995</c:v>
                </c:pt>
                <c:pt idx="178">
                  <c:v>5264</c:v>
                </c:pt>
                <c:pt idx="179">
                  <c:v>7459</c:v>
                </c:pt>
                <c:pt idx="180">
                  <c:v>5525</c:v>
                </c:pt>
                <c:pt idx="181">
                  <c:v>6035</c:v>
                </c:pt>
                <c:pt idx="182">
                  <c:v>5837</c:v>
                </c:pt>
                <c:pt idx="183">
                  <c:v>12225</c:v>
                </c:pt>
                <c:pt idx="184">
                  <c:v>7557</c:v>
                </c:pt>
                <c:pt idx="185">
                  <c:v>8432</c:v>
                </c:pt>
                <c:pt idx="186">
                  <c:v>11015</c:v>
                </c:pt>
                <c:pt idx="187">
                  <c:v>10526</c:v>
                </c:pt>
                <c:pt idx="188">
                  <c:v>14508</c:v>
                </c:pt>
                <c:pt idx="189">
                  <c:v>6832</c:v>
                </c:pt>
                <c:pt idx="190">
                  <c:v>8426</c:v>
                </c:pt>
                <c:pt idx="191">
                  <c:v>8264</c:v>
                </c:pt>
                <c:pt idx="192">
                  <c:v>7141</c:v>
                </c:pt>
                <c:pt idx="193">
                  <c:v>8361</c:v>
                </c:pt>
                <c:pt idx="194">
                  <c:v>6464</c:v>
                </c:pt>
                <c:pt idx="195">
                  <c:v>6914</c:v>
                </c:pt>
                <c:pt idx="196">
                  <c:v>6482</c:v>
                </c:pt>
                <c:pt idx="197">
                  <c:v>6935</c:v>
                </c:pt>
                <c:pt idx="198">
                  <c:v>6002</c:v>
                </c:pt>
                <c:pt idx="199">
                  <c:v>7384</c:v>
                </c:pt>
                <c:pt idx="200">
                  <c:v>7220</c:v>
                </c:pt>
                <c:pt idx="201">
                  <c:v>10674</c:v>
                </c:pt>
                <c:pt idx="202">
                  <c:v>7395</c:v>
                </c:pt>
                <c:pt idx="203">
                  <c:v>5760</c:v>
                </c:pt>
                <c:pt idx="204">
                  <c:v>9804</c:v>
                </c:pt>
                <c:pt idx="205">
                  <c:v>10844</c:v>
                </c:pt>
                <c:pt idx="206">
                  <c:v>7108</c:v>
                </c:pt>
                <c:pt idx="207">
                  <c:v>5503</c:v>
                </c:pt>
                <c:pt idx="208">
                  <c:v>7829</c:v>
                </c:pt>
                <c:pt idx="209">
                  <c:v>6731</c:v>
                </c:pt>
                <c:pt idx="210">
                  <c:v>6215</c:v>
                </c:pt>
                <c:pt idx="211">
                  <c:v>862</c:v>
                </c:pt>
                <c:pt idx="212">
                  <c:v>947</c:v>
                </c:pt>
                <c:pt idx="213">
                  <c:v>4682</c:v>
                </c:pt>
                <c:pt idx="214">
                  <c:v>5090</c:v>
                </c:pt>
                <c:pt idx="215">
                  <c:v>5233</c:v>
                </c:pt>
                <c:pt idx="216">
                  <c:v>3675</c:v>
                </c:pt>
                <c:pt idx="217">
                  <c:v>3409</c:v>
                </c:pt>
                <c:pt idx="218">
                  <c:v>4934</c:v>
                </c:pt>
                <c:pt idx="219">
                  <c:v>5656</c:v>
                </c:pt>
                <c:pt idx="220">
                  <c:v>5017</c:v>
                </c:pt>
                <c:pt idx="221">
                  <c:v>4080</c:v>
                </c:pt>
                <c:pt idx="222">
                  <c:v>6157</c:v>
                </c:pt>
                <c:pt idx="223">
                  <c:v>4797</c:v>
                </c:pt>
                <c:pt idx="224">
                  <c:v>3484</c:v>
                </c:pt>
                <c:pt idx="225">
                  <c:v>3262</c:v>
                </c:pt>
                <c:pt idx="226">
                  <c:v>2770</c:v>
                </c:pt>
                <c:pt idx="227">
                  <c:v>5237</c:v>
                </c:pt>
                <c:pt idx="228">
                  <c:v>5011</c:v>
                </c:pt>
                <c:pt idx="229">
                  <c:v>5346</c:v>
                </c:pt>
                <c:pt idx="230">
                  <c:v>5991</c:v>
                </c:pt>
                <c:pt idx="231">
                  <c:v>2849</c:v>
                </c:pt>
                <c:pt idx="232">
                  <c:v>4981</c:v>
                </c:pt>
                <c:pt idx="233">
                  <c:v>3809</c:v>
                </c:pt>
                <c:pt idx="234">
                  <c:v>1294</c:v>
                </c:pt>
                <c:pt idx="235">
                  <c:v>1766</c:v>
                </c:pt>
                <c:pt idx="236">
                  <c:v>2319</c:v>
                </c:pt>
                <c:pt idx="237">
                  <c:v>4067</c:v>
                </c:pt>
                <c:pt idx="238">
                  <c:v>4017</c:v>
                </c:pt>
                <c:pt idx="239">
                  <c:v>5429</c:v>
                </c:pt>
                <c:pt idx="240">
                  <c:v>3500</c:v>
                </c:pt>
                <c:pt idx="241">
                  <c:v>5385</c:v>
                </c:pt>
                <c:pt idx="242">
                  <c:v>6086</c:v>
                </c:pt>
                <c:pt idx="243">
                  <c:v>3867</c:v>
                </c:pt>
              </c:numCache>
            </c:numRef>
          </c:val>
        </c:ser>
        <c:axId val="134318336"/>
        <c:axId val="134328320"/>
      </c:barChart>
      <c:lineChart>
        <c:grouping val="standard"/>
        <c:ser>
          <c:idx val="0"/>
          <c:order val="1"/>
          <c:tx>
            <c:strRef>
              <c:f>'[1]FCPO 5d-Volatility'!$C$1</c:f>
              <c:strCache>
                <c:ptCount val="1"/>
                <c:pt idx="0">
                  <c:v>FCPO VOLATILITY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'[1]FCPO 5d-Volatility'!$A$5442:$A$5685</c:f>
              <c:numCache>
                <c:formatCode>General</c:formatCode>
                <c:ptCount val="244"/>
                <c:pt idx="0">
                  <c:v>37638</c:v>
                </c:pt>
                <c:pt idx="1">
                  <c:v>37641</c:v>
                </c:pt>
                <c:pt idx="2">
                  <c:v>37642</c:v>
                </c:pt>
                <c:pt idx="3">
                  <c:v>37643</c:v>
                </c:pt>
                <c:pt idx="4">
                  <c:v>37644</c:v>
                </c:pt>
                <c:pt idx="5">
                  <c:v>37645</c:v>
                </c:pt>
                <c:pt idx="6">
                  <c:v>37648</c:v>
                </c:pt>
                <c:pt idx="7">
                  <c:v>37649</c:v>
                </c:pt>
                <c:pt idx="8">
                  <c:v>37650</c:v>
                </c:pt>
                <c:pt idx="9">
                  <c:v>37651</c:v>
                </c:pt>
                <c:pt idx="10">
                  <c:v>37657</c:v>
                </c:pt>
                <c:pt idx="11">
                  <c:v>37658</c:v>
                </c:pt>
                <c:pt idx="12">
                  <c:v>37659</c:v>
                </c:pt>
                <c:pt idx="13">
                  <c:v>37662</c:v>
                </c:pt>
                <c:pt idx="14">
                  <c:v>37663</c:v>
                </c:pt>
                <c:pt idx="15">
                  <c:v>37665</c:v>
                </c:pt>
                <c:pt idx="16">
                  <c:v>37666</c:v>
                </c:pt>
                <c:pt idx="17">
                  <c:v>37669</c:v>
                </c:pt>
                <c:pt idx="18">
                  <c:v>37670</c:v>
                </c:pt>
                <c:pt idx="19">
                  <c:v>37671</c:v>
                </c:pt>
                <c:pt idx="20">
                  <c:v>37672</c:v>
                </c:pt>
                <c:pt idx="21">
                  <c:v>37673</c:v>
                </c:pt>
                <c:pt idx="22">
                  <c:v>37676</c:v>
                </c:pt>
                <c:pt idx="23">
                  <c:v>37677</c:v>
                </c:pt>
                <c:pt idx="24">
                  <c:v>37678</c:v>
                </c:pt>
                <c:pt idx="25">
                  <c:v>37679</c:v>
                </c:pt>
                <c:pt idx="26">
                  <c:v>37680</c:v>
                </c:pt>
                <c:pt idx="27">
                  <c:v>37683</c:v>
                </c:pt>
                <c:pt idx="28">
                  <c:v>37685</c:v>
                </c:pt>
                <c:pt idx="29">
                  <c:v>37686</c:v>
                </c:pt>
                <c:pt idx="30">
                  <c:v>37687</c:v>
                </c:pt>
                <c:pt idx="31">
                  <c:v>37690</c:v>
                </c:pt>
                <c:pt idx="32">
                  <c:v>37691</c:v>
                </c:pt>
                <c:pt idx="33">
                  <c:v>37692</c:v>
                </c:pt>
                <c:pt idx="34">
                  <c:v>37693</c:v>
                </c:pt>
                <c:pt idx="35">
                  <c:v>37694</c:v>
                </c:pt>
                <c:pt idx="36">
                  <c:v>37697</c:v>
                </c:pt>
                <c:pt idx="37">
                  <c:v>37698</c:v>
                </c:pt>
                <c:pt idx="38">
                  <c:v>37699</c:v>
                </c:pt>
                <c:pt idx="39">
                  <c:v>37700</c:v>
                </c:pt>
                <c:pt idx="40">
                  <c:v>37701</c:v>
                </c:pt>
                <c:pt idx="41">
                  <c:v>37704</c:v>
                </c:pt>
                <c:pt idx="42">
                  <c:v>37705</c:v>
                </c:pt>
                <c:pt idx="43">
                  <c:v>37706</c:v>
                </c:pt>
                <c:pt idx="44">
                  <c:v>37707</c:v>
                </c:pt>
                <c:pt idx="45">
                  <c:v>37708</c:v>
                </c:pt>
                <c:pt idx="46">
                  <c:v>37711</c:v>
                </c:pt>
                <c:pt idx="47">
                  <c:v>37712</c:v>
                </c:pt>
                <c:pt idx="48">
                  <c:v>37713</c:v>
                </c:pt>
                <c:pt idx="49">
                  <c:v>37714</c:v>
                </c:pt>
                <c:pt idx="50">
                  <c:v>37715</c:v>
                </c:pt>
                <c:pt idx="51">
                  <c:v>37718</c:v>
                </c:pt>
                <c:pt idx="52">
                  <c:v>37719</c:v>
                </c:pt>
                <c:pt idx="53">
                  <c:v>37720</c:v>
                </c:pt>
                <c:pt idx="54">
                  <c:v>37721</c:v>
                </c:pt>
                <c:pt idx="55">
                  <c:v>37722</c:v>
                </c:pt>
                <c:pt idx="56">
                  <c:v>37725</c:v>
                </c:pt>
                <c:pt idx="57">
                  <c:v>37726</c:v>
                </c:pt>
                <c:pt idx="58">
                  <c:v>37727</c:v>
                </c:pt>
                <c:pt idx="59">
                  <c:v>37728</c:v>
                </c:pt>
                <c:pt idx="60">
                  <c:v>37729</c:v>
                </c:pt>
                <c:pt idx="61">
                  <c:v>37732</c:v>
                </c:pt>
                <c:pt idx="62">
                  <c:v>37733</c:v>
                </c:pt>
                <c:pt idx="63">
                  <c:v>37734</c:v>
                </c:pt>
                <c:pt idx="64">
                  <c:v>37735</c:v>
                </c:pt>
                <c:pt idx="65">
                  <c:v>37736</c:v>
                </c:pt>
                <c:pt idx="66">
                  <c:v>37739</c:v>
                </c:pt>
                <c:pt idx="67">
                  <c:v>37740</c:v>
                </c:pt>
                <c:pt idx="68">
                  <c:v>37741</c:v>
                </c:pt>
                <c:pt idx="69">
                  <c:v>37743</c:v>
                </c:pt>
                <c:pt idx="70">
                  <c:v>37746</c:v>
                </c:pt>
                <c:pt idx="71">
                  <c:v>37747</c:v>
                </c:pt>
                <c:pt idx="72">
                  <c:v>37748</c:v>
                </c:pt>
                <c:pt idx="73">
                  <c:v>37749</c:v>
                </c:pt>
                <c:pt idx="74">
                  <c:v>37750</c:v>
                </c:pt>
                <c:pt idx="75">
                  <c:v>37753</c:v>
                </c:pt>
                <c:pt idx="76">
                  <c:v>37754</c:v>
                </c:pt>
                <c:pt idx="77">
                  <c:v>37757</c:v>
                </c:pt>
                <c:pt idx="78">
                  <c:v>37760</c:v>
                </c:pt>
                <c:pt idx="79">
                  <c:v>37761</c:v>
                </c:pt>
                <c:pt idx="80">
                  <c:v>37762</c:v>
                </c:pt>
                <c:pt idx="81">
                  <c:v>37763</c:v>
                </c:pt>
                <c:pt idx="82">
                  <c:v>37764</c:v>
                </c:pt>
                <c:pt idx="83">
                  <c:v>37767</c:v>
                </c:pt>
                <c:pt idx="84">
                  <c:v>37768</c:v>
                </c:pt>
                <c:pt idx="85">
                  <c:v>37769</c:v>
                </c:pt>
                <c:pt idx="86">
                  <c:v>37770</c:v>
                </c:pt>
                <c:pt idx="87">
                  <c:v>37771</c:v>
                </c:pt>
                <c:pt idx="88">
                  <c:v>37774</c:v>
                </c:pt>
                <c:pt idx="89">
                  <c:v>37775</c:v>
                </c:pt>
                <c:pt idx="90">
                  <c:v>37776</c:v>
                </c:pt>
                <c:pt idx="91">
                  <c:v>37777</c:v>
                </c:pt>
                <c:pt idx="92">
                  <c:v>37778</c:v>
                </c:pt>
                <c:pt idx="93">
                  <c:v>37781</c:v>
                </c:pt>
                <c:pt idx="94">
                  <c:v>37782</c:v>
                </c:pt>
                <c:pt idx="95">
                  <c:v>37783</c:v>
                </c:pt>
                <c:pt idx="96">
                  <c:v>37784</c:v>
                </c:pt>
                <c:pt idx="97">
                  <c:v>37785</c:v>
                </c:pt>
                <c:pt idx="98">
                  <c:v>37788</c:v>
                </c:pt>
                <c:pt idx="99">
                  <c:v>37789</c:v>
                </c:pt>
                <c:pt idx="100">
                  <c:v>37790</c:v>
                </c:pt>
                <c:pt idx="101">
                  <c:v>37791</c:v>
                </c:pt>
                <c:pt idx="102">
                  <c:v>37792</c:v>
                </c:pt>
                <c:pt idx="103">
                  <c:v>37795</c:v>
                </c:pt>
                <c:pt idx="104">
                  <c:v>37796</c:v>
                </c:pt>
                <c:pt idx="105">
                  <c:v>37797</c:v>
                </c:pt>
                <c:pt idx="106">
                  <c:v>37798</c:v>
                </c:pt>
                <c:pt idx="107">
                  <c:v>37799</c:v>
                </c:pt>
                <c:pt idx="108">
                  <c:v>37802</c:v>
                </c:pt>
                <c:pt idx="109">
                  <c:v>37803</c:v>
                </c:pt>
                <c:pt idx="110">
                  <c:v>37804</c:v>
                </c:pt>
                <c:pt idx="111">
                  <c:v>37805</c:v>
                </c:pt>
                <c:pt idx="112">
                  <c:v>37806</c:v>
                </c:pt>
                <c:pt idx="113">
                  <c:v>37809</c:v>
                </c:pt>
                <c:pt idx="114">
                  <c:v>37810</c:v>
                </c:pt>
                <c:pt idx="115">
                  <c:v>37811</c:v>
                </c:pt>
                <c:pt idx="116">
                  <c:v>37812</c:v>
                </c:pt>
                <c:pt idx="117">
                  <c:v>37813</c:v>
                </c:pt>
                <c:pt idx="118">
                  <c:v>37816</c:v>
                </c:pt>
                <c:pt idx="119">
                  <c:v>37817</c:v>
                </c:pt>
                <c:pt idx="120">
                  <c:v>37818</c:v>
                </c:pt>
                <c:pt idx="121">
                  <c:v>37819</c:v>
                </c:pt>
                <c:pt idx="122">
                  <c:v>37820</c:v>
                </c:pt>
                <c:pt idx="123">
                  <c:v>37823</c:v>
                </c:pt>
                <c:pt idx="124">
                  <c:v>37824</c:v>
                </c:pt>
                <c:pt idx="125">
                  <c:v>37825</c:v>
                </c:pt>
                <c:pt idx="126">
                  <c:v>37826</c:v>
                </c:pt>
                <c:pt idx="127">
                  <c:v>37827</c:v>
                </c:pt>
                <c:pt idx="128">
                  <c:v>37830</c:v>
                </c:pt>
                <c:pt idx="129">
                  <c:v>37831</c:v>
                </c:pt>
                <c:pt idx="130">
                  <c:v>37832</c:v>
                </c:pt>
                <c:pt idx="131">
                  <c:v>37833</c:v>
                </c:pt>
                <c:pt idx="132">
                  <c:v>37834</c:v>
                </c:pt>
                <c:pt idx="133">
                  <c:v>37837</c:v>
                </c:pt>
                <c:pt idx="134">
                  <c:v>37838</c:v>
                </c:pt>
                <c:pt idx="135">
                  <c:v>37839</c:v>
                </c:pt>
                <c:pt idx="136">
                  <c:v>37840</c:v>
                </c:pt>
                <c:pt idx="137">
                  <c:v>37841</c:v>
                </c:pt>
                <c:pt idx="138">
                  <c:v>37844</c:v>
                </c:pt>
                <c:pt idx="139">
                  <c:v>37845</c:v>
                </c:pt>
                <c:pt idx="140">
                  <c:v>37846</c:v>
                </c:pt>
                <c:pt idx="141">
                  <c:v>37847</c:v>
                </c:pt>
                <c:pt idx="142">
                  <c:v>37848</c:v>
                </c:pt>
                <c:pt idx="143">
                  <c:v>37851</c:v>
                </c:pt>
                <c:pt idx="144">
                  <c:v>37852</c:v>
                </c:pt>
                <c:pt idx="145">
                  <c:v>37853</c:v>
                </c:pt>
                <c:pt idx="146">
                  <c:v>37854</c:v>
                </c:pt>
                <c:pt idx="147">
                  <c:v>37855</c:v>
                </c:pt>
                <c:pt idx="148">
                  <c:v>37858</c:v>
                </c:pt>
                <c:pt idx="149">
                  <c:v>37859</c:v>
                </c:pt>
                <c:pt idx="150">
                  <c:v>37860</c:v>
                </c:pt>
                <c:pt idx="151">
                  <c:v>37861</c:v>
                </c:pt>
                <c:pt idx="152">
                  <c:v>37862</c:v>
                </c:pt>
                <c:pt idx="153">
                  <c:v>37866</c:v>
                </c:pt>
                <c:pt idx="154">
                  <c:v>37867</c:v>
                </c:pt>
                <c:pt idx="155">
                  <c:v>37868</c:v>
                </c:pt>
                <c:pt idx="156">
                  <c:v>37869</c:v>
                </c:pt>
                <c:pt idx="157">
                  <c:v>37872</c:v>
                </c:pt>
                <c:pt idx="158">
                  <c:v>37873</c:v>
                </c:pt>
                <c:pt idx="159">
                  <c:v>37874</c:v>
                </c:pt>
                <c:pt idx="160">
                  <c:v>37875</c:v>
                </c:pt>
                <c:pt idx="161">
                  <c:v>37876</c:v>
                </c:pt>
                <c:pt idx="162">
                  <c:v>37879</c:v>
                </c:pt>
                <c:pt idx="163">
                  <c:v>37880</c:v>
                </c:pt>
                <c:pt idx="164">
                  <c:v>37881</c:v>
                </c:pt>
                <c:pt idx="165">
                  <c:v>37882</c:v>
                </c:pt>
                <c:pt idx="166">
                  <c:v>37883</c:v>
                </c:pt>
                <c:pt idx="167">
                  <c:v>37886</c:v>
                </c:pt>
                <c:pt idx="168">
                  <c:v>37887</c:v>
                </c:pt>
                <c:pt idx="169">
                  <c:v>37888</c:v>
                </c:pt>
                <c:pt idx="170">
                  <c:v>37889</c:v>
                </c:pt>
                <c:pt idx="171">
                  <c:v>37890</c:v>
                </c:pt>
                <c:pt idx="172">
                  <c:v>37893</c:v>
                </c:pt>
                <c:pt idx="173">
                  <c:v>37894</c:v>
                </c:pt>
                <c:pt idx="174">
                  <c:v>37895</c:v>
                </c:pt>
                <c:pt idx="175">
                  <c:v>37896</c:v>
                </c:pt>
                <c:pt idx="176">
                  <c:v>37897</c:v>
                </c:pt>
                <c:pt idx="177">
                  <c:v>37900</c:v>
                </c:pt>
                <c:pt idx="178">
                  <c:v>37901</c:v>
                </c:pt>
                <c:pt idx="179">
                  <c:v>37902</c:v>
                </c:pt>
                <c:pt idx="180">
                  <c:v>37903</c:v>
                </c:pt>
                <c:pt idx="181">
                  <c:v>37904</c:v>
                </c:pt>
                <c:pt idx="182">
                  <c:v>37907</c:v>
                </c:pt>
                <c:pt idx="183">
                  <c:v>37908</c:v>
                </c:pt>
                <c:pt idx="184">
                  <c:v>37909</c:v>
                </c:pt>
                <c:pt idx="185">
                  <c:v>37910</c:v>
                </c:pt>
                <c:pt idx="186">
                  <c:v>37911</c:v>
                </c:pt>
                <c:pt idx="187">
                  <c:v>37914</c:v>
                </c:pt>
                <c:pt idx="188">
                  <c:v>37915</c:v>
                </c:pt>
                <c:pt idx="189">
                  <c:v>37916</c:v>
                </c:pt>
                <c:pt idx="190">
                  <c:v>37917</c:v>
                </c:pt>
                <c:pt idx="191">
                  <c:v>37921</c:v>
                </c:pt>
                <c:pt idx="192">
                  <c:v>37922</c:v>
                </c:pt>
                <c:pt idx="193">
                  <c:v>37923</c:v>
                </c:pt>
                <c:pt idx="194">
                  <c:v>37924</c:v>
                </c:pt>
                <c:pt idx="195">
                  <c:v>37925</c:v>
                </c:pt>
                <c:pt idx="196">
                  <c:v>37928</c:v>
                </c:pt>
                <c:pt idx="197">
                  <c:v>37929</c:v>
                </c:pt>
                <c:pt idx="198">
                  <c:v>37930</c:v>
                </c:pt>
                <c:pt idx="199">
                  <c:v>37931</c:v>
                </c:pt>
                <c:pt idx="200">
                  <c:v>37932</c:v>
                </c:pt>
                <c:pt idx="201">
                  <c:v>37935</c:v>
                </c:pt>
                <c:pt idx="202">
                  <c:v>37936</c:v>
                </c:pt>
                <c:pt idx="203">
                  <c:v>37937</c:v>
                </c:pt>
                <c:pt idx="204">
                  <c:v>37938</c:v>
                </c:pt>
                <c:pt idx="205">
                  <c:v>37939</c:v>
                </c:pt>
                <c:pt idx="206">
                  <c:v>37942</c:v>
                </c:pt>
                <c:pt idx="207">
                  <c:v>37943</c:v>
                </c:pt>
                <c:pt idx="208">
                  <c:v>37944</c:v>
                </c:pt>
                <c:pt idx="209">
                  <c:v>37945</c:v>
                </c:pt>
                <c:pt idx="210">
                  <c:v>37946</c:v>
                </c:pt>
                <c:pt idx="211">
                  <c:v>37952</c:v>
                </c:pt>
                <c:pt idx="212">
                  <c:v>37953</c:v>
                </c:pt>
                <c:pt idx="213">
                  <c:v>37956</c:v>
                </c:pt>
                <c:pt idx="214">
                  <c:v>37957</c:v>
                </c:pt>
                <c:pt idx="215">
                  <c:v>37958</c:v>
                </c:pt>
                <c:pt idx="216">
                  <c:v>37959</c:v>
                </c:pt>
                <c:pt idx="217">
                  <c:v>37960</c:v>
                </c:pt>
                <c:pt idx="218">
                  <c:v>37963</c:v>
                </c:pt>
                <c:pt idx="219">
                  <c:v>37964</c:v>
                </c:pt>
                <c:pt idx="220">
                  <c:v>37965</c:v>
                </c:pt>
                <c:pt idx="221">
                  <c:v>37966</c:v>
                </c:pt>
                <c:pt idx="222">
                  <c:v>37967</c:v>
                </c:pt>
                <c:pt idx="223">
                  <c:v>37970</c:v>
                </c:pt>
                <c:pt idx="224">
                  <c:v>37971</c:v>
                </c:pt>
                <c:pt idx="225">
                  <c:v>37972</c:v>
                </c:pt>
                <c:pt idx="226">
                  <c:v>37973</c:v>
                </c:pt>
                <c:pt idx="227">
                  <c:v>37974</c:v>
                </c:pt>
                <c:pt idx="228">
                  <c:v>37977</c:v>
                </c:pt>
                <c:pt idx="229">
                  <c:v>37978</c:v>
                </c:pt>
                <c:pt idx="230">
                  <c:v>37979</c:v>
                </c:pt>
                <c:pt idx="231">
                  <c:v>37981</c:v>
                </c:pt>
                <c:pt idx="232">
                  <c:v>37984</c:v>
                </c:pt>
                <c:pt idx="233">
                  <c:v>37985</c:v>
                </c:pt>
                <c:pt idx="234">
                  <c:v>37986</c:v>
                </c:pt>
                <c:pt idx="235">
                  <c:v>37988</c:v>
                </c:pt>
                <c:pt idx="236">
                  <c:v>37991</c:v>
                </c:pt>
                <c:pt idx="237">
                  <c:v>37992</c:v>
                </c:pt>
                <c:pt idx="238">
                  <c:v>37993</c:v>
                </c:pt>
                <c:pt idx="239">
                  <c:v>37994</c:v>
                </c:pt>
                <c:pt idx="240">
                  <c:v>37995</c:v>
                </c:pt>
                <c:pt idx="241">
                  <c:v>37998</c:v>
                </c:pt>
                <c:pt idx="242">
                  <c:v>37999</c:v>
                </c:pt>
                <c:pt idx="243">
                  <c:v>38000</c:v>
                </c:pt>
              </c:numCache>
            </c:numRef>
          </c:cat>
          <c:val>
            <c:numRef>
              <c:f>'[1]FCPO 5d-Volatility'!$C$5442:$C$5685</c:f>
              <c:numCache>
                <c:formatCode>General</c:formatCode>
                <c:ptCount val="244"/>
                <c:pt idx="0">
                  <c:v>0.18951640307787213</c:v>
                </c:pt>
                <c:pt idx="1">
                  <c:v>0.19309126973299021</c:v>
                </c:pt>
                <c:pt idx="2">
                  <c:v>0.15952360059206078</c:v>
                </c:pt>
                <c:pt idx="3">
                  <c:v>0.14620644257464877</c:v>
                </c:pt>
                <c:pt idx="4">
                  <c:v>0.18798245027654506</c:v>
                </c:pt>
                <c:pt idx="5">
                  <c:v>0.18793501353938499</c:v>
                </c:pt>
                <c:pt idx="6">
                  <c:v>0.15033291484599715</c:v>
                </c:pt>
                <c:pt idx="7">
                  <c:v>0.13057578594586883</c:v>
                </c:pt>
                <c:pt idx="8">
                  <c:v>0.15588437267953276</c:v>
                </c:pt>
                <c:pt idx="9">
                  <c:v>0.10032461978318807</c:v>
                </c:pt>
                <c:pt idx="10">
                  <c:v>0.10037460535604968</c:v>
                </c:pt>
                <c:pt idx="11">
                  <c:v>0.11277437944145459</c:v>
                </c:pt>
                <c:pt idx="12">
                  <c:v>0.11177285014893949</c:v>
                </c:pt>
                <c:pt idx="13">
                  <c:v>0.10568822284515512</c:v>
                </c:pt>
                <c:pt idx="14">
                  <c:v>9.8887711498950343E-2</c:v>
                </c:pt>
                <c:pt idx="15">
                  <c:v>9.1225760623728031E-2</c:v>
                </c:pt>
                <c:pt idx="16">
                  <c:v>8.0385565907598572E-2</c:v>
                </c:pt>
                <c:pt idx="17">
                  <c:v>6.3309617114908054E-2</c:v>
                </c:pt>
                <c:pt idx="18">
                  <c:v>7.3261193097808611E-2</c:v>
                </c:pt>
                <c:pt idx="19">
                  <c:v>7.4234080687509307E-2</c:v>
                </c:pt>
                <c:pt idx="20">
                  <c:v>4.3531422068182252E-2</c:v>
                </c:pt>
                <c:pt idx="21">
                  <c:v>4.2653602484999914E-2</c:v>
                </c:pt>
                <c:pt idx="22">
                  <c:v>4.4428905819086838E-2</c:v>
                </c:pt>
                <c:pt idx="23">
                  <c:v>6.1526020938139601E-2</c:v>
                </c:pt>
                <c:pt idx="24">
                  <c:v>6.1554382420515856E-2</c:v>
                </c:pt>
                <c:pt idx="25">
                  <c:v>6.2183522778376826E-2</c:v>
                </c:pt>
                <c:pt idx="26">
                  <c:v>7.0512729166735649E-2</c:v>
                </c:pt>
                <c:pt idx="27">
                  <c:v>7.6816910722729545E-2</c:v>
                </c:pt>
                <c:pt idx="28">
                  <c:v>0.2677586752400839</c:v>
                </c:pt>
                <c:pt idx="29">
                  <c:v>0.27746088726410179</c:v>
                </c:pt>
                <c:pt idx="30">
                  <c:v>0.28279459047559868</c:v>
                </c:pt>
                <c:pt idx="31">
                  <c:v>0.29834171154953482</c:v>
                </c:pt>
                <c:pt idx="32">
                  <c:v>0.3036273812016077</c:v>
                </c:pt>
                <c:pt idx="33">
                  <c:v>0.21834069853958915</c:v>
                </c:pt>
                <c:pt idx="34">
                  <c:v>0.20643131294227382</c:v>
                </c:pt>
                <c:pt idx="35">
                  <c:v>0.22402155317841069</c:v>
                </c:pt>
                <c:pt idx="36">
                  <c:v>0.17678102314240104</c:v>
                </c:pt>
                <c:pt idx="37">
                  <c:v>0.17473047848722981</c:v>
                </c:pt>
                <c:pt idx="38">
                  <c:v>0.14053251212760154</c:v>
                </c:pt>
                <c:pt idx="39">
                  <c:v>0.19533349964710897</c:v>
                </c:pt>
                <c:pt idx="40">
                  <c:v>0.18733923174115261</c:v>
                </c:pt>
                <c:pt idx="41">
                  <c:v>0.22968423466795865</c:v>
                </c:pt>
                <c:pt idx="42">
                  <c:v>0.22934765186197675</c:v>
                </c:pt>
                <c:pt idx="43">
                  <c:v>0.2678691482892574</c:v>
                </c:pt>
                <c:pt idx="44">
                  <c:v>0.37594604588736935</c:v>
                </c:pt>
                <c:pt idx="45">
                  <c:v>0.37534424828915819</c:v>
                </c:pt>
                <c:pt idx="46">
                  <c:v>0.34272458857934934</c:v>
                </c:pt>
                <c:pt idx="47">
                  <c:v>0.29718388143044838</c:v>
                </c:pt>
                <c:pt idx="48">
                  <c:v>0.30985148572078958</c:v>
                </c:pt>
                <c:pt idx="49">
                  <c:v>0.21356540294405998</c:v>
                </c:pt>
                <c:pt idx="50">
                  <c:v>0.22204617596852841</c:v>
                </c:pt>
                <c:pt idx="51">
                  <c:v>0.19413279750370341</c:v>
                </c:pt>
                <c:pt idx="52">
                  <c:v>0.2991149252801365</c:v>
                </c:pt>
                <c:pt idx="53">
                  <c:v>0.2641036792255318</c:v>
                </c:pt>
                <c:pt idx="54">
                  <c:v>0.26751206273421513</c:v>
                </c:pt>
                <c:pt idx="55">
                  <c:v>0.27859340838308899</c:v>
                </c:pt>
                <c:pt idx="56">
                  <c:v>0.19889965304623738</c:v>
                </c:pt>
                <c:pt idx="57">
                  <c:v>0.16226854628169535</c:v>
                </c:pt>
                <c:pt idx="58">
                  <c:v>0.17081374034685839</c:v>
                </c:pt>
                <c:pt idx="59">
                  <c:v>0.1104822235074526</c:v>
                </c:pt>
                <c:pt idx="60">
                  <c:v>0.13741185994961114</c:v>
                </c:pt>
                <c:pt idx="61">
                  <c:v>0.10523094171119809</c:v>
                </c:pt>
                <c:pt idx="62">
                  <c:v>0.12434727961224941</c:v>
                </c:pt>
                <c:pt idx="63">
                  <c:v>0.16010085664537957</c:v>
                </c:pt>
                <c:pt idx="64">
                  <c:v>0.16111213953467074</c:v>
                </c:pt>
                <c:pt idx="65">
                  <c:v>0.16830625381446315</c:v>
                </c:pt>
                <c:pt idx="66">
                  <c:v>0.19556359879723223</c:v>
                </c:pt>
                <c:pt idx="67">
                  <c:v>0.14512796858647281</c:v>
                </c:pt>
                <c:pt idx="68">
                  <c:v>0.13533689122298281</c:v>
                </c:pt>
                <c:pt idx="69">
                  <c:v>0.14153597668279408</c:v>
                </c:pt>
                <c:pt idx="70">
                  <c:v>0.16598895563176638</c:v>
                </c:pt>
                <c:pt idx="71">
                  <c:v>0.14117391100434701</c:v>
                </c:pt>
                <c:pt idx="72">
                  <c:v>0.15787511037122889</c:v>
                </c:pt>
                <c:pt idx="73">
                  <c:v>0.15597517954094173</c:v>
                </c:pt>
                <c:pt idx="74">
                  <c:v>0.1500337277232251</c:v>
                </c:pt>
                <c:pt idx="75">
                  <c:v>0.16836323750433374</c:v>
                </c:pt>
                <c:pt idx="76">
                  <c:v>0.18590321138799429</c:v>
                </c:pt>
                <c:pt idx="77">
                  <c:v>0.19660246279374885</c:v>
                </c:pt>
                <c:pt idx="78">
                  <c:v>0.2493001186045638</c:v>
                </c:pt>
                <c:pt idx="79">
                  <c:v>0.23907032716287091</c:v>
                </c:pt>
                <c:pt idx="80">
                  <c:v>0.11487342380484192</c:v>
                </c:pt>
                <c:pt idx="81">
                  <c:v>0.1394449611929309</c:v>
                </c:pt>
                <c:pt idx="82">
                  <c:v>0.13621332173412565</c:v>
                </c:pt>
                <c:pt idx="83">
                  <c:v>0.12415260864817312</c:v>
                </c:pt>
                <c:pt idx="84">
                  <c:v>8.3738111087158368E-2</c:v>
                </c:pt>
                <c:pt idx="85">
                  <c:v>0.19949198986615452</c:v>
                </c:pt>
                <c:pt idx="86">
                  <c:v>0.17645245157463713</c:v>
                </c:pt>
                <c:pt idx="87">
                  <c:v>0.18098322294692298</c:v>
                </c:pt>
                <c:pt idx="88">
                  <c:v>0.13815583553763611</c:v>
                </c:pt>
                <c:pt idx="89">
                  <c:v>0.24226139965855448</c:v>
                </c:pt>
                <c:pt idx="90">
                  <c:v>0.23586727551232842</c:v>
                </c:pt>
                <c:pt idx="91">
                  <c:v>0.23591854323618777</c:v>
                </c:pt>
                <c:pt idx="92">
                  <c:v>0.22376989847884612</c:v>
                </c:pt>
                <c:pt idx="93">
                  <c:v>0.23965508864584412</c:v>
                </c:pt>
                <c:pt idx="94">
                  <c:v>0.14519861087188654</c:v>
                </c:pt>
                <c:pt idx="95">
                  <c:v>0.12623950318279661</c:v>
                </c:pt>
                <c:pt idx="96">
                  <c:v>0.12704238964856707</c:v>
                </c:pt>
                <c:pt idx="97">
                  <c:v>8.1474896985225267E-2</c:v>
                </c:pt>
                <c:pt idx="98">
                  <c:v>0.29589750943517446</c:v>
                </c:pt>
                <c:pt idx="99">
                  <c:v>0.29407038887640574</c:v>
                </c:pt>
                <c:pt idx="100">
                  <c:v>0.31210314827256064</c:v>
                </c:pt>
                <c:pt idx="101">
                  <c:v>0.30816508775550361</c:v>
                </c:pt>
                <c:pt idx="102">
                  <c:v>0.30637860110730075</c:v>
                </c:pt>
                <c:pt idx="103">
                  <c:v>0.22119334616596778</c:v>
                </c:pt>
                <c:pt idx="104">
                  <c:v>0.2063830644518623</c:v>
                </c:pt>
                <c:pt idx="105">
                  <c:v>0.1708008988926846</c:v>
                </c:pt>
                <c:pt idx="106">
                  <c:v>0.16206444474591603</c:v>
                </c:pt>
                <c:pt idx="107">
                  <c:v>0.1680638079297844</c:v>
                </c:pt>
                <c:pt idx="108">
                  <c:v>0.11274980440040751</c:v>
                </c:pt>
                <c:pt idx="109">
                  <c:v>9.6917166952564068E-2</c:v>
                </c:pt>
                <c:pt idx="110">
                  <c:v>9.4357218400991871E-2</c:v>
                </c:pt>
                <c:pt idx="111">
                  <c:v>4.4236786393992554E-2</c:v>
                </c:pt>
                <c:pt idx="112">
                  <c:v>4.5331163782573312E-2</c:v>
                </c:pt>
                <c:pt idx="113">
                  <c:v>7.1134689196872603E-2</c:v>
                </c:pt>
                <c:pt idx="114">
                  <c:v>7.1996175612512689E-2</c:v>
                </c:pt>
                <c:pt idx="115">
                  <c:v>9.1780967885673345E-2</c:v>
                </c:pt>
                <c:pt idx="116">
                  <c:v>6.3574429577166081E-2</c:v>
                </c:pt>
                <c:pt idx="117">
                  <c:v>6.3626405423826665E-2</c:v>
                </c:pt>
                <c:pt idx="118">
                  <c:v>7.3899056012972253E-2</c:v>
                </c:pt>
                <c:pt idx="119">
                  <c:v>7.098833806248292E-2</c:v>
                </c:pt>
                <c:pt idx="120">
                  <c:v>0.2911832858107406</c:v>
                </c:pt>
                <c:pt idx="121">
                  <c:v>0.28975205300917817</c:v>
                </c:pt>
                <c:pt idx="122">
                  <c:v>0.3117324985100508</c:v>
                </c:pt>
                <c:pt idx="123">
                  <c:v>0.29445919326019826</c:v>
                </c:pt>
                <c:pt idx="124">
                  <c:v>0.2776984886455704</c:v>
                </c:pt>
                <c:pt idx="125">
                  <c:v>0.23829294643118998</c:v>
                </c:pt>
                <c:pt idx="126">
                  <c:v>0.25190340622413027</c:v>
                </c:pt>
                <c:pt idx="127">
                  <c:v>0.25776641096808534</c:v>
                </c:pt>
                <c:pt idx="128">
                  <c:v>0.27852061937615291</c:v>
                </c:pt>
                <c:pt idx="129">
                  <c:v>0.27921797728075826</c:v>
                </c:pt>
                <c:pt idx="130">
                  <c:v>0.15145343054712107</c:v>
                </c:pt>
                <c:pt idx="131">
                  <c:v>0.15443433078974556</c:v>
                </c:pt>
                <c:pt idx="132">
                  <c:v>0.1563642036581348</c:v>
                </c:pt>
                <c:pt idx="133">
                  <c:v>0.10157937002910503</c:v>
                </c:pt>
                <c:pt idx="134">
                  <c:v>0.11564998981575317</c:v>
                </c:pt>
                <c:pt idx="135">
                  <c:v>0.20268489557030608</c:v>
                </c:pt>
                <c:pt idx="136">
                  <c:v>0.22080576456825751</c:v>
                </c:pt>
                <c:pt idx="137">
                  <c:v>0.17135036906001788</c:v>
                </c:pt>
                <c:pt idx="138">
                  <c:v>0.14497865654989903</c:v>
                </c:pt>
                <c:pt idx="139">
                  <c:v>0.14114713286262648</c:v>
                </c:pt>
                <c:pt idx="140">
                  <c:v>0.11709568683652004</c:v>
                </c:pt>
                <c:pt idx="141">
                  <c:v>0.13154315605904321</c:v>
                </c:pt>
                <c:pt idx="142">
                  <c:v>0.13889829965472442</c:v>
                </c:pt>
                <c:pt idx="143">
                  <c:v>0.14550915538673659</c:v>
                </c:pt>
                <c:pt idx="144">
                  <c:v>0.14021434226589888</c:v>
                </c:pt>
                <c:pt idx="145">
                  <c:v>0.13746405605702985</c:v>
                </c:pt>
                <c:pt idx="146">
                  <c:v>0.17952401560422235</c:v>
                </c:pt>
                <c:pt idx="147">
                  <c:v>0.14132199455381389</c:v>
                </c:pt>
                <c:pt idx="148">
                  <c:v>0.18047644123087855</c:v>
                </c:pt>
                <c:pt idx="149">
                  <c:v>0.18500295799047026</c:v>
                </c:pt>
                <c:pt idx="150">
                  <c:v>0.18591025058171329</c:v>
                </c:pt>
                <c:pt idx="151">
                  <c:v>0.13243728223498588</c:v>
                </c:pt>
                <c:pt idx="152">
                  <c:v>0.12385660233910299</c:v>
                </c:pt>
                <c:pt idx="153">
                  <c:v>0.14145652473208981</c:v>
                </c:pt>
                <c:pt idx="154">
                  <c:v>0.20047951207568643</c:v>
                </c:pt>
                <c:pt idx="155">
                  <c:v>0.19473963309755932</c:v>
                </c:pt>
                <c:pt idx="156">
                  <c:v>0.18513742262777494</c:v>
                </c:pt>
                <c:pt idx="157">
                  <c:v>0.175188139785181</c:v>
                </c:pt>
                <c:pt idx="158">
                  <c:v>0.17815435079712721</c:v>
                </c:pt>
                <c:pt idx="159">
                  <c:v>0.13567682215820984</c:v>
                </c:pt>
                <c:pt idx="160">
                  <c:v>0.13020942082750928</c:v>
                </c:pt>
                <c:pt idx="161">
                  <c:v>0.17136876906412812</c:v>
                </c:pt>
                <c:pt idx="162">
                  <c:v>0.11749666495637406</c:v>
                </c:pt>
                <c:pt idx="163">
                  <c:v>0.10755929308660449</c:v>
                </c:pt>
                <c:pt idx="164">
                  <c:v>0.1403142708422325</c:v>
                </c:pt>
                <c:pt idx="165">
                  <c:v>0.17829711337815682</c:v>
                </c:pt>
                <c:pt idx="166">
                  <c:v>0.2369458611139679</c:v>
                </c:pt>
                <c:pt idx="167">
                  <c:v>0.23186045159310231</c:v>
                </c:pt>
                <c:pt idx="168">
                  <c:v>0.30753911738267137</c:v>
                </c:pt>
                <c:pt idx="169">
                  <c:v>0.28598642879948133</c:v>
                </c:pt>
                <c:pt idx="170">
                  <c:v>0.26987902979084061</c:v>
                </c:pt>
                <c:pt idx="171">
                  <c:v>0.22162315899926602</c:v>
                </c:pt>
                <c:pt idx="172">
                  <c:v>0.33409677284082467</c:v>
                </c:pt>
                <c:pt idx="173">
                  <c:v>0.29882773534088275</c:v>
                </c:pt>
                <c:pt idx="174">
                  <c:v>0.30163405313098213</c:v>
                </c:pt>
                <c:pt idx="175">
                  <c:v>0.3772274588733861</c:v>
                </c:pt>
                <c:pt idx="176">
                  <c:v>0.33115901457385538</c:v>
                </c:pt>
                <c:pt idx="177">
                  <c:v>0.37032043568770695</c:v>
                </c:pt>
                <c:pt idx="178">
                  <c:v>0.3647512956471945</c:v>
                </c:pt>
                <c:pt idx="179">
                  <c:v>0.38104918864651821</c:v>
                </c:pt>
                <c:pt idx="180">
                  <c:v>0.26980414989139706</c:v>
                </c:pt>
                <c:pt idx="181">
                  <c:v>0.27578064016430814</c:v>
                </c:pt>
                <c:pt idx="182">
                  <c:v>0.44580865549162907</c:v>
                </c:pt>
                <c:pt idx="183">
                  <c:v>0.42609165624436857</c:v>
                </c:pt>
                <c:pt idx="184">
                  <c:v>0.45588467451673725</c:v>
                </c:pt>
                <c:pt idx="185">
                  <c:v>0.47863204266451831</c:v>
                </c:pt>
                <c:pt idx="186">
                  <c:v>0.43083346974635867</c:v>
                </c:pt>
                <c:pt idx="187">
                  <c:v>0.2162637641021769</c:v>
                </c:pt>
                <c:pt idx="188">
                  <c:v>0.34241896454034076</c:v>
                </c:pt>
                <c:pt idx="189">
                  <c:v>0.37410859278188835</c:v>
                </c:pt>
                <c:pt idx="190">
                  <c:v>0.47825614928696358</c:v>
                </c:pt>
                <c:pt idx="191">
                  <c:v>0.47429498043033558</c:v>
                </c:pt>
                <c:pt idx="192">
                  <c:v>0.53999629446375808</c:v>
                </c:pt>
                <c:pt idx="193">
                  <c:v>0.43906566286694115</c:v>
                </c:pt>
                <c:pt idx="194">
                  <c:v>0.51785281936798333</c:v>
                </c:pt>
                <c:pt idx="195">
                  <c:v>0.41398230558934046</c:v>
                </c:pt>
                <c:pt idx="196">
                  <c:v>0.44446873635319106</c:v>
                </c:pt>
                <c:pt idx="197">
                  <c:v>0.41190646562737254</c:v>
                </c:pt>
                <c:pt idx="198">
                  <c:v>0.32783988798721442</c:v>
                </c:pt>
                <c:pt idx="199">
                  <c:v>0.32209576337253654</c:v>
                </c:pt>
                <c:pt idx="200">
                  <c:v>0.31370692003658401</c:v>
                </c:pt>
                <c:pt idx="201">
                  <c:v>0.23979271180253542</c:v>
                </c:pt>
                <c:pt idx="202">
                  <c:v>0.51385063493043448</c:v>
                </c:pt>
                <c:pt idx="203">
                  <c:v>0.48320724703856471</c:v>
                </c:pt>
                <c:pt idx="204">
                  <c:v>0.51819170477342136</c:v>
                </c:pt>
                <c:pt idx="205">
                  <c:v>0.59726620868224789</c:v>
                </c:pt>
                <c:pt idx="206">
                  <c:v>0.50774465943652303</c:v>
                </c:pt>
                <c:pt idx="207">
                  <c:v>0.51087417507503152</c:v>
                </c:pt>
                <c:pt idx="208">
                  <c:v>0.55276521009101964</c:v>
                </c:pt>
                <c:pt idx="209">
                  <c:v>0.50760416987398627</c:v>
                </c:pt>
                <c:pt idx="210">
                  <c:v>0.3231756579986298</c:v>
                </c:pt>
                <c:pt idx="211">
                  <c:v>0.28991706399874412</c:v>
                </c:pt>
                <c:pt idx="212">
                  <c:v>0.25437029161886265</c:v>
                </c:pt>
                <c:pt idx="213">
                  <c:v>0.2127701577993073</c:v>
                </c:pt>
                <c:pt idx="214">
                  <c:v>0.25569567617662048</c:v>
                </c:pt>
                <c:pt idx="215">
                  <c:v>0.24276127884138379</c:v>
                </c:pt>
                <c:pt idx="216">
                  <c:v>0.24083030613229861</c:v>
                </c:pt>
                <c:pt idx="217">
                  <c:v>0.23295944358495463</c:v>
                </c:pt>
                <c:pt idx="218">
                  <c:v>0.22361262219176992</c:v>
                </c:pt>
                <c:pt idx="219">
                  <c:v>0.17562350104697153</c:v>
                </c:pt>
                <c:pt idx="220">
                  <c:v>0.18417020640077861</c:v>
                </c:pt>
                <c:pt idx="221">
                  <c:v>0.24784201331526795</c:v>
                </c:pt>
                <c:pt idx="222">
                  <c:v>0.2906062659533824</c:v>
                </c:pt>
                <c:pt idx="223">
                  <c:v>0.27127758218240516</c:v>
                </c:pt>
                <c:pt idx="224">
                  <c:v>0.25443625251455249</c:v>
                </c:pt>
                <c:pt idx="225">
                  <c:v>0.25337097547777054</c:v>
                </c:pt>
                <c:pt idx="226">
                  <c:v>0.23393601360032973</c:v>
                </c:pt>
                <c:pt idx="227">
                  <c:v>0.21501247213966557</c:v>
                </c:pt>
                <c:pt idx="228">
                  <c:v>0.2021658847869765</c:v>
                </c:pt>
                <c:pt idx="229">
                  <c:v>0.19566421409142887</c:v>
                </c:pt>
                <c:pt idx="230">
                  <c:v>0.19800406613837904</c:v>
                </c:pt>
                <c:pt idx="231">
                  <c:v>0.28355873840997953</c:v>
                </c:pt>
                <c:pt idx="232">
                  <c:v>0.36082871306855829</c:v>
                </c:pt>
                <c:pt idx="233">
                  <c:v>0.36706338072872502</c:v>
                </c:pt>
                <c:pt idx="234">
                  <c:v>0.35350236340147517</c:v>
                </c:pt>
                <c:pt idx="235">
                  <c:v>0.33904814830633895</c:v>
                </c:pt>
                <c:pt idx="236">
                  <c:v>0.31443510088370119</c:v>
                </c:pt>
                <c:pt idx="237">
                  <c:v>0.19652162178465396</c:v>
                </c:pt>
                <c:pt idx="238">
                  <c:v>0.16437051666979394</c:v>
                </c:pt>
                <c:pt idx="239">
                  <c:v>0.17650076661809017</c:v>
                </c:pt>
                <c:pt idx="240">
                  <c:v>0.21080645027887515</c:v>
                </c:pt>
                <c:pt idx="241">
                  <c:v>0.24465717169813739</c:v>
                </c:pt>
                <c:pt idx="242">
                  <c:v>0.35420624424818664</c:v>
                </c:pt>
                <c:pt idx="243">
                  <c:v>0.34195608856494208</c:v>
                </c:pt>
              </c:numCache>
            </c:numRef>
          </c:val>
        </c:ser>
        <c:marker val="1"/>
        <c:axId val="134330240"/>
        <c:axId val="134331776"/>
      </c:lineChart>
      <c:catAx>
        <c:axId val="134318336"/>
        <c:scaling>
          <c:orientation val="minMax"/>
        </c:scaling>
        <c:axPos val="b"/>
        <c:numFmt formatCode="dd/mmm/yy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28320"/>
        <c:crosses val="autoZero"/>
        <c:lblAlgn val="ctr"/>
        <c:lblOffset val="100"/>
        <c:tickLblSkip val="8"/>
        <c:tickMarkSkip val="8"/>
      </c:catAx>
      <c:valAx>
        <c:axId val="134328320"/>
        <c:scaling>
          <c:orientation val="minMax"/>
          <c:max val="16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7.1839181257831132E-3"/>
              <c:y val="0.324562793666022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18336"/>
        <c:crosses val="autoZero"/>
        <c:crossBetween val="between"/>
        <c:majorUnit val="2000"/>
      </c:valAx>
      <c:catAx>
        <c:axId val="134330240"/>
        <c:scaling>
          <c:orientation val="minMax"/>
        </c:scaling>
        <c:delete val="1"/>
        <c:axPos val="b"/>
        <c:numFmt formatCode="General" sourceLinked="1"/>
        <c:tickLblPos val="nextTo"/>
        <c:crossAx val="134331776"/>
        <c:crossesAt val="0"/>
        <c:lblAlgn val="ctr"/>
        <c:lblOffset val="100"/>
      </c:catAx>
      <c:valAx>
        <c:axId val="134331776"/>
        <c:scaling>
          <c:orientation val="minMax"/>
          <c:max val="0.70000000000000018"/>
          <c:min val="0"/>
        </c:scaling>
        <c:axPos val="r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Volatility Percentage</a:t>
                </a:r>
              </a:p>
            </c:rich>
          </c:tx>
          <c:layout>
            <c:manualLayout>
              <c:xMode val="edge"/>
              <c:yMode val="edge"/>
              <c:x val="0.96982894698072009"/>
              <c:y val="0.2500010707968013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30240"/>
        <c:crosses val="max"/>
        <c:crossBetween val="between"/>
        <c:majorUnit val="0.1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79368404510714"/>
          <c:y val="0.13596549464387445"/>
          <c:w val="0.23706929815084274"/>
          <c:h val="6.1403771774652956E-2"/>
        </c:manualLayout>
      </c:layout>
      <c:spPr>
        <a:solidFill>
          <a:srgbClr val="E3E3E3"/>
        </a:solidFill>
        <a:ln w="25400">
          <a:noFill/>
        </a:ln>
      </c:spPr>
      <c:txPr>
        <a:bodyPr/>
        <a:lstStyle/>
        <a:p>
          <a:pPr>
            <a:defRPr lang="ko-KR"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Volatility (5-day annualised) vs. Volume</a:t>
            </a:r>
          </a:p>
        </c:rich>
      </c:tx>
      <c:layout>
        <c:manualLayout>
          <c:xMode val="edge"/>
          <c:yMode val="edge"/>
          <c:x val="0.34477873633474226"/>
          <c:y val="2.27273231696625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114561140023091E-2"/>
          <c:y val="6.3636504875055233E-2"/>
          <c:w val="0.85407844643917485"/>
          <c:h val="0.66818330118807989"/>
        </c:manualLayout>
      </c:layout>
      <c:barChart>
        <c:barDir val="col"/>
        <c:grouping val="clustered"/>
        <c:ser>
          <c:idx val="1"/>
          <c:order val="0"/>
          <c:tx>
            <c:strRef>
              <c:f>'[1]FKB3 5d-Volatility'!$B$1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600080"/>
            </a:solidFill>
            <a:ln w="25400">
              <a:noFill/>
            </a:ln>
          </c:spPr>
          <c:cat>
            <c:numRef>
              <c:f>'[1]FKB3 5d-Volatility'!$A$628:$A$870</c:f>
              <c:numCache>
                <c:formatCode>General</c:formatCode>
                <c:ptCount val="243"/>
                <c:pt idx="0">
                  <c:v>37641</c:v>
                </c:pt>
                <c:pt idx="1">
                  <c:v>37642</c:v>
                </c:pt>
                <c:pt idx="2">
                  <c:v>37643</c:v>
                </c:pt>
                <c:pt idx="3">
                  <c:v>37644</c:v>
                </c:pt>
                <c:pt idx="4">
                  <c:v>37645</c:v>
                </c:pt>
                <c:pt idx="5">
                  <c:v>37648</c:v>
                </c:pt>
                <c:pt idx="6">
                  <c:v>37649</c:v>
                </c:pt>
                <c:pt idx="7">
                  <c:v>37650</c:v>
                </c:pt>
                <c:pt idx="8">
                  <c:v>37651</c:v>
                </c:pt>
                <c:pt idx="9">
                  <c:v>37657</c:v>
                </c:pt>
                <c:pt idx="10">
                  <c:v>37658</c:v>
                </c:pt>
                <c:pt idx="11">
                  <c:v>37659</c:v>
                </c:pt>
                <c:pt idx="12">
                  <c:v>37662</c:v>
                </c:pt>
                <c:pt idx="13">
                  <c:v>37663</c:v>
                </c:pt>
                <c:pt idx="14">
                  <c:v>37665</c:v>
                </c:pt>
                <c:pt idx="15">
                  <c:v>37666</c:v>
                </c:pt>
                <c:pt idx="16">
                  <c:v>37669</c:v>
                </c:pt>
                <c:pt idx="17">
                  <c:v>37670</c:v>
                </c:pt>
                <c:pt idx="18">
                  <c:v>37671</c:v>
                </c:pt>
                <c:pt idx="19">
                  <c:v>37672</c:v>
                </c:pt>
                <c:pt idx="20">
                  <c:v>37673</c:v>
                </c:pt>
                <c:pt idx="21">
                  <c:v>37676</c:v>
                </c:pt>
                <c:pt idx="22">
                  <c:v>37677</c:v>
                </c:pt>
                <c:pt idx="23">
                  <c:v>37678</c:v>
                </c:pt>
                <c:pt idx="24">
                  <c:v>37679</c:v>
                </c:pt>
                <c:pt idx="25">
                  <c:v>37680</c:v>
                </c:pt>
                <c:pt idx="26">
                  <c:v>37683</c:v>
                </c:pt>
                <c:pt idx="27">
                  <c:v>37685</c:v>
                </c:pt>
                <c:pt idx="28">
                  <c:v>37686</c:v>
                </c:pt>
                <c:pt idx="29">
                  <c:v>37687</c:v>
                </c:pt>
                <c:pt idx="30">
                  <c:v>37690</c:v>
                </c:pt>
                <c:pt idx="31">
                  <c:v>37691</c:v>
                </c:pt>
                <c:pt idx="32">
                  <c:v>37692</c:v>
                </c:pt>
                <c:pt idx="33">
                  <c:v>37693</c:v>
                </c:pt>
                <c:pt idx="34">
                  <c:v>37694</c:v>
                </c:pt>
                <c:pt idx="35">
                  <c:v>37697</c:v>
                </c:pt>
                <c:pt idx="36">
                  <c:v>37698</c:v>
                </c:pt>
                <c:pt idx="37">
                  <c:v>37699</c:v>
                </c:pt>
                <c:pt idx="38">
                  <c:v>37700</c:v>
                </c:pt>
                <c:pt idx="39">
                  <c:v>37701</c:v>
                </c:pt>
                <c:pt idx="40">
                  <c:v>37704</c:v>
                </c:pt>
                <c:pt idx="41">
                  <c:v>37705</c:v>
                </c:pt>
                <c:pt idx="42">
                  <c:v>37706</c:v>
                </c:pt>
                <c:pt idx="43">
                  <c:v>37707</c:v>
                </c:pt>
                <c:pt idx="44">
                  <c:v>37708</c:v>
                </c:pt>
                <c:pt idx="45">
                  <c:v>37711</c:v>
                </c:pt>
                <c:pt idx="46">
                  <c:v>37712</c:v>
                </c:pt>
                <c:pt idx="47">
                  <c:v>37713</c:v>
                </c:pt>
                <c:pt idx="48">
                  <c:v>37714</c:v>
                </c:pt>
                <c:pt idx="49">
                  <c:v>37715</c:v>
                </c:pt>
                <c:pt idx="50">
                  <c:v>37718</c:v>
                </c:pt>
                <c:pt idx="51">
                  <c:v>37719</c:v>
                </c:pt>
                <c:pt idx="52">
                  <c:v>37720</c:v>
                </c:pt>
                <c:pt idx="53">
                  <c:v>37721</c:v>
                </c:pt>
                <c:pt idx="54">
                  <c:v>37722</c:v>
                </c:pt>
                <c:pt idx="55">
                  <c:v>37725</c:v>
                </c:pt>
                <c:pt idx="56">
                  <c:v>37726</c:v>
                </c:pt>
                <c:pt idx="57">
                  <c:v>37727</c:v>
                </c:pt>
                <c:pt idx="58">
                  <c:v>37728</c:v>
                </c:pt>
                <c:pt idx="59">
                  <c:v>37729</c:v>
                </c:pt>
                <c:pt idx="60">
                  <c:v>37732</c:v>
                </c:pt>
                <c:pt idx="61">
                  <c:v>37733</c:v>
                </c:pt>
                <c:pt idx="62">
                  <c:v>37734</c:v>
                </c:pt>
                <c:pt idx="63">
                  <c:v>37735</c:v>
                </c:pt>
                <c:pt idx="64">
                  <c:v>37736</c:v>
                </c:pt>
                <c:pt idx="65">
                  <c:v>37739</c:v>
                </c:pt>
                <c:pt idx="66">
                  <c:v>37740</c:v>
                </c:pt>
                <c:pt idx="67">
                  <c:v>37741</c:v>
                </c:pt>
                <c:pt idx="68">
                  <c:v>37743</c:v>
                </c:pt>
                <c:pt idx="69">
                  <c:v>37746</c:v>
                </c:pt>
                <c:pt idx="70">
                  <c:v>37747</c:v>
                </c:pt>
                <c:pt idx="71">
                  <c:v>37748</c:v>
                </c:pt>
                <c:pt idx="72">
                  <c:v>37749</c:v>
                </c:pt>
                <c:pt idx="73">
                  <c:v>37750</c:v>
                </c:pt>
                <c:pt idx="74">
                  <c:v>37753</c:v>
                </c:pt>
                <c:pt idx="75">
                  <c:v>37754</c:v>
                </c:pt>
                <c:pt idx="76">
                  <c:v>37757</c:v>
                </c:pt>
                <c:pt idx="77">
                  <c:v>37760</c:v>
                </c:pt>
                <c:pt idx="78">
                  <c:v>37761</c:v>
                </c:pt>
                <c:pt idx="79">
                  <c:v>37762</c:v>
                </c:pt>
                <c:pt idx="80">
                  <c:v>37763</c:v>
                </c:pt>
                <c:pt idx="81">
                  <c:v>37764</c:v>
                </c:pt>
                <c:pt idx="82">
                  <c:v>37767</c:v>
                </c:pt>
                <c:pt idx="83">
                  <c:v>37768</c:v>
                </c:pt>
                <c:pt idx="84">
                  <c:v>37769</c:v>
                </c:pt>
                <c:pt idx="85">
                  <c:v>37770</c:v>
                </c:pt>
                <c:pt idx="86">
                  <c:v>37771</c:v>
                </c:pt>
                <c:pt idx="87">
                  <c:v>37774</c:v>
                </c:pt>
                <c:pt idx="88">
                  <c:v>37775</c:v>
                </c:pt>
                <c:pt idx="89">
                  <c:v>37776</c:v>
                </c:pt>
                <c:pt idx="90">
                  <c:v>37777</c:v>
                </c:pt>
                <c:pt idx="91">
                  <c:v>37778</c:v>
                </c:pt>
                <c:pt idx="92">
                  <c:v>37781</c:v>
                </c:pt>
                <c:pt idx="93">
                  <c:v>37782</c:v>
                </c:pt>
                <c:pt idx="94">
                  <c:v>37783</c:v>
                </c:pt>
                <c:pt idx="95">
                  <c:v>37784</c:v>
                </c:pt>
                <c:pt idx="96">
                  <c:v>37785</c:v>
                </c:pt>
                <c:pt idx="97">
                  <c:v>37788</c:v>
                </c:pt>
                <c:pt idx="98">
                  <c:v>37789</c:v>
                </c:pt>
                <c:pt idx="99">
                  <c:v>37790</c:v>
                </c:pt>
                <c:pt idx="100">
                  <c:v>37791</c:v>
                </c:pt>
                <c:pt idx="101">
                  <c:v>37792</c:v>
                </c:pt>
                <c:pt idx="102">
                  <c:v>37795</c:v>
                </c:pt>
                <c:pt idx="103">
                  <c:v>37796</c:v>
                </c:pt>
                <c:pt idx="104">
                  <c:v>37797</c:v>
                </c:pt>
                <c:pt idx="105">
                  <c:v>37798</c:v>
                </c:pt>
                <c:pt idx="106">
                  <c:v>37799</c:v>
                </c:pt>
                <c:pt idx="107">
                  <c:v>37802</c:v>
                </c:pt>
                <c:pt idx="108">
                  <c:v>37803</c:v>
                </c:pt>
                <c:pt idx="109">
                  <c:v>37804</c:v>
                </c:pt>
                <c:pt idx="110">
                  <c:v>37805</c:v>
                </c:pt>
                <c:pt idx="111">
                  <c:v>37806</c:v>
                </c:pt>
                <c:pt idx="112">
                  <c:v>37809</c:v>
                </c:pt>
                <c:pt idx="113">
                  <c:v>37810</c:v>
                </c:pt>
                <c:pt idx="114">
                  <c:v>37811</c:v>
                </c:pt>
                <c:pt idx="115">
                  <c:v>37812</c:v>
                </c:pt>
                <c:pt idx="116">
                  <c:v>37813</c:v>
                </c:pt>
                <c:pt idx="117">
                  <c:v>37816</c:v>
                </c:pt>
                <c:pt idx="118">
                  <c:v>37817</c:v>
                </c:pt>
                <c:pt idx="119">
                  <c:v>37818</c:v>
                </c:pt>
                <c:pt idx="120">
                  <c:v>37819</c:v>
                </c:pt>
                <c:pt idx="121">
                  <c:v>37820</c:v>
                </c:pt>
                <c:pt idx="122">
                  <c:v>37823</c:v>
                </c:pt>
                <c:pt idx="123">
                  <c:v>37824</c:v>
                </c:pt>
                <c:pt idx="124">
                  <c:v>37825</c:v>
                </c:pt>
                <c:pt idx="125">
                  <c:v>37826</c:v>
                </c:pt>
                <c:pt idx="126">
                  <c:v>37827</c:v>
                </c:pt>
                <c:pt idx="127">
                  <c:v>37830</c:v>
                </c:pt>
                <c:pt idx="128">
                  <c:v>37831</c:v>
                </c:pt>
                <c:pt idx="129">
                  <c:v>37832</c:v>
                </c:pt>
                <c:pt idx="130">
                  <c:v>37833</c:v>
                </c:pt>
                <c:pt idx="131">
                  <c:v>37834</c:v>
                </c:pt>
                <c:pt idx="132">
                  <c:v>37837</c:v>
                </c:pt>
                <c:pt idx="133">
                  <c:v>37838</c:v>
                </c:pt>
                <c:pt idx="134">
                  <c:v>37839</c:v>
                </c:pt>
                <c:pt idx="135">
                  <c:v>37840</c:v>
                </c:pt>
                <c:pt idx="136">
                  <c:v>37841</c:v>
                </c:pt>
                <c:pt idx="137">
                  <c:v>37844</c:v>
                </c:pt>
                <c:pt idx="138">
                  <c:v>37845</c:v>
                </c:pt>
                <c:pt idx="139">
                  <c:v>37846</c:v>
                </c:pt>
                <c:pt idx="140">
                  <c:v>37847</c:v>
                </c:pt>
                <c:pt idx="141">
                  <c:v>37848</c:v>
                </c:pt>
                <c:pt idx="142">
                  <c:v>37851</c:v>
                </c:pt>
                <c:pt idx="143">
                  <c:v>37852</c:v>
                </c:pt>
                <c:pt idx="144">
                  <c:v>37853</c:v>
                </c:pt>
                <c:pt idx="145">
                  <c:v>37854</c:v>
                </c:pt>
                <c:pt idx="146">
                  <c:v>37855</c:v>
                </c:pt>
                <c:pt idx="147">
                  <c:v>37858</c:v>
                </c:pt>
                <c:pt idx="148">
                  <c:v>37859</c:v>
                </c:pt>
                <c:pt idx="149">
                  <c:v>37860</c:v>
                </c:pt>
                <c:pt idx="150">
                  <c:v>37861</c:v>
                </c:pt>
                <c:pt idx="151">
                  <c:v>37862</c:v>
                </c:pt>
                <c:pt idx="152">
                  <c:v>37866</c:v>
                </c:pt>
                <c:pt idx="153">
                  <c:v>37867</c:v>
                </c:pt>
                <c:pt idx="154">
                  <c:v>37868</c:v>
                </c:pt>
                <c:pt idx="155">
                  <c:v>37869</c:v>
                </c:pt>
                <c:pt idx="156">
                  <c:v>37872</c:v>
                </c:pt>
                <c:pt idx="157">
                  <c:v>37873</c:v>
                </c:pt>
                <c:pt idx="158">
                  <c:v>37874</c:v>
                </c:pt>
                <c:pt idx="159">
                  <c:v>37875</c:v>
                </c:pt>
                <c:pt idx="160">
                  <c:v>37876</c:v>
                </c:pt>
                <c:pt idx="161">
                  <c:v>37879</c:v>
                </c:pt>
                <c:pt idx="162">
                  <c:v>37880</c:v>
                </c:pt>
                <c:pt idx="163">
                  <c:v>37881</c:v>
                </c:pt>
                <c:pt idx="164">
                  <c:v>37882</c:v>
                </c:pt>
                <c:pt idx="165">
                  <c:v>37883</c:v>
                </c:pt>
                <c:pt idx="166">
                  <c:v>37886</c:v>
                </c:pt>
                <c:pt idx="167">
                  <c:v>37887</c:v>
                </c:pt>
                <c:pt idx="168">
                  <c:v>37888</c:v>
                </c:pt>
                <c:pt idx="169">
                  <c:v>37889</c:v>
                </c:pt>
                <c:pt idx="170">
                  <c:v>37890</c:v>
                </c:pt>
                <c:pt idx="171">
                  <c:v>37893</c:v>
                </c:pt>
                <c:pt idx="172">
                  <c:v>37894</c:v>
                </c:pt>
                <c:pt idx="173">
                  <c:v>37895</c:v>
                </c:pt>
                <c:pt idx="174">
                  <c:v>37896</c:v>
                </c:pt>
                <c:pt idx="175">
                  <c:v>37897</c:v>
                </c:pt>
                <c:pt idx="176">
                  <c:v>37900</c:v>
                </c:pt>
                <c:pt idx="177">
                  <c:v>37901</c:v>
                </c:pt>
                <c:pt idx="178">
                  <c:v>37902</c:v>
                </c:pt>
                <c:pt idx="179">
                  <c:v>37903</c:v>
                </c:pt>
                <c:pt idx="180">
                  <c:v>37904</c:v>
                </c:pt>
                <c:pt idx="181">
                  <c:v>37907</c:v>
                </c:pt>
                <c:pt idx="182">
                  <c:v>37908</c:v>
                </c:pt>
                <c:pt idx="183">
                  <c:v>37909</c:v>
                </c:pt>
                <c:pt idx="184">
                  <c:v>37910</c:v>
                </c:pt>
                <c:pt idx="185">
                  <c:v>37911</c:v>
                </c:pt>
                <c:pt idx="186">
                  <c:v>37914</c:v>
                </c:pt>
                <c:pt idx="187">
                  <c:v>37915</c:v>
                </c:pt>
                <c:pt idx="188">
                  <c:v>37916</c:v>
                </c:pt>
                <c:pt idx="189">
                  <c:v>37917</c:v>
                </c:pt>
                <c:pt idx="190">
                  <c:v>37921</c:v>
                </c:pt>
                <c:pt idx="191">
                  <c:v>37922</c:v>
                </c:pt>
                <c:pt idx="192">
                  <c:v>37923</c:v>
                </c:pt>
                <c:pt idx="193">
                  <c:v>37924</c:v>
                </c:pt>
                <c:pt idx="194">
                  <c:v>37925</c:v>
                </c:pt>
                <c:pt idx="195">
                  <c:v>37928</c:v>
                </c:pt>
                <c:pt idx="196">
                  <c:v>37929</c:v>
                </c:pt>
                <c:pt idx="197">
                  <c:v>37930</c:v>
                </c:pt>
                <c:pt idx="198">
                  <c:v>37931</c:v>
                </c:pt>
                <c:pt idx="199">
                  <c:v>37932</c:v>
                </c:pt>
                <c:pt idx="200">
                  <c:v>37935</c:v>
                </c:pt>
                <c:pt idx="201">
                  <c:v>37936</c:v>
                </c:pt>
                <c:pt idx="202">
                  <c:v>37937</c:v>
                </c:pt>
                <c:pt idx="203">
                  <c:v>37938</c:v>
                </c:pt>
                <c:pt idx="204">
                  <c:v>37939</c:v>
                </c:pt>
                <c:pt idx="205">
                  <c:v>37942</c:v>
                </c:pt>
                <c:pt idx="206">
                  <c:v>37943</c:v>
                </c:pt>
                <c:pt idx="207">
                  <c:v>37944</c:v>
                </c:pt>
                <c:pt idx="208">
                  <c:v>37945</c:v>
                </c:pt>
                <c:pt idx="209">
                  <c:v>37946</c:v>
                </c:pt>
                <c:pt idx="210">
                  <c:v>37952</c:v>
                </c:pt>
                <c:pt idx="211">
                  <c:v>37953</c:v>
                </c:pt>
                <c:pt idx="212">
                  <c:v>37956</c:v>
                </c:pt>
                <c:pt idx="213">
                  <c:v>37957</c:v>
                </c:pt>
                <c:pt idx="214">
                  <c:v>37958</c:v>
                </c:pt>
                <c:pt idx="215">
                  <c:v>37959</c:v>
                </c:pt>
                <c:pt idx="216">
                  <c:v>37960</c:v>
                </c:pt>
                <c:pt idx="217">
                  <c:v>37963</c:v>
                </c:pt>
                <c:pt idx="218">
                  <c:v>37964</c:v>
                </c:pt>
                <c:pt idx="219">
                  <c:v>37965</c:v>
                </c:pt>
                <c:pt idx="220">
                  <c:v>37966</c:v>
                </c:pt>
                <c:pt idx="221">
                  <c:v>37967</c:v>
                </c:pt>
                <c:pt idx="222">
                  <c:v>37970</c:v>
                </c:pt>
                <c:pt idx="223">
                  <c:v>37971</c:v>
                </c:pt>
                <c:pt idx="224">
                  <c:v>37972</c:v>
                </c:pt>
                <c:pt idx="225">
                  <c:v>37973</c:v>
                </c:pt>
                <c:pt idx="226">
                  <c:v>37974</c:v>
                </c:pt>
                <c:pt idx="227">
                  <c:v>37977</c:v>
                </c:pt>
                <c:pt idx="228">
                  <c:v>37978</c:v>
                </c:pt>
                <c:pt idx="229">
                  <c:v>37979</c:v>
                </c:pt>
                <c:pt idx="230">
                  <c:v>37981</c:v>
                </c:pt>
                <c:pt idx="231">
                  <c:v>37984</c:v>
                </c:pt>
                <c:pt idx="232">
                  <c:v>37985</c:v>
                </c:pt>
                <c:pt idx="233">
                  <c:v>37986</c:v>
                </c:pt>
                <c:pt idx="234">
                  <c:v>37988</c:v>
                </c:pt>
                <c:pt idx="235">
                  <c:v>37991</c:v>
                </c:pt>
                <c:pt idx="236">
                  <c:v>37992</c:v>
                </c:pt>
                <c:pt idx="237">
                  <c:v>37993</c:v>
                </c:pt>
                <c:pt idx="238">
                  <c:v>37994</c:v>
                </c:pt>
                <c:pt idx="239">
                  <c:v>37995</c:v>
                </c:pt>
                <c:pt idx="240">
                  <c:v>37998</c:v>
                </c:pt>
                <c:pt idx="241">
                  <c:v>37999</c:v>
                </c:pt>
                <c:pt idx="242">
                  <c:v>38000</c:v>
                </c:pt>
              </c:numCache>
            </c:numRef>
          </c:cat>
          <c:val>
            <c:numRef>
              <c:f>'[1]FKB3 5d-Volatility'!$B$628:$B$870</c:f>
              <c:numCache>
                <c:formatCode>General</c:formatCode>
                <c:ptCount val="243"/>
                <c:pt idx="0">
                  <c:v>7</c:v>
                </c:pt>
                <c:pt idx="1">
                  <c:v>595</c:v>
                </c:pt>
                <c:pt idx="2">
                  <c:v>45</c:v>
                </c:pt>
                <c:pt idx="3">
                  <c:v>693</c:v>
                </c:pt>
                <c:pt idx="4">
                  <c:v>790</c:v>
                </c:pt>
                <c:pt idx="5">
                  <c:v>1108</c:v>
                </c:pt>
                <c:pt idx="6">
                  <c:v>515</c:v>
                </c:pt>
                <c:pt idx="7">
                  <c:v>20</c:v>
                </c:pt>
                <c:pt idx="8">
                  <c:v>13</c:v>
                </c:pt>
                <c:pt idx="9">
                  <c:v>2</c:v>
                </c:pt>
                <c:pt idx="10">
                  <c:v>12</c:v>
                </c:pt>
                <c:pt idx="11">
                  <c:v>368</c:v>
                </c:pt>
                <c:pt idx="12">
                  <c:v>193</c:v>
                </c:pt>
                <c:pt idx="13">
                  <c:v>227</c:v>
                </c:pt>
                <c:pt idx="14">
                  <c:v>165</c:v>
                </c:pt>
                <c:pt idx="15">
                  <c:v>220</c:v>
                </c:pt>
                <c:pt idx="16">
                  <c:v>784</c:v>
                </c:pt>
                <c:pt idx="17">
                  <c:v>432</c:v>
                </c:pt>
                <c:pt idx="18">
                  <c:v>385</c:v>
                </c:pt>
                <c:pt idx="19">
                  <c:v>95</c:v>
                </c:pt>
                <c:pt idx="20">
                  <c:v>790</c:v>
                </c:pt>
                <c:pt idx="21">
                  <c:v>1259</c:v>
                </c:pt>
                <c:pt idx="22">
                  <c:v>32</c:v>
                </c:pt>
                <c:pt idx="23">
                  <c:v>2</c:v>
                </c:pt>
                <c:pt idx="24">
                  <c:v>171</c:v>
                </c:pt>
                <c:pt idx="25">
                  <c:v>720</c:v>
                </c:pt>
                <c:pt idx="26">
                  <c:v>0</c:v>
                </c:pt>
                <c:pt idx="27">
                  <c:v>485</c:v>
                </c:pt>
                <c:pt idx="28">
                  <c:v>615</c:v>
                </c:pt>
                <c:pt idx="29">
                  <c:v>138</c:v>
                </c:pt>
                <c:pt idx="30">
                  <c:v>165</c:v>
                </c:pt>
                <c:pt idx="31">
                  <c:v>1260</c:v>
                </c:pt>
                <c:pt idx="32">
                  <c:v>1282</c:v>
                </c:pt>
                <c:pt idx="33">
                  <c:v>1370</c:v>
                </c:pt>
                <c:pt idx="34">
                  <c:v>1975</c:v>
                </c:pt>
                <c:pt idx="35">
                  <c:v>243</c:v>
                </c:pt>
                <c:pt idx="36">
                  <c:v>736</c:v>
                </c:pt>
                <c:pt idx="37">
                  <c:v>3155</c:v>
                </c:pt>
                <c:pt idx="38">
                  <c:v>882</c:v>
                </c:pt>
                <c:pt idx="39">
                  <c:v>1077</c:v>
                </c:pt>
                <c:pt idx="40">
                  <c:v>878</c:v>
                </c:pt>
                <c:pt idx="41">
                  <c:v>343</c:v>
                </c:pt>
                <c:pt idx="42">
                  <c:v>1063</c:v>
                </c:pt>
                <c:pt idx="43">
                  <c:v>437</c:v>
                </c:pt>
                <c:pt idx="44">
                  <c:v>98</c:v>
                </c:pt>
                <c:pt idx="45">
                  <c:v>351</c:v>
                </c:pt>
                <c:pt idx="46">
                  <c:v>1100</c:v>
                </c:pt>
                <c:pt idx="47">
                  <c:v>32</c:v>
                </c:pt>
                <c:pt idx="48">
                  <c:v>335</c:v>
                </c:pt>
                <c:pt idx="49">
                  <c:v>1322</c:v>
                </c:pt>
                <c:pt idx="50">
                  <c:v>380</c:v>
                </c:pt>
                <c:pt idx="51">
                  <c:v>911</c:v>
                </c:pt>
                <c:pt idx="52">
                  <c:v>105</c:v>
                </c:pt>
                <c:pt idx="53">
                  <c:v>1890</c:v>
                </c:pt>
                <c:pt idx="54">
                  <c:v>915</c:v>
                </c:pt>
                <c:pt idx="55">
                  <c:v>640</c:v>
                </c:pt>
                <c:pt idx="56">
                  <c:v>2</c:v>
                </c:pt>
                <c:pt idx="57">
                  <c:v>370</c:v>
                </c:pt>
                <c:pt idx="58">
                  <c:v>5</c:v>
                </c:pt>
                <c:pt idx="59">
                  <c:v>0</c:v>
                </c:pt>
                <c:pt idx="60">
                  <c:v>730</c:v>
                </c:pt>
                <c:pt idx="61">
                  <c:v>0</c:v>
                </c:pt>
                <c:pt idx="62">
                  <c:v>581</c:v>
                </c:pt>
                <c:pt idx="63">
                  <c:v>50</c:v>
                </c:pt>
                <c:pt idx="64">
                  <c:v>315</c:v>
                </c:pt>
                <c:pt idx="65">
                  <c:v>0</c:v>
                </c:pt>
                <c:pt idx="66">
                  <c:v>200</c:v>
                </c:pt>
                <c:pt idx="67">
                  <c:v>40</c:v>
                </c:pt>
                <c:pt idx="68">
                  <c:v>0</c:v>
                </c:pt>
                <c:pt idx="69">
                  <c:v>20</c:v>
                </c:pt>
                <c:pt idx="70">
                  <c:v>0</c:v>
                </c:pt>
                <c:pt idx="71">
                  <c:v>10</c:v>
                </c:pt>
                <c:pt idx="72">
                  <c:v>0</c:v>
                </c:pt>
                <c:pt idx="73">
                  <c:v>25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139</c:v>
                </c:pt>
                <c:pt idx="78">
                  <c:v>195</c:v>
                </c:pt>
                <c:pt idx="79">
                  <c:v>340</c:v>
                </c:pt>
                <c:pt idx="80">
                  <c:v>1043</c:v>
                </c:pt>
                <c:pt idx="81">
                  <c:v>0</c:v>
                </c:pt>
                <c:pt idx="82">
                  <c:v>160</c:v>
                </c:pt>
                <c:pt idx="83">
                  <c:v>0</c:v>
                </c:pt>
                <c:pt idx="84">
                  <c:v>68</c:v>
                </c:pt>
                <c:pt idx="85">
                  <c:v>1155</c:v>
                </c:pt>
                <c:pt idx="86">
                  <c:v>0</c:v>
                </c:pt>
                <c:pt idx="87">
                  <c:v>0</c:v>
                </c:pt>
                <c:pt idx="88">
                  <c:v>200</c:v>
                </c:pt>
                <c:pt idx="89">
                  <c:v>267</c:v>
                </c:pt>
                <c:pt idx="90">
                  <c:v>320</c:v>
                </c:pt>
                <c:pt idx="91">
                  <c:v>96</c:v>
                </c:pt>
                <c:pt idx="92">
                  <c:v>0</c:v>
                </c:pt>
                <c:pt idx="93">
                  <c:v>420</c:v>
                </c:pt>
                <c:pt idx="94">
                  <c:v>1077</c:v>
                </c:pt>
                <c:pt idx="95">
                  <c:v>0</c:v>
                </c:pt>
                <c:pt idx="96">
                  <c:v>0</c:v>
                </c:pt>
                <c:pt idx="97">
                  <c:v>350</c:v>
                </c:pt>
                <c:pt idx="98">
                  <c:v>200</c:v>
                </c:pt>
                <c:pt idx="99">
                  <c:v>138</c:v>
                </c:pt>
                <c:pt idx="100">
                  <c:v>750</c:v>
                </c:pt>
                <c:pt idx="101">
                  <c:v>0</c:v>
                </c:pt>
                <c:pt idx="102">
                  <c:v>0</c:v>
                </c:pt>
                <c:pt idx="103">
                  <c:v>200</c:v>
                </c:pt>
                <c:pt idx="104">
                  <c:v>280</c:v>
                </c:pt>
                <c:pt idx="105">
                  <c:v>845</c:v>
                </c:pt>
                <c:pt idx="106">
                  <c:v>245</c:v>
                </c:pt>
                <c:pt idx="107">
                  <c:v>5</c:v>
                </c:pt>
                <c:pt idx="108">
                  <c:v>200</c:v>
                </c:pt>
                <c:pt idx="109">
                  <c:v>0</c:v>
                </c:pt>
                <c:pt idx="110">
                  <c:v>37</c:v>
                </c:pt>
                <c:pt idx="111">
                  <c:v>980</c:v>
                </c:pt>
                <c:pt idx="112">
                  <c:v>1110</c:v>
                </c:pt>
                <c:pt idx="113">
                  <c:v>791</c:v>
                </c:pt>
                <c:pt idx="114">
                  <c:v>700</c:v>
                </c:pt>
                <c:pt idx="115">
                  <c:v>401</c:v>
                </c:pt>
                <c:pt idx="116">
                  <c:v>423</c:v>
                </c:pt>
                <c:pt idx="117">
                  <c:v>202</c:v>
                </c:pt>
                <c:pt idx="118">
                  <c:v>469</c:v>
                </c:pt>
                <c:pt idx="119">
                  <c:v>411</c:v>
                </c:pt>
                <c:pt idx="120">
                  <c:v>1541</c:v>
                </c:pt>
                <c:pt idx="121">
                  <c:v>2365</c:v>
                </c:pt>
                <c:pt idx="122">
                  <c:v>6001</c:v>
                </c:pt>
                <c:pt idx="123">
                  <c:v>1976</c:v>
                </c:pt>
                <c:pt idx="124">
                  <c:v>1114</c:v>
                </c:pt>
                <c:pt idx="125">
                  <c:v>464</c:v>
                </c:pt>
                <c:pt idx="126">
                  <c:v>1790</c:v>
                </c:pt>
                <c:pt idx="127">
                  <c:v>1865</c:v>
                </c:pt>
                <c:pt idx="128">
                  <c:v>966</c:v>
                </c:pt>
                <c:pt idx="129">
                  <c:v>281</c:v>
                </c:pt>
                <c:pt idx="130">
                  <c:v>180</c:v>
                </c:pt>
                <c:pt idx="131">
                  <c:v>223</c:v>
                </c:pt>
                <c:pt idx="132">
                  <c:v>505</c:v>
                </c:pt>
                <c:pt idx="133">
                  <c:v>894</c:v>
                </c:pt>
                <c:pt idx="134">
                  <c:v>61</c:v>
                </c:pt>
                <c:pt idx="135">
                  <c:v>142</c:v>
                </c:pt>
                <c:pt idx="136">
                  <c:v>5</c:v>
                </c:pt>
                <c:pt idx="137">
                  <c:v>96</c:v>
                </c:pt>
                <c:pt idx="138">
                  <c:v>7</c:v>
                </c:pt>
                <c:pt idx="139">
                  <c:v>1165</c:v>
                </c:pt>
                <c:pt idx="140">
                  <c:v>479</c:v>
                </c:pt>
                <c:pt idx="141">
                  <c:v>62</c:v>
                </c:pt>
                <c:pt idx="142">
                  <c:v>548</c:v>
                </c:pt>
                <c:pt idx="143">
                  <c:v>569</c:v>
                </c:pt>
                <c:pt idx="144">
                  <c:v>222</c:v>
                </c:pt>
                <c:pt idx="145">
                  <c:v>220</c:v>
                </c:pt>
                <c:pt idx="146">
                  <c:v>990</c:v>
                </c:pt>
                <c:pt idx="147">
                  <c:v>28</c:v>
                </c:pt>
                <c:pt idx="148">
                  <c:v>889</c:v>
                </c:pt>
                <c:pt idx="149">
                  <c:v>1733</c:v>
                </c:pt>
                <c:pt idx="150">
                  <c:v>1358</c:v>
                </c:pt>
                <c:pt idx="151">
                  <c:v>398</c:v>
                </c:pt>
                <c:pt idx="152">
                  <c:v>521</c:v>
                </c:pt>
                <c:pt idx="153">
                  <c:v>1067</c:v>
                </c:pt>
                <c:pt idx="154">
                  <c:v>460</c:v>
                </c:pt>
                <c:pt idx="155">
                  <c:v>359</c:v>
                </c:pt>
                <c:pt idx="156">
                  <c:v>222</c:v>
                </c:pt>
                <c:pt idx="157">
                  <c:v>530</c:v>
                </c:pt>
                <c:pt idx="158">
                  <c:v>264</c:v>
                </c:pt>
                <c:pt idx="159">
                  <c:v>562</c:v>
                </c:pt>
                <c:pt idx="160">
                  <c:v>339</c:v>
                </c:pt>
                <c:pt idx="161">
                  <c:v>145</c:v>
                </c:pt>
                <c:pt idx="162">
                  <c:v>143</c:v>
                </c:pt>
                <c:pt idx="163">
                  <c:v>41</c:v>
                </c:pt>
                <c:pt idx="164">
                  <c:v>1015</c:v>
                </c:pt>
                <c:pt idx="165">
                  <c:v>25</c:v>
                </c:pt>
                <c:pt idx="166">
                  <c:v>470</c:v>
                </c:pt>
                <c:pt idx="167">
                  <c:v>757</c:v>
                </c:pt>
                <c:pt idx="168">
                  <c:v>291</c:v>
                </c:pt>
                <c:pt idx="169">
                  <c:v>744</c:v>
                </c:pt>
                <c:pt idx="170">
                  <c:v>595</c:v>
                </c:pt>
                <c:pt idx="171">
                  <c:v>350</c:v>
                </c:pt>
                <c:pt idx="172">
                  <c:v>715</c:v>
                </c:pt>
                <c:pt idx="173">
                  <c:v>94</c:v>
                </c:pt>
                <c:pt idx="174">
                  <c:v>187</c:v>
                </c:pt>
                <c:pt idx="175">
                  <c:v>409</c:v>
                </c:pt>
                <c:pt idx="176">
                  <c:v>176</c:v>
                </c:pt>
                <c:pt idx="177">
                  <c:v>549</c:v>
                </c:pt>
                <c:pt idx="178">
                  <c:v>547</c:v>
                </c:pt>
                <c:pt idx="179">
                  <c:v>179</c:v>
                </c:pt>
                <c:pt idx="180">
                  <c:v>1454</c:v>
                </c:pt>
                <c:pt idx="181">
                  <c:v>299</c:v>
                </c:pt>
                <c:pt idx="182">
                  <c:v>196</c:v>
                </c:pt>
                <c:pt idx="183">
                  <c:v>460</c:v>
                </c:pt>
                <c:pt idx="184">
                  <c:v>776</c:v>
                </c:pt>
                <c:pt idx="185">
                  <c:v>393</c:v>
                </c:pt>
                <c:pt idx="186">
                  <c:v>70</c:v>
                </c:pt>
                <c:pt idx="187">
                  <c:v>198</c:v>
                </c:pt>
                <c:pt idx="188">
                  <c:v>1068</c:v>
                </c:pt>
                <c:pt idx="189">
                  <c:v>51</c:v>
                </c:pt>
                <c:pt idx="190">
                  <c:v>532</c:v>
                </c:pt>
                <c:pt idx="191">
                  <c:v>664</c:v>
                </c:pt>
                <c:pt idx="192">
                  <c:v>47</c:v>
                </c:pt>
                <c:pt idx="193">
                  <c:v>28</c:v>
                </c:pt>
                <c:pt idx="194">
                  <c:v>0</c:v>
                </c:pt>
                <c:pt idx="195">
                  <c:v>139</c:v>
                </c:pt>
                <c:pt idx="196">
                  <c:v>143</c:v>
                </c:pt>
                <c:pt idx="197">
                  <c:v>340</c:v>
                </c:pt>
                <c:pt idx="198">
                  <c:v>1805</c:v>
                </c:pt>
                <c:pt idx="199">
                  <c:v>718</c:v>
                </c:pt>
                <c:pt idx="200">
                  <c:v>211</c:v>
                </c:pt>
                <c:pt idx="201">
                  <c:v>602</c:v>
                </c:pt>
                <c:pt idx="202">
                  <c:v>533</c:v>
                </c:pt>
                <c:pt idx="203">
                  <c:v>687</c:v>
                </c:pt>
                <c:pt idx="204">
                  <c:v>370</c:v>
                </c:pt>
                <c:pt idx="205">
                  <c:v>418</c:v>
                </c:pt>
                <c:pt idx="206">
                  <c:v>360</c:v>
                </c:pt>
                <c:pt idx="207">
                  <c:v>132</c:v>
                </c:pt>
                <c:pt idx="208">
                  <c:v>330</c:v>
                </c:pt>
                <c:pt idx="209">
                  <c:v>235</c:v>
                </c:pt>
                <c:pt idx="210">
                  <c:v>1</c:v>
                </c:pt>
                <c:pt idx="211">
                  <c:v>2450</c:v>
                </c:pt>
                <c:pt idx="212">
                  <c:v>390</c:v>
                </c:pt>
                <c:pt idx="213">
                  <c:v>934</c:v>
                </c:pt>
                <c:pt idx="214">
                  <c:v>1577</c:v>
                </c:pt>
                <c:pt idx="215">
                  <c:v>826</c:v>
                </c:pt>
                <c:pt idx="216">
                  <c:v>187</c:v>
                </c:pt>
                <c:pt idx="217">
                  <c:v>28</c:v>
                </c:pt>
                <c:pt idx="218">
                  <c:v>429</c:v>
                </c:pt>
                <c:pt idx="219">
                  <c:v>338</c:v>
                </c:pt>
                <c:pt idx="220">
                  <c:v>1319</c:v>
                </c:pt>
                <c:pt idx="221">
                  <c:v>409</c:v>
                </c:pt>
                <c:pt idx="222">
                  <c:v>102</c:v>
                </c:pt>
                <c:pt idx="223">
                  <c:v>72</c:v>
                </c:pt>
                <c:pt idx="224">
                  <c:v>227</c:v>
                </c:pt>
                <c:pt idx="225">
                  <c:v>337</c:v>
                </c:pt>
                <c:pt idx="226">
                  <c:v>293</c:v>
                </c:pt>
                <c:pt idx="227">
                  <c:v>503</c:v>
                </c:pt>
                <c:pt idx="228">
                  <c:v>10</c:v>
                </c:pt>
                <c:pt idx="229">
                  <c:v>511</c:v>
                </c:pt>
                <c:pt idx="230">
                  <c:v>0</c:v>
                </c:pt>
                <c:pt idx="231">
                  <c:v>610</c:v>
                </c:pt>
                <c:pt idx="232">
                  <c:v>0</c:v>
                </c:pt>
                <c:pt idx="233">
                  <c:v>386</c:v>
                </c:pt>
                <c:pt idx="234">
                  <c:v>2204</c:v>
                </c:pt>
                <c:pt idx="235">
                  <c:v>1465</c:v>
                </c:pt>
                <c:pt idx="236">
                  <c:v>1498</c:v>
                </c:pt>
                <c:pt idx="237">
                  <c:v>2663</c:v>
                </c:pt>
                <c:pt idx="238">
                  <c:v>2728</c:v>
                </c:pt>
                <c:pt idx="239">
                  <c:v>1600</c:v>
                </c:pt>
                <c:pt idx="240">
                  <c:v>1127</c:v>
                </c:pt>
                <c:pt idx="241">
                  <c:v>1182</c:v>
                </c:pt>
                <c:pt idx="242">
                  <c:v>1946</c:v>
                </c:pt>
              </c:numCache>
            </c:numRef>
          </c:val>
        </c:ser>
        <c:axId val="134383104"/>
        <c:axId val="134384640"/>
      </c:barChart>
      <c:lineChart>
        <c:grouping val="standard"/>
        <c:ser>
          <c:idx val="0"/>
          <c:order val="1"/>
          <c:tx>
            <c:strRef>
              <c:f>'[1]FKB3 5d-Volatility'!$C$1</c:f>
              <c:strCache>
                <c:ptCount val="1"/>
                <c:pt idx="0">
                  <c:v>FKB3 VOLATILITY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'[1]FKB3 5d-Volatility'!$A$628:$A$870</c:f>
              <c:numCache>
                <c:formatCode>General</c:formatCode>
                <c:ptCount val="243"/>
                <c:pt idx="0">
                  <c:v>37641</c:v>
                </c:pt>
                <c:pt idx="1">
                  <c:v>37642</c:v>
                </c:pt>
                <c:pt idx="2">
                  <c:v>37643</c:v>
                </c:pt>
                <c:pt idx="3">
                  <c:v>37644</c:v>
                </c:pt>
                <c:pt idx="4">
                  <c:v>37645</c:v>
                </c:pt>
                <c:pt idx="5">
                  <c:v>37648</c:v>
                </c:pt>
                <c:pt idx="6">
                  <c:v>37649</c:v>
                </c:pt>
                <c:pt idx="7">
                  <c:v>37650</c:v>
                </c:pt>
                <c:pt idx="8">
                  <c:v>37651</c:v>
                </c:pt>
                <c:pt idx="9">
                  <c:v>37657</c:v>
                </c:pt>
                <c:pt idx="10">
                  <c:v>37658</c:v>
                </c:pt>
                <c:pt idx="11">
                  <c:v>37659</c:v>
                </c:pt>
                <c:pt idx="12">
                  <c:v>37662</c:v>
                </c:pt>
                <c:pt idx="13">
                  <c:v>37663</c:v>
                </c:pt>
                <c:pt idx="14">
                  <c:v>37665</c:v>
                </c:pt>
                <c:pt idx="15">
                  <c:v>37666</c:v>
                </c:pt>
                <c:pt idx="16">
                  <c:v>37669</c:v>
                </c:pt>
                <c:pt idx="17">
                  <c:v>37670</c:v>
                </c:pt>
                <c:pt idx="18">
                  <c:v>37671</c:v>
                </c:pt>
                <c:pt idx="19">
                  <c:v>37672</c:v>
                </c:pt>
                <c:pt idx="20">
                  <c:v>37673</c:v>
                </c:pt>
                <c:pt idx="21">
                  <c:v>37676</c:v>
                </c:pt>
                <c:pt idx="22">
                  <c:v>37677</c:v>
                </c:pt>
                <c:pt idx="23">
                  <c:v>37678</c:v>
                </c:pt>
                <c:pt idx="24">
                  <c:v>37679</c:v>
                </c:pt>
                <c:pt idx="25">
                  <c:v>37680</c:v>
                </c:pt>
                <c:pt idx="26">
                  <c:v>37683</c:v>
                </c:pt>
                <c:pt idx="27">
                  <c:v>37685</c:v>
                </c:pt>
                <c:pt idx="28">
                  <c:v>37686</c:v>
                </c:pt>
                <c:pt idx="29">
                  <c:v>37687</c:v>
                </c:pt>
                <c:pt idx="30">
                  <c:v>37690</c:v>
                </c:pt>
                <c:pt idx="31">
                  <c:v>37691</c:v>
                </c:pt>
                <c:pt idx="32">
                  <c:v>37692</c:v>
                </c:pt>
                <c:pt idx="33">
                  <c:v>37693</c:v>
                </c:pt>
                <c:pt idx="34">
                  <c:v>37694</c:v>
                </c:pt>
                <c:pt idx="35">
                  <c:v>37697</c:v>
                </c:pt>
                <c:pt idx="36">
                  <c:v>37698</c:v>
                </c:pt>
                <c:pt idx="37">
                  <c:v>37699</c:v>
                </c:pt>
                <c:pt idx="38">
                  <c:v>37700</c:v>
                </c:pt>
                <c:pt idx="39">
                  <c:v>37701</c:v>
                </c:pt>
                <c:pt idx="40">
                  <c:v>37704</c:v>
                </c:pt>
                <c:pt idx="41">
                  <c:v>37705</c:v>
                </c:pt>
                <c:pt idx="42">
                  <c:v>37706</c:v>
                </c:pt>
                <c:pt idx="43">
                  <c:v>37707</c:v>
                </c:pt>
                <c:pt idx="44">
                  <c:v>37708</c:v>
                </c:pt>
                <c:pt idx="45">
                  <c:v>37711</c:v>
                </c:pt>
                <c:pt idx="46">
                  <c:v>37712</c:v>
                </c:pt>
                <c:pt idx="47">
                  <c:v>37713</c:v>
                </c:pt>
                <c:pt idx="48">
                  <c:v>37714</c:v>
                </c:pt>
                <c:pt idx="49">
                  <c:v>37715</c:v>
                </c:pt>
                <c:pt idx="50">
                  <c:v>37718</c:v>
                </c:pt>
                <c:pt idx="51">
                  <c:v>37719</c:v>
                </c:pt>
                <c:pt idx="52">
                  <c:v>37720</c:v>
                </c:pt>
                <c:pt idx="53">
                  <c:v>37721</c:v>
                </c:pt>
                <c:pt idx="54">
                  <c:v>37722</c:v>
                </c:pt>
                <c:pt idx="55">
                  <c:v>37725</c:v>
                </c:pt>
                <c:pt idx="56">
                  <c:v>37726</c:v>
                </c:pt>
                <c:pt idx="57">
                  <c:v>37727</c:v>
                </c:pt>
                <c:pt idx="58">
                  <c:v>37728</c:v>
                </c:pt>
                <c:pt idx="59">
                  <c:v>37729</c:v>
                </c:pt>
                <c:pt idx="60">
                  <c:v>37732</c:v>
                </c:pt>
                <c:pt idx="61">
                  <c:v>37733</c:v>
                </c:pt>
                <c:pt idx="62">
                  <c:v>37734</c:v>
                </c:pt>
                <c:pt idx="63">
                  <c:v>37735</c:v>
                </c:pt>
                <c:pt idx="64">
                  <c:v>37736</c:v>
                </c:pt>
                <c:pt idx="65">
                  <c:v>37739</c:v>
                </c:pt>
                <c:pt idx="66">
                  <c:v>37740</c:v>
                </c:pt>
                <c:pt idx="67">
                  <c:v>37741</c:v>
                </c:pt>
                <c:pt idx="68">
                  <c:v>37743</c:v>
                </c:pt>
                <c:pt idx="69">
                  <c:v>37746</c:v>
                </c:pt>
                <c:pt idx="70">
                  <c:v>37747</c:v>
                </c:pt>
                <c:pt idx="71">
                  <c:v>37748</c:v>
                </c:pt>
                <c:pt idx="72">
                  <c:v>37749</c:v>
                </c:pt>
                <c:pt idx="73">
                  <c:v>37750</c:v>
                </c:pt>
                <c:pt idx="74">
                  <c:v>37753</c:v>
                </c:pt>
                <c:pt idx="75">
                  <c:v>37754</c:v>
                </c:pt>
                <c:pt idx="76">
                  <c:v>37757</c:v>
                </c:pt>
                <c:pt idx="77">
                  <c:v>37760</c:v>
                </c:pt>
                <c:pt idx="78">
                  <c:v>37761</c:v>
                </c:pt>
                <c:pt idx="79">
                  <c:v>37762</c:v>
                </c:pt>
                <c:pt idx="80">
                  <c:v>37763</c:v>
                </c:pt>
                <c:pt idx="81">
                  <c:v>37764</c:v>
                </c:pt>
                <c:pt idx="82">
                  <c:v>37767</c:v>
                </c:pt>
                <c:pt idx="83">
                  <c:v>37768</c:v>
                </c:pt>
                <c:pt idx="84">
                  <c:v>37769</c:v>
                </c:pt>
                <c:pt idx="85">
                  <c:v>37770</c:v>
                </c:pt>
                <c:pt idx="86">
                  <c:v>37771</c:v>
                </c:pt>
                <c:pt idx="87">
                  <c:v>37774</c:v>
                </c:pt>
                <c:pt idx="88">
                  <c:v>37775</c:v>
                </c:pt>
                <c:pt idx="89">
                  <c:v>37776</c:v>
                </c:pt>
                <c:pt idx="90">
                  <c:v>37777</c:v>
                </c:pt>
                <c:pt idx="91">
                  <c:v>37778</c:v>
                </c:pt>
                <c:pt idx="92">
                  <c:v>37781</c:v>
                </c:pt>
                <c:pt idx="93">
                  <c:v>37782</c:v>
                </c:pt>
                <c:pt idx="94">
                  <c:v>37783</c:v>
                </c:pt>
                <c:pt idx="95">
                  <c:v>37784</c:v>
                </c:pt>
                <c:pt idx="96">
                  <c:v>37785</c:v>
                </c:pt>
                <c:pt idx="97">
                  <c:v>37788</c:v>
                </c:pt>
                <c:pt idx="98">
                  <c:v>37789</c:v>
                </c:pt>
                <c:pt idx="99">
                  <c:v>37790</c:v>
                </c:pt>
                <c:pt idx="100">
                  <c:v>37791</c:v>
                </c:pt>
                <c:pt idx="101">
                  <c:v>37792</c:v>
                </c:pt>
                <c:pt idx="102">
                  <c:v>37795</c:v>
                </c:pt>
                <c:pt idx="103">
                  <c:v>37796</c:v>
                </c:pt>
                <c:pt idx="104">
                  <c:v>37797</c:v>
                </c:pt>
                <c:pt idx="105">
                  <c:v>37798</c:v>
                </c:pt>
                <c:pt idx="106">
                  <c:v>37799</c:v>
                </c:pt>
                <c:pt idx="107">
                  <c:v>37802</c:v>
                </c:pt>
                <c:pt idx="108">
                  <c:v>37803</c:v>
                </c:pt>
                <c:pt idx="109">
                  <c:v>37804</c:v>
                </c:pt>
                <c:pt idx="110">
                  <c:v>37805</c:v>
                </c:pt>
                <c:pt idx="111">
                  <c:v>37806</c:v>
                </c:pt>
                <c:pt idx="112">
                  <c:v>37809</c:v>
                </c:pt>
                <c:pt idx="113">
                  <c:v>37810</c:v>
                </c:pt>
                <c:pt idx="114">
                  <c:v>37811</c:v>
                </c:pt>
                <c:pt idx="115">
                  <c:v>37812</c:v>
                </c:pt>
                <c:pt idx="116">
                  <c:v>37813</c:v>
                </c:pt>
                <c:pt idx="117">
                  <c:v>37816</c:v>
                </c:pt>
                <c:pt idx="118">
                  <c:v>37817</c:v>
                </c:pt>
                <c:pt idx="119">
                  <c:v>37818</c:v>
                </c:pt>
                <c:pt idx="120">
                  <c:v>37819</c:v>
                </c:pt>
                <c:pt idx="121">
                  <c:v>37820</c:v>
                </c:pt>
                <c:pt idx="122">
                  <c:v>37823</c:v>
                </c:pt>
                <c:pt idx="123">
                  <c:v>37824</c:v>
                </c:pt>
                <c:pt idx="124">
                  <c:v>37825</c:v>
                </c:pt>
                <c:pt idx="125">
                  <c:v>37826</c:v>
                </c:pt>
                <c:pt idx="126">
                  <c:v>37827</c:v>
                </c:pt>
                <c:pt idx="127">
                  <c:v>37830</c:v>
                </c:pt>
                <c:pt idx="128">
                  <c:v>37831</c:v>
                </c:pt>
                <c:pt idx="129">
                  <c:v>37832</c:v>
                </c:pt>
                <c:pt idx="130">
                  <c:v>37833</c:v>
                </c:pt>
                <c:pt idx="131">
                  <c:v>37834</c:v>
                </c:pt>
                <c:pt idx="132">
                  <c:v>37837</c:v>
                </c:pt>
                <c:pt idx="133">
                  <c:v>37838</c:v>
                </c:pt>
                <c:pt idx="134">
                  <c:v>37839</c:v>
                </c:pt>
                <c:pt idx="135">
                  <c:v>37840</c:v>
                </c:pt>
                <c:pt idx="136">
                  <c:v>37841</c:v>
                </c:pt>
                <c:pt idx="137">
                  <c:v>37844</c:v>
                </c:pt>
                <c:pt idx="138">
                  <c:v>37845</c:v>
                </c:pt>
                <c:pt idx="139">
                  <c:v>37846</c:v>
                </c:pt>
                <c:pt idx="140">
                  <c:v>37847</c:v>
                </c:pt>
                <c:pt idx="141">
                  <c:v>37848</c:v>
                </c:pt>
                <c:pt idx="142">
                  <c:v>37851</c:v>
                </c:pt>
                <c:pt idx="143">
                  <c:v>37852</c:v>
                </c:pt>
                <c:pt idx="144">
                  <c:v>37853</c:v>
                </c:pt>
                <c:pt idx="145">
                  <c:v>37854</c:v>
                </c:pt>
                <c:pt idx="146">
                  <c:v>37855</c:v>
                </c:pt>
                <c:pt idx="147">
                  <c:v>37858</c:v>
                </c:pt>
                <c:pt idx="148">
                  <c:v>37859</c:v>
                </c:pt>
                <c:pt idx="149">
                  <c:v>37860</c:v>
                </c:pt>
                <c:pt idx="150">
                  <c:v>37861</c:v>
                </c:pt>
                <c:pt idx="151">
                  <c:v>37862</c:v>
                </c:pt>
                <c:pt idx="152">
                  <c:v>37866</c:v>
                </c:pt>
                <c:pt idx="153">
                  <c:v>37867</c:v>
                </c:pt>
                <c:pt idx="154">
                  <c:v>37868</c:v>
                </c:pt>
                <c:pt idx="155">
                  <c:v>37869</c:v>
                </c:pt>
                <c:pt idx="156">
                  <c:v>37872</c:v>
                </c:pt>
                <c:pt idx="157">
                  <c:v>37873</c:v>
                </c:pt>
                <c:pt idx="158">
                  <c:v>37874</c:v>
                </c:pt>
                <c:pt idx="159">
                  <c:v>37875</c:v>
                </c:pt>
                <c:pt idx="160">
                  <c:v>37876</c:v>
                </c:pt>
                <c:pt idx="161">
                  <c:v>37879</c:v>
                </c:pt>
                <c:pt idx="162">
                  <c:v>37880</c:v>
                </c:pt>
                <c:pt idx="163">
                  <c:v>37881</c:v>
                </c:pt>
                <c:pt idx="164">
                  <c:v>37882</c:v>
                </c:pt>
                <c:pt idx="165">
                  <c:v>37883</c:v>
                </c:pt>
                <c:pt idx="166">
                  <c:v>37886</c:v>
                </c:pt>
                <c:pt idx="167">
                  <c:v>37887</c:v>
                </c:pt>
                <c:pt idx="168">
                  <c:v>37888</c:v>
                </c:pt>
                <c:pt idx="169">
                  <c:v>37889</c:v>
                </c:pt>
                <c:pt idx="170">
                  <c:v>37890</c:v>
                </c:pt>
                <c:pt idx="171">
                  <c:v>37893</c:v>
                </c:pt>
                <c:pt idx="172">
                  <c:v>37894</c:v>
                </c:pt>
                <c:pt idx="173">
                  <c:v>37895</c:v>
                </c:pt>
                <c:pt idx="174">
                  <c:v>37896</c:v>
                </c:pt>
                <c:pt idx="175">
                  <c:v>37897</c:v>
                </c:pt>
                <c:pt idx="176">
                  <c:v>37900</c:v>
                </c:pt>
                <c:pt idx="177">
                  <c:v>37901</c:v>
                </c:pt>
                <c:pt idx="178">
                  <c:v>37902</c:v>
                </c:pt>
                <c:pt idx="179">
                  <c:v>37903</c:v>
                </c:pt>
                <c:pt idx="180">
                  <c:v>37904</c:v>
                </c:pt>
                <c:pt idx="181">
                  <c:v>37907</c:v>
                </c:pt>
                <c:pt idx="182">
                  <c:v>37908</c:v>
                </c:pt>
                <c:pt idx="183">
                  <c:v>37909</c:v>
                </c:pt>
                <c:pt idx="184">
                  <c:v>37910</c:v>
                </c:pt>
                <c:pt idx="185">
                  <c:v>37911</c:v>
                </c:pt>
                <c:pt idx="186">
                  <c:v>37914</c:v>
                </c:pt>
                <c:pt idx="187">
                  <c:v>37915</c:v>
                </c:pt>
                <c:pt idx="188">
                  <c:v>37916</c:v>
                </c:pt>
                <c:pt idx="189">
                  <c:v>37917</c:v>
                </c:pt>
                <c:pt idx="190">
                  <c:v>37921</c:v>
                </c:pt>
                <c:pt idx="191">
                  <c:v>37922</c:v>
                </c:pt>
                <c:pt idx="192">
                  <c:v>37923</c:v>
                </c:pt>
                <c:pt idx="193">
                  <c:v>37924</c:v>
                </c:pt>
                <c:pt idx="194">
                  <c:v>37925</c:v>
                </c:pt>
                <c:pt idx="195">
                  <c:v>37928</c:v>
                </c:pt>
                <c:pt idx="196">
                  <c:v>37929</c:v>
                </c:pt>
                <c:pt idx="197">
                  <c:v>37930</c:v>
                </c:pt>
                <c:pt idx="198">
                  <c:v>37931</c:v>
                </c:pt>
                <c:pt idx="199">
                  <c:v>37932</c:v>
                </c:pt>
                <c:pt idx="200">
                  <c:v>37935</c:v>
                </c:pt>
                <c:pt idx="201">
                  <c:v>37936</c:v>
                </c:pt>
                <c:pt idx="202">
                  <c:v>37937</c:v>
                </c:pt>
                <c:pt idx="203">
                  <c:v>37938</c:v>
                </c:pt>
                <c:pt idx="204">
                  <c:v>37939</c:v>
                </c:pt>
                <c:pt idx="205">
                  <c:v>37942</c:v>
                </c:pt>
                <c:pt idx="206">
                  <c:v>37943</c:v>
                </c:pt>
                <c:pt idx="207">
                  <c:v>37944</c:v>
                </c:pt>
                <c:pt idx="208">
                  <c:v>37945</c:v>
                </c:pt>
                <c:pt idx="209">
                  <c:v>37946</c:v>
                </c:pt>
                <c:pt idx="210">
                  <c:v>37952</c:v>
                </c:pt>
                <c:pt idx="211">
                  <c:v>37953</c:v>
                </c:pt>
                <c:pt idx="212">
                  <c:v>37956</c:v>
                </c:pt>
                <c:pt idx="213">
                  <c:v>37957</c:v>
                </c:pt>
                <c:pt idx="214">
                  <c:v>37958</c:v>
                </c:pt>
                <c:pt idx="215">
                  <c:v>37959</c:v>
                </c:pt>
                <c:pt idx="216">
                  <c:v>37960</c:v>
                </c:pt>
                <c:pt idx="217">
                  <c:v>37963</c:v>
                </c:pt>
                <c:pt idx="218">
                  <c:v>37964</c:v>
                </c:pt>
                <c:pt idx="219">
                  <c:v>37965</c:v>
                </c:pt>
                <c:pt idx="220">
                  <c:v>37966</c:v>
                </c:pt>
                <c:pt idx="221">
                  <c:v>37967</c:v>
                </c:pt>
                <c:pt idx="222">
                  <c:v>37970</c:v>
                </c:pt>
                <c:pt idx="223">
                  <c:v>37971</c:v>
                </c:pt>
                <c:pt idx="224">
                  <c:v>37972</c:v>
                </c:pt>
                <c:pt idx="225">
                  <c:v>37973</c:v>
                </c:pt>
                <c:pt idx="226">
                  <c:v>37974</c:v>
                </c:pt>
                <c:pt idx="227">
                  <c:v>37977</c:v>
                </c:pt>
                <c:pt idx="228">
                  <c:v>37978</c:v>
                </c:pt>
                <c:pt idx="229">
                  <c:v>37979</c:v>
                </c:pt>
                <c:pt idx="230">
                  <c:v>37981</c:v>
                </c:pt>
                <c:pt idx="231">
                  <c:v>37984</c:v>
                </c:pt>
                <c:pt idx="232">
                  <c:v>37985</c:v>
                </c:pt>
                <c:pt idx="233">
                  <c:v>37986</c:v>
                </c:pt>
                <c:pt idx="234">
                  <c:v>37988</c:v>
                </c:pt>
                <c:pt idx="235">
                  <c:v>37991</c:v>
                </c:pt>
                <c:pt idx="236">
                  <c:v>37992</c:v>
                </c:pt>
                <c:pt idx="237">
                  <c:v>37993</c:v>
                </c:pt>
                <c:pt idx="238">
                  <c:v>37994</c:v>
                </c:pt>
                <c:pt idx="239">
                  <c:v>37995</c:v>
                </c:pt>
                <c:pt idx="240">
                  <c:v>37998</c:v>
                </c:pt>
                <c:pt idx="241">
                  <c:v>37999</c:v>
                </c:pt>
                <c:pt idx="242">
                  <c:v>38000</c:v>
                </c:pt>
              </c:numCache>
            </c:numRef>
          </c:cat>
          <c:val>
            <c:numRef>
              <c:f>'[1]FKB3 5d-Volatility'!$C$628:$C$870</c:f>
              <c:numCache>
                <c:formatCode>General</c:formatCode>
                <c:ptCount val="243"/>
                <c:pt idx="0">
                  <c:v>3.6537322219780451E-3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1.4609644291353762E-3</c:v>
                </c:pt>
                <c:pt idx="5">
                  <c:v>1.789123900020546E-3</c:v>
                </c:pt>
                <c:pt idx="6">
                  <c:v>1.789123900020546E-3</c:v>
                </c:pt>
                <c:pt idx="7">
                  <c:v>1.789123900020546E-3</c:v>
                </c:pt>
                <c:pt idx="8">
                  <c:v>1.6332392108129052E-3</c:v>
                </c:pt>
                <c:pt idx="9">
                  <c:v>1.4606343603853654E-3</c:v>
                </c:pt>
                <c:pt idx="10">
                  <c:v>7.3021818744794587E-4</c:v>
                </c:pt>
                <c:pt idx="11">
                  <c:v>1.460238465757798E-3</c:v>
                </c:pt>
                <c:pt idx="12">
                  <c:v>1.3659015752154216E-3</c:v>
                </c:pt>
                <c:pt idx="13">
                  <c:v>1.4601819268982657E-3</c:v>
                </c:pt>
                <c:pt idx="14">
                  <c:v>1.4601819268982657E-3</c:v>
                </c:pt>
                <c:pt idx="15">
                  <c:v>1.4601819268982657E-3</c:v>
                </c:pt>
                <c:pt idx="16">
                  <c:v>7.2999203201822124E-4</c:v>
                </c:pt>
                <c:pt idx="17">
                  <c:v>7.2991667800195227E-4</c:v>
                </c:pt>
                <c:pt idx="18">
                  <c:v>1.1540996023146073E-3</c:v>
                </c:pt>
                <c:pt idx="19">
                  <c:v>3.8269971825202571E-3</c:v>
                </c:pt>
                <c:pt idx="20">
                  <c:v>6.4659709615297557E-3</c:v>
                </c:pt>
                <c:pt idx="21">
                  <c:v>6.8849862599023393E-3</c:v>
                </c:pt>
                <c:pt idx="22">
                  <c:v>6.9235555675235651E-3</c:v>
                </c:pt>
                <c:pt idx="23">
                  <c:v>6.8849662932537409E-3</c:v>
                </c:pt>
                <c:pt idx="24">
                  <c:v>6.278711626079612E-3</c:v>
                </c:pt>
                <c:pt idx="25">
                  <c:v>5.1617300362453251E-3</c:v>
                </c:pt>
                <c:pt idx="26">
                  <c:v>4.4103230094573358E-3</c:v>
                </c:pt>
                <c:pt idx="27">
                  <c:v>5.4868678732868459E-3</c:v>
                </c:pt>
                <c:pt idx="28">
                  <c:v>5.4625412933513931E-3</c:v>
                </c:pt>
                <c:pt idx="29">
                  <c:v>6.1071464203248851E-3</c:v>
                </c:pt>
                <c:pt idx="30">
                  <c:v>6.1071464203248851E-3</c:v>
                </c:pt>
                <c:pt idx="31">
                  <c:v>6.4878534723619057E-3</c:v>
                </c:pt>
                <c:pt idx="32">
                  <c:v>5.8396608964860243E-3</c:v>
                </c:pt>
                <c:pt idx="33">
                  <c:v>6.0415953978558874E-3</c:v>
                </c:pt>
                <c:pt idx="34">
                  <c:v>4.2251605148029853E-3</c:v>
                </c:pt>
                <c:pt idx="35">
                  <c:v>4.5587445757445805E-3</c:v>
                </c:pt>
                <c:pt idx="36">
                  <c:v>4.380055889212359E-3</c:v>
                </c:pt>
                <c:pt idx="37">
                  <c:v>4.2567197294392607E-3</c:v>
                </c:pt>
                <c:pt idx="38">
                  <c:v>3.5762506343870529E-3</c:v>
                </c:pt>
                <c:pt idx="39">
                  <c:v>4.4699931925076151E-3</c:v>
                </c:pt>
                <c:pt idx="40">
                  <c:v>4.4697625042149167E-3</c:v>
                </c:pt>
                <c:pt idx="41">
                  <c:v>3.5755816016302235E-3</c:v>
                </c:pt>
                <c:pt idx="42">
                  <c:v>3.7572346467698694E-3</c:v>
                </c:pt>
                <c:pt idx="43">
                  <c:v>3.7215971669455404E-3</c:v>
                </c:pt>
                <c:pt idx="44">
                  <c:v>1.3653779447815179E-3</c:v>
                </c:pt>
                <c:pt idx="45">
                  <c:v>8.9400785463364472E-4</c:v>
                </c:pt>
                <c:pt idx="46">
                  <c:v>8.9400785463364472E-4</c:v>
                </c:pt>
                <c:pt idx="47">
                  <c:v>1.4601819268980055E-3</c:v>
                </c:pt>
                <c:pt idx="48">
                  <c:v>3.7225060225029348E-3</c:v>
                </c:pt>
                <c:pt idx="49">
                  <c:v>3.7224838579355555E-3</c:v>
                </c:pt>
                <c:pt idx="50">
                  <c:v>4.842693800436954E-3</c:v>
                </c:pt>
                <c:pt idx="51">
                  <c:v>5.2138033601271481E-3</c:v>
                </c:pt>
                <c:pt idx="52">
                  <c:v>5.3399389935505498E-3</c:v>
                </c:pt>
                <c:pt idx="53">
                  <c:v>4.4707777929948213E-3</c:v>
                </c:pt>
                <c:pt idx="54">
                  <c:v>4.5592153159277156E-3</c:v>
                </c:pt>
                <c:pt idx="55">
                  <c:v>3.8966889154642228E-3</c:v>
                </c:pt>
                <c:pt idx="56">
                  <c:v>4.1611654091048972E-3</c:v>
                </c:pt>
                <c:pt idx="57">
                  <c:v>3.1813997717614301E-3</c:v>
                </c:pt>
                <c:pt idx="58">
                  <c:v>4.1611654091048972E-3</c:v>
                </c:pt>
                <c:pt idx="59">
                  <c:v>3.7576078974053692E-3</c:v>
                </c:pt>
                <c:pt idx="60">
                  <c:v>3.3452437667830059E-3</c:v>
                </c:pt>
                <c:pt idx="61">
                  <c:v>2.9651860118530679E-3</c:v>
                </c:pt>
                <c:pt idx="62">
                  <c:v>3.4623584405002487E-3</c:v>
                </c:pt>
                <c:pt idx="63">
                  <c:v>3.1393196053196544E-3</c:v>
                </c:pt>
                <c:pt idx="64">
                  <c:v>3.1393196053196544E-3</c:v>
                </c:pt>
                <c:pt idx="65">
                  <c:v>2.4205644819294825E-3</c:v>
                </c:pt>
                <c:pt idx="66">
                  <c:v>2.7307306987684994E-3</c:v>
                </c:pt>
                <c:pt idx="67">
                  <c:v>1.8607007039102591E-3</c:v>
                </c:pt>
                <c:pt idx="68">
                  <c:v>1.860722861512698E-3</c:v>
                </c:pt>
                <c:pt idx="69">
                  <c:v>1.860722861512698E-3</c:v>
                </c:pt>
                <c:pt idx="70">
                  <c:v>1.4597297736075763E-3</c:v>
                </c:pt>
                <c:pt idx="71">
                  <c:v>1.7878542133047614E-3</c:v>
                </c:pt>
                <c:pt idx="72">
                  <c:v>7.2991667800195227E-4</c:v>
                </c:pt>
                <c:pt idx="73">
                  <c:v>1.459635610251806E-3</c:v>
                </c:pt>
                <c:pt idx="74">
                  <c:v>1.3653376773451215E-3</c:v>
                </c:pt>
                <c:pt idx="75">
                  <c:v>1.3653376773451215E-3</c:v>
                </c:pt>
                <c:pt idx="76">
                  <c:v>1.4595791180654679E-3</c:v>
                </c:pt>
                <c:pt idx="77">
                  <c:v>2.1271246746117803E-3</c:v>
                </c:pt>
                <c:pt idx="78">
                  <c:v>1.9979279879345575E-3</c:v>
                </c:pt>
                <c:pt idx="79">
                  <c:v>2.473480827133515E-3</c:v>
                </c:pt>
                <c:pt idx="80">
                  <c:v>4.6983613620107121E-3</c:v>
                </c:pt>
                <c:pt idx="81">
                  <c:v>4.6983613620107121E-3</c:v>
                </c:pt>
                <c:pt idx="82">
                  <c:v>4.6983613620106756E-3</c:v>
                </c:pt>
                <c:pt idx="83">
                  <c:v>4.5253074035295614E-3</c:v>
                </c:pt>
                <c:pt idx="84">
                  <c:v>2.9174600911129498E-3</c:v>
                </c:pt>
                <c:pt idx="85">
                  <c:v>2.3071573311508678E-3</c:v>
                </c:pt>
                <c:pt idx="86">
                  <c:v>2.3071573311508678E-3</c:v>
                </c:pt>
                <c:pt idx="87">
                  <c:v>1.4594567258960523E-3</c:v>
                </c:pt>
                <c:pt idx="88">
                  <c:v>1.4594567258960523E-3</c:v>
                </c:pt>
                <c:pt idx="89">
                  <c:v>1.4594567258953632E-3</c:v>
                </c:pt>
                <c:pt idx="90">
                  <c:v>1.4594567258953632E-3</c:v>
                </c:pt>
                <c:pt idx="91">
                  <c:v>1.4594284936164839E-3</c:v>
                </c:pt>
                <c:pt idx="92">
                  <c:v>1.4594284936164839E-3</c:v>
                </c:pt>
                <c:pt idx="93">
                  <c:v>1.4594284936164839E-3</c:v>
                </c:pt>
                <c:pt idx="94">
                  <c:v>7.2961541744301719E-4</c:v>
                </c:pt>
                <c:pt idx="95">
                  <c:v>7.2961541744301719E-4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7.2961541744242359E-4</c:v>
                </c:pt>
                <c:pt idx="101">
                  <c:v>7.2961541744242359E-4</c:v>
                </c:pt>
                <c:pt idx="102">
                  <c:v>7.2961541744242359E-4</c:v>
                </c:pt>
                <c:pt idx="103">
                  <c:v>7.2961541744242359E-4</c:v>
                </c:pt>
                <c:pt idx="104">
                  <c:v>7.2961541744242359E-4</c:v>
                </c:pt>
                <c:pt idx="105">
                  <c:v>0</c:v>
                </c:pt>
                <c:pt idx="106">
                  <c:v>7.2961541744301719E-4</c:v>
                </c:pt>
                <c:pt idx="107">
                  <c:v>1.787254641405436E-3</c:v>
                </c:pt>
                <c:pt idx="108">
                  <c:v>1.787254641405436E-3</c:v>
                </c:pt>
                <c:pt idx="109">
                  <c:v>1.787254641405436E-3</c:v>
                </c:pt>
                <c:pt idx="110">
                  <c:v>1.787254641405436E-3</c:v>
                </c:pt>
                <c:pt idx="111">
                  <c:v>1.7874621749604353E-3</c:v>
                </c:pt>
                <c:pt idx="112">
                  <c:v>1.4596356102517581E-3</c:v>
                </c:pt>
                <c:pt idx="113">
                  <c:v>1.4596356102517581E-3</c:v>
                </c:pt>
                <c:pt idx="114">
                  <c:v>3.0531228863329447E-3</c:v>
                </c:pt>
                <c:pt idx="115">
                  <c:v>3.384082297055128E-3</c:v>
                </c:pt>
                <c:pt idx="116">
                  <c:v>3.3842122865805169E-3</c:v>
                </c:pt>
                <c:pt idx="117">
                  <c:v>3.3842366703850449E-3</c:v>
                </c:pt>
                <c:pt idx="118">
                  <c:v>4.2252813812258408E-3</c:v>
                </c:pt>
                <c:pt idx="119">
                  <c:v>1.0209837486047918E-2</c:v>
                </c:pt>
                <c:pt idx="120">
                  <c:v>1.35501633387714E-2</c:v>
                </c:pt>
                <c:pt idx="121">
                  <c:v>1.3628538811157354E-2</c:v>
                </c:pt>
                <c:pt idx="122">
                  <c:v>1.3745470256894059E-2</c:v>
                </c:pt>
                <c:pt idx="123">
                  <c:v>1.3706707422909116E-2</c:v>
                </c:pt>
                <c:pt idx="124">
                  <c:v>8.7576365908488534E-3</c:v>
                </c:pt>
                <c:pt idx="125">
                  <c:v>9.2885871303954905E-3</c:v>
                </c:pt>
                <c:pt idx="126">
                  <c:v>9.2163754934011192E-3</c:v>
                </c:pt>
                <c:pt idx="127">
                  <c:v>1.0440198150804393E-2</c:v>
                </c:pt>
                <c:pt idx="128">
                  <c:v>1.3694359942147257E-2</c:v>
                </c:pt>
                <c:pt idx="129">
                  <c:v>1.1763462981174887E-2</c:v>
                </c:pt>
                <c:pt idx="130">
                  <c:v>1.0693509701682825E-2</c:v>
                </c:pt>
                <c:pt idx="131">
                  <c:v>1.0693509701682825E-2</c:v>
                </c:pt>
                <c:pt idx="132">
                  <c:v>8.7710781770330426E-3</c:v>
                </c:pt>
                <c:pt idx="133">
                  <c:v>1.7891007643022986E-3</c:v>
                </c:pt>
                <c:pt idx="134">
                  <c:v>8.9456193450029452E-4</c:v>
                </c:pt>
                <c:pt idx="135">
                  <c:v>1.3664961709440103E-3</c:v>
                </c:pt>
                <c:pt idx="136">
                  <c:v>1.3664961709440103E-3</c:v>
                </c:pt>
                <c:pt idx="137">
                  <c:v>1.1549341353703035E-3</c:v>
                </c:pt>
                <c:pt idx="138">
                  <c:v>1.8620977962999841E-3</c:v>
                </c:pt>
                <c:pt idx="139">
                  <c:v>3.0553303648112183E-3</c:v>
                </c:pt>
                <c:pt idx="140">
                  <c:v>2.9214242971385466E-3</c:v>
                </c:pt>
                <c:pt idx="141">
                  <c:v>3.7597754454650372E-3</c:v>
                </c:pt>
                <c:pt idx="142">
                  <c:v>3.7597754454650372E-3</c:v>
                </c:pt>
                <c:pt idx="143">
                  <c:v>3.4644445520718849E-3</c:v>
                </c:pt>
                <c:pt idx="144">
                  <c:v>2.9214242971390986E-3</c:v>
                </c:pt>
                <c:pt idx="145">
                  <c:v>2.9667173501624032E-3</c:v>
                </c:pt>
                <c:pt idx="146">
                  <c:v>2.6836858241809131E-3</c:v>
                </c:pt>
                <c:pt idx="147">
                  <c:v>5.0865320554219252E-3</c:v>
                </c:pt>
                <c:pt idx="148">
                  <c:v>5.2413630027344765E-3</c:v>
                </c:pt>
                <c:pt idx="149">
                  <c:v>4.9535456329050055E-3</c:v>
                </c:pt>
                <c:pt idx="150">
                  <c:v>4.9803783535804259E-3</c:v>
                </c:pt>
                <c:pt idx="151">
                  <c:v>3.7595814620772165E-3</c:v>
                </c:pt>
                <c:pt idx="152">
                  <c:v>2.1285521278909102E-3</c:v>
                </c:pt>
                <c:pt idx="153">
                  <c:v>1.8614692159861664E-3</c:v>
                </c:pt>
                <c:pt idx="154">
                  <c:v>1.8614913918949436E-3</c:v>
                </c:pt>
                <c:pt idx="155">
                  <c:v>1.8615135805195679E-3</c:v>
                </c:pt>
                <c:pt idx="156">
                  <c:v>3.1407302357546918E-3</c:v>
                </c:pt>
                <c:pt idx="157">
                  <c:v>3.3856995662039455E-3</c:v>
                </c:pt>
                <c:pt idx="158">
                  <c:v>3.8978217992327972E-3</c:v>
                </c:pt>
                <c:pt idx="159">
                  <c:v>7.4793658955620628E-3</c:v>
                </c:pt>
                <c:pt idx="160">
                  <c:v>8.9684935033989537E-3</c:v>
                </c:pt>
                <c:pt idx="161">
                  <c:v>8.8336656512443632E-3</c:v>
                </c:pt>
                <c:pt idx="162">
                  <c:v>8.7426961604544686E-3</c:v>
                </c:pt>
                <c:pt idx="163">
                  <c:v>8.2728027331916334E-3</c:v>
                </c:pt>
                <c:pt idx="164">
                  <c:v>8.5918871977891786E-3</c:v>
                </c:pt>
                <c:pt idx="165">
                  <c:v>8.5931208268295433E-3</c:v>
                </c:pt>
                <c:pt idx="166">
                  <c:v>8.2122949111053441E-3</c:v>
                </c:pt>
                <c:pt idx="167">
                  <c:v>1.2996598606906105E-2</c:v>
                </c:pt>
                <c:pt idx="168">
                  <c:v>1.3440658553686398E-2</c:v>
                </c:pt>
                <c:pt idx="169">
                  <c:v>1.0231095565880075E-2</c:v>
                </c:pt>
                <c:pt idx="170">
                  <c:v>9.4147538428238416E-3</c:v>
                </c:pt>
                <c:pt idx="171">
                  <c:v>7.7841175592559516E-3</c:v>
                </c:pt>
                <c:pt idx="172">
                  <c:v>5.3403669358488524E-3</c:v>
                </c:pt>
                <c:pt idx="173">
                  <c:v>4.470500804569762E-3</c:v>
                </c:pt>
                <c:pt idx="174">
                  <c:v>2.6823004814713102E-3</c:v>
                </c:pt>
                <c:pt idx="175">
                  <c:v>3.2658670209419496E-3</c:v>
                </c:pt>
                <c:pt idx="176">
                  <c:v>3.26681617711888E-3</c:v>
                </c:pt>
                <c:pt idx="177">
                  <c:v>5.4669127753495623E-3</c:v>
                </c:pt>
                <c:pt idx="178">
                  <c:v>7.448820973030886E-3</c:v>
                </c:pt>
                <c:pt idx="179">
                  <c:v>7.448820973030886E-3</c:v>
                </c:pt>
                <c:pt idx="180">
                  <c:v>8.8207261635095489E-3</c:v>
                </c:pt>
                <c:pt idx="181">
                  <c:v>9.9519059741576734E-3</c:v>
                </c:pt>
                <c:pt idx="182">
                  <c:v>1.0422418336718291E-2</c:v>
                </c:pt>
                <c:pt idx="183">
                  <c:v>9.6243062909716383E-3</c:v>
                </c:pt>
                <c:pt idx="184">
                  <c:v>9.9509722917875323E-3</c:v>
                </c:pt>
                <c:pt idx="185">
                  <c:v>4.2561610340757271E-3</c:v>
                </c:pt>
                <c:pt idx="186">
                  <c:v>3.6522985652046882E-3</c:v>
                </c:pt>
                <c:pt idx="187">
                  <c:v>6.3684375718753511E-3</c:v>
                </c:pt>
                <c:pt idx="188">
                  <c:v>6.2201320974902569E-3</c:v>
                </c:pt>
                <c:pt idx="189">
                  <c:v>8.8713037563906989E-3</c:v>
                </c:pt>
                <c:pt idx="190">
                  <c:v>7.0636444086095117E-3</c:v>
                </c:pt>
                <c:pt idx="191">
                  <c:v>7.0616082269055807E-3</c:v>
                </c:pt>
                <c:pt idx="192">
                  <c:v>6.8308284985055335E-3</c:v>
                </c:pt>
                <c:pt idx="193">
                  <c:v>6.6727470164978679E-3</c:v>
                </c:pt>
                <c:pt idx="194">
                  <c:v>4.0645522588823382E-3</c:v>
                </c:pt>
                <c:pt idx="195">
                  <c:v>4.0658525527668471E-3</c:v>
                </c:pt>
                <c:pt idx="196">
                  <c:v>9.2898936842550038E-3</c:v>
                </c:pt>
                <c:pt idx="197">
                  <c:v>9.9027800468077885E-3</c:v>
                </c:pt>
                <c:pt idx="198">
                  <c:v>1.014276128101522E-2</c:v>
                </c:pt>
                <c:pt idx="199">
                  <c:v>1.014276128101522E-2</c:v>
                </c:pt>
                <c:pt idx="200">
                  <c:v>1.0143782163517828E-2</c:v>
                </c:pt>
                <c:pt idx="201">
                  <c:v>5.4985015685569604E-3</c:v>
                </c:pt>
                <c:pt idx="202">
                  <c:v>5.7363953710195831E-3</c:v>
                </c:pt>
                <c:pt idx="203">
                  <c:v>5.7363881393211868E-3</c:v>
                </c:pt>
                <c:pt idx="204">
                  <c:v>6.6023946014067917E-3</c:v>
                </c:pt>
                <c:pt idx="205">
                  <c:v>3.7615517618393118E-3</c:v>
                </c:pt>
                <c:pt idx="206">
                  <c:v>6.0473129986260369E-3</c:v>
                </c:pt>
                <c:pt idx="207">
                  <c:v>6.1782390795876822E-3</c:v>
                </c:pt>
                <c:pt idx="208">
                  <c:v>6.1782390795876822E-3</c:v>
                </c:pt>
                <c:pt idx="209">
                  <c:v>8.6099878777223977E-3</c:v>
                </c:pt>
                <c:pt idx="210">
                  <c:v>8.3728979472057104E-3</c:v>
                </c:pt>
                <c:pt idx="211">
                  <c:v>1.334056904627653E-2</c:v>
                </c:pt>
                <c:pt idx="212">
                  <c:v>1.3330564609935111E-2</c:v>
                </c:pt>
                <c:pt idx="213">
                  <c:v>1.3310539388385674E-2</c:v>
                </c:pt>
                <c:pt idx="214">
                  <c:v>1.1152788834936402E-2</c:v>
                </c:pt>
                <c:pt idx="215">
                  <c:v>1.0412310703868661E-2</c:v>
                </c:pt>
                <c:pt idx="216">
                  <c:v>2.1283065820456317E-3</c:v>
                </c:pt>
                <c:pt idx="217">
                  <c:v>2.4745524750170761E-3</c:v>
                </c:pt>
                <c:pt idx="218">
                  <c:v>6.0388430112175255E-3</c:v>
                </c:pt>
                <c:pt idx="219">
                  <c:v>6.7863527002885188E-3</c:v>
                </c:pt>
                <c:pt idx="220">
                  <c:v>6.6680408746883496E-3</c:v>
                </c:pt>
                <c:pt idx="221">
                  <c:v>6.4239272130842571E-3</c:v>
                </c:pt>
                <c:pt idx="222">
                  <c:v>5.816958104511015E-3</c:v>
                </c:pt>
                <c:pt idx="223">
                  <c:v>7.0593462238546694E-3</c:v>
                </c:pt>
                <c:pt idx="224">
                  <c:v>5.5845188575701765E-3</c:v>
                </c:pt>
                <c:pt idx="225">
                  <c:v>1.359514304837289E-2</c:v>
                </c:pt>
                <c:pt idx="226">
                  <c:v>1.3516366900318454E-2</c:v>
                </c:pt>
                <c:pt idx="227">
                  <c:v>1.3781302523781199E-2</c:v>
                </c:pt>
                <c:pt idx="228">
                  <c:v>1.235379916943408E-2</c:v>
                </c:pt>
                <c:pt idx="229">
                  <c:v>1.3470818105919439E-2</c:v>
                </c:pt>
                <c:pt idx="230">
                  <c:v>6.373158110128058E-3</c:v>
                </c:pt>
                <c:pt idx="231">
                  <c:v>6.1815615013732844E-3</c:v>
                </c:pt>
                <c:pt idx="232">
                  <c:v>5.246368880926275E-3</c:v>
                </c:pt>
                <c:pt idx="233">
                  <c:v>3.5437455995920492E-3</c:v>
                </c:pt>
                <c:pt idx="234">
                  <c:v>3.0575410377149032E-3</c:v>
                </c:pt>
                <c:pt idx="235">
                  <c:v>6.596464968398468E-3</c:v>
                </c:pt>
                <c:pt idx="236">
                  <c:v>7.6629369136569049E-3</c:v>
                </c:pt>
                <c:pt idx="237">
                  <c:v>8.6901174360301432E-3</c:v>
                </c:pt>
                <c:pt idx="238">
                  <c:v>9.3394567562267768E-3</c:v>
                </c:pt>
                <c:pt idx="239">
                  <c:v>1.3294364899517424E-2</c:v>
                </c:pt>
                <c:pt idx="240">
                  <c:v>1.2486114607575934E-2</c:v>
                </c:pt>
                <c:pt idx="241">
                  <c:v>1.1861486787607253E-2</c:v>
                </c:pt>
                <c:pt idx="242">
                  <c:v>1.0789931620054906E-2</c:v>
                </c:pt>
              </c:numCache>
            </c:numRef>
          </c:val>
        </c:ser>
        <c:marker val="1"/>
        <c:axId val="134395008"/>
        <c:axId val="134396544"/>
      </c:lineChart>
      <c:catAx>
        <c:axId val="134383104"/>
        <c:scaling>
          <c:orientation val="minMax"/>
        </c:scaling>
        <c:axPos val="b"/>
        <c:numFmt formatCode="dd/mmm/yy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84640"/>
        <c:crosses val="autoZero"/>
        <c:lblAlgn val="ctr"/>
        <c:lblOffset val="100"/>
        <c:tickLblSkip val="8"/>
        <c:tickMarkSkip val="8"/>
      </c:catAx>
      <c:valAx>
        <c:axId val="134384640"/>
        <c:scaling>
          <c:orientation val="minMax"/>
          <c:max val="65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7.1530858160734866E-3"/>
              <c:y val="0.3090915951074111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83104"/>
        <c:crosses val="autoZero"/>
        <c:crossBetween val="between"/>
        <c:majorUnit val="500"/>
        <c:minorUnit val="50"/>
      </c:valAx>
      <c:catAx>
        <c:axId val="134395008"/>
        <c:scaling>
          <c:orientation val="minMax"/>
        </c:scaling>
        <c:delete val="1"/>
        <c:axPos val="b"/>
        <c:numFmt formatCode="General" sourceLinked="1"/>
        <c:tickLblPos val="nextTo"/>
        <c:crossAx val="134396544"/>
        <c:crossesAt val="0"/>
        <c:lblAlgn val="ctr"/>
        <c:lblOffset val="100"/>
      </c:catAx>
      <c:valAx>
        <c:axId val="134396544"/>
        <c:scaling>
          <c:orientation val="minMax"/>
          <c:max val="2.0000000000000007E-2"/>
          <c:min val="0"/>
        </c:scaling>
        <c:axPos val="r"/>
        <c:title>
          <c:tx>
            <c:rich>
              <a:bodyPr/>
              <a:lstStyle/>
              <a:p>
                <a:pPr>
                  <a:defRPr lang="ko-KR"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Volatility Percentage</a:t>
                </a:r>
              </a:p>
            </c:rich>
          </c:tx>
          <c:layout>
            <c:manualLayout>
              <c:xMode val="edge"/>
              <c:yMode val="edge"/>
              <c:x val="0.97138905382277962"/>
              <c:y val="0.2181823024287607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395008"/>
        <c:crosses val="max"/>
        <c:crossBetween val="between"/>
        <c:majorUnit val="1.0000000000000004E-2"/>
        <c:minorUnit val="1.0000000000000005E-3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13331703398415"/>
          <c:y val="0.15909126218763814"/>
          <c:w val="0.23605183193042512"/>
          <c:h val="6.3636504875055233E-2"/>
        </c:manualLayout>
      </c:layout>
      <c:spPr>
        <a:solidFill>
          <a:srgbClr val="E3E3E3"/>
        </a:solidFill>
        <a:ln w="25400">
          <a:noFill/>
        </a:ln>
      </c:spPr>
      <c:txPr>
        <a:bodyPr/>
        <a:lstStyle/>
        <a:p>
          <a:pPr>
            <a:defRPr lang="ko-KR"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000062779061724E-2"/>
          <c:y val="6.6079295154185022E-2"/>
          <c:w val="0.81714342713687749"/>
          <c:h val="0.67841409691629961"/>
        </c:manualLayout>
      </c:layout>
      <c:barChart>
        <c:barDir val="col"/>
        <c:grouping val="clustered"/>
        <c:ser>
          <c:idx val="1"/>
          <c:order val="0"/>
          <c:tx>
            <c:strRef>
              <c:f>[1]FCPO!$AL$2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3FB8CD"/>
            </a:solidFill>
            <a:ln w="12700">
              <a:solidFill>
                <a:srgbClr val="3FB8CD"/>
              </a:solidFill>
              <a:prstDash val="solid"/>
            </a:ln>
          </c:spPr>
          <c:cat>
            <c:numRef>
              <c:f>[1]FCPO!$A$5443:$A$5686</c:f>
              <c:numCache>
                <c:formatCode>General</c:formatCode>
                <c:ptCount val="244"/>
                <c:pt idx="0">
                  <c:v>37638</c:v>
                </c:pt>
                <c:pt idx="1">
                  <c:v>37641</c:v>
                </c:pt>
                <c:pt idx="2">
                  <c:v>37642</c:v>
                </c:pt>
                <c:pt idx="3">
                  <c:v>37643</c:v>
                </c:pt>
                <c:pt idx="4">
                  <c:v>37644</c:v>
                </c:pt>
                <c:pt idx="5">
                  <c:v>37645</c:v>
                </c:pt>
                <c:pt idx="6">
                  <c:v>37648</c:v>
                </c:pt>
                <c:pt idx="7">
                  <c:v>37649</c:v>
                </c:pt>
                <c:pt idx="8">
                  <c:v>37650</c:v>
                </c:pt>
                <c:pt idx="9">
                  <c:v>37651</c:v>
                </c:pt>
                <c:pt idx="10">
                  <c:v>37657</c:v>
                </c:pt>
                <c:pt idx="11">
                  <c:v>37658</c:v>
                </c:pt>
                <c:pt idx="12">
                  <c:v>37659</c:v>
                </c:pt>
                <c:pt idx="13">
                  <c:v>37662</c:v>
                </c:pt>
                <c:pt idx="14">
                  <c:v>37663</c:v>
                </c:pt>
                <c:pt idx="15">
                  <c:v>37665</c:v>
                </c:pt>
                <c:pt idx="16">
                  <c:v>37666</c:v>
                </c:pt>
                <c:pt idx="17">
                  <c:v>37669</c:v>
                </c:pt>
                <c:pt idx="18">
                  <c:v>37670</c:v>
                </c:pt>
                <c:pt idx="19">
                  <c:v>37671</c:v>
                </c:pt>
                <c:pt idx="20">
                  <c:v>37672</c:v>
                </c:pt>
                <c:pt idx="21">
                  <c:v>37673</c:v>
                </c:pt>
                <c:pt idx="22">
                  <c:v>37676</c:v>
                </c:pt>
                <c:pt idx="23">
                  <c:v>37677</c:v>
                </c:pt>
                <c:pt idx="24">
                  <c:v>37678</c:v>
                </c:pt>
                <c:pt idx="25">
                  <c:v>37679</c:v>
                </c:pt>
                <c:pt idx="26">
                  <c:v>37680</c:v>
                </c:pt>
                <c:pt idx="27">
                  <c:v>37683</c:v>
                </c:pt>
                <c:pt idx="28">
                  <c:v>37685</c:v>
                </c:pt>
                <c:pt idx="29">
                  <c:v>37686</c:v>
                </c:pt>
                <c:pt idx="30">
                  <c:v>37687</c:v>
                </c:pt>
                <c:pt idx="31">
                  <c:v>37690</c:v>
                </c:pt>
                <c:pt idx="32">
                  <c:v>37691</c:v>
                </c:pt>
                <c:pt idx="33">
                  <c:v>37692</c:v>
                </c:pt>
                <c:pt idx="34">
                  <c:v>37693</c:v>
                </c:pt>
                <c:pt idx="35">
                  <c:v>37694</c:v>
                </c:pt>
                <c:pt idx="36">
                  <c:v>37697</c:v>
                </c:pt>
                <c:pt idx="37">
                  <c:v>37698</c:v>
                </c:pt>
                <c:pt idx="38">
                  <c:v>37699</c:v>
                </c:pt>
                <c:pt idx="39">
                  <c:v>37700</c:v>
                </c:pt>
                <c:pt idx="40">
                  <c:v>37701</c:v>
                </c:pt>
                <c:pt idx="41">
                  <c:v>37704</c:v>
                </c:pt>
                <c:pt idx="42">
                  <c:v>37705</c:v>
                </c:pt>
                <c:pt idx="43">
                  <c:v>37706</c:v>
                </c:pt>
                <c:pt idx="44">
                  <c:v>37707</c:v>
                </c:pt>
                <c:pt idx="45">
                  <c:v>37708</c:v>
                </c:pt>
                <c:pt idx="46">
                  <c:v>37711</c:v>
                </c:pt>
                <c:pt idx="47">
                  <c:v>37712</c:v>
                </c:pt>
                <c:pt idx="48">
                  <c:v>37713</c:v>
                </c:pt>
                <c:pt idx="49">
                  <c:v>37714</c:v>
                </c:pt>
                <c:pt idx="50">
                  <c:v>37715</c:v>
                </c:pt>
                <c:pt idx="51">
                  <c:v>37718</c:v>
                </c:pt>
                <c:pt idx="52">
                  <c:v>37719</c:v>
                </c:pt>
                <c:pt idx="53">
                  <c:v>37720</c:v>
                </c:pt>
                <c:pt idx="54">
                  <c:v>37721</c:v>
                </c:pt>
                <c:pt idx="55">
                  <c:v>37722</c:v>
                </c:pt>
                <c:pt idx="56">
                  <c:v>37725</c:v>
                </c:pt>
                <c:pt idx="57">
                  <c:v>37726</c:v>
                </c:pt>
                <c:pt idx="58">
                  <c:v>37727</c:v>
                </c:pt>
                <c:pt idx="59">
                  <c:v>37728</c:v>
                </c:pt>
                <c:pt idx="60">
                  <c:v>37729</c:v>
                </c:pt>
                <c:pt idx="61">
                  <c:v>37732</c:v>
                </c:pt>
                <c:pt idx="62">
                  <c:v>37733</c:v>
                </c:pt>
                <c:pt idx="63">
                  <c:v>37734</c:v>
                </c:pt>
                <c:pt idx="64">
                  <c:v>37735</c:v>
                </c:pt>
                <c:pt idx="65">
                  <c:v>37736</c:v>
                </c:pt>
                <c:pt idx="66">
                  <c:v>37739</c:v>
                </c:pt>
                <c:pt idx="67">
                  <c:v>37740</c:v>
                </c:pt>
                <c:pt idx="68">
                  <c:v>37741</c:v>
                </c:pt>
                <c:pt idx="69">
                  <c:v>37743</c:v>
                </c:pt>
                <c:pt idx="70">
                  <c:v>37746</c:v>
                </c:pt>
                <c:pt idx="71">
                  <c:v>37747</c:v>
                </c:pt>
                <c:pt idx="72">
                  <c:v>37748</c:v>
                </c:pt>
                <c:pt idx="73">
                  <c:v>37749</c:v>
                </c:pt>
                <c:pt idx="74">
                  <c:v>37750</c:v>
                </c:pt>
                <c:pt idx="75">
                  <c:v>37753</c:v>
                </c:pt>
                <c:pt idx="76">
                  <c:v>37754</c:v>
                </c:pt>
                <c:pt idx="77">
                  <c:v>37757</c:v>
                </c:pt>
                <c:pt idx="78">
                  <c:v>37760</c:v>
                </c:pt>
                <c:pt idx="79">
                  <c:v>37761</c:v>
                </c:pt>
                <c:pt idx="80">
                  <c:v>37762</c:v>
                </c:pt>
                <c:pt idx="81">
                  <c:v>37763</c:v>
                </c:pt>
                <c:pt idx="82">
                  <c:v>37764</c:v>
                </c:pt>
                <c:pt idx="83">
                  <c:v>37767</c:v>
                </c:pt>
                <c:pt idx="84">
                  <c:v>37768</c:v>
                </c:pt>
                <c:pt idx="85">
                  <c:v>37769</c:v>
                </c:pt>
                <c:pt idx="86">
                  <c:v>37770</c:v>
                </c:pt>
                <c:pt idx="87">
                  <c:v>37771</c:v>
                </c:pt>
                <c:pt idx="88">
                  <c:v>37774</c:v>
                </c:pt>
                <c:pt idx="89">
                  <c:v>37775</c:v>
                </c:pt>
                <c:pt idx="90">
                  <c:v>37776</c:v>
                </c:pt>
                <c:pt idx="91">
                  <c:v>37777</c:v>
                </c:pt>
                <c:pt idx="92">
                  <c:v>37778</c:v>
                </c:pt>
                <c:pt idx="93">
                  <c:v>37781</c:v>
                </c:pt>
                <c:pt idx="94">
                  <c:v>37782</c:v>
                </c:pt>
                <c:pt idx="95">
                  <c:v>37783</c:v>
                </c:pt>
                <c:pt idx="96">
                  <c:v>37784</c:v>
                </c:pt>
                <c:pt idx="97">
                  <c:v>37785</c:v>
                </c:pt>
                <c:pt idx="98">
                  <c:v>37788</c:v>
                </c:pt>
                <c:pt idx="99">
                  <c:v>37789</c:v>
                </c:pt>
                <c:pt idx="100">
                  <c:v>37790</c:v>
                </c:pt>
                <c:pt idx="101">
                  <c:v>37791</c:v>
                </c:pt>
                <c:pt idx="102">
                  <c:v>37792</c:v>
                </c:pt>
                <c:pt idx="103">
                  <c:v>37795</c:v>
                </c:pt>
                <c:pt idx="104">
                  <c:v>37796</c:v>
                </c:pt>
                <c:pt idx="105">
                  <c:v>37797</c:v>
                </c:pt>
                <c:pt idx="106">
                  <c:v>37798</c:v>
                </c:pt>
                <c:pt idx="107">
                  <c:v>37799</c:v>
                </c:pt>
                <c:pt idx="108">
                  <c:v>37802</c:v>
                </c:pt>
                <c:pt idx="109">
                  <c:v>37803</c:v>
                </c:pt>
                <c:pt idx="110">
                  <c:v>37804</c:v>
                </c:pt>
                <c:pt idx="111">
                  <c:v>37805</c:v>
                </c:pt>
                <c:pt idx="112">
                  <c:v>37806</c:v>
                </c:pt>
                <c:pt idx="113">
                  <c:v>37809</c:v>
                </c:pt>
                <c:pt idx="114">
                  <c:v>37810</c:v>
                </c:pt>
                <c:pt idx="115">
                  <c:v>37811</c:v>
                </c:pt>
                <c:pt idx="116">
                  <c:v>37812</c:v>
                </c:pt>
                <c:pt idx="117">
                  <c:v>37813</c:v>
                </c:pt>
                <c:pt idx="118">
                  <c:v>37816</c:v>
                </c:pt>
                <c:pt idx="119">
                  <c:v>37817</c:v>
                </c:pt>
                <c:pt idx="120">
                  <c:v>37818</c:v>
                </c:pt>
                <c:pt idx="121">
                  <c:v>37819</c:v>
                </c:pt>
                <c:pt idx="122">
                  <c:v>37820</c:v>
                </c:pt>
                <c:pt idx="123">
                  <c:v>37823</c:v>
                </c:pt>
                <c:pt idx="124">
                  <c:v>37824</c:v>
                </c:pt>
                <c:pt idx="125">
                  <c:v>37825</c:v>
                </c:pt>
                <c:pt idx="126">
                  <c:v>37826</c:v>
                </c:pt>
                <c:pt idx="127">
                  <c:v>37827</c:v>
                </c:pt>
                <c:pt idx="128">
                  <c:v>37830</c:v>
                </c:pt>
                <c:pt idx="129">
                  <c:v>37831</c:v>
                </c:pt>
                <c:pt idx="130">
                  <c:v>37832</c:v>
                </c:pt>
                <c:pt idx="131">
                  <c:v>37833</c:v>
                </c:pt>
                <c:pt idx="132">
                  <c:v>37834</c:v>
                </c:pt>
                <c:pt idx="133">
                  <c:v>37837</c:v>
                </c:pt>
                <c:pt idx="134">
                  <c:v>37838</c:v>
                </c:pt>
                <c:pt idx="135">
                  <c:v>37839</c:v>
                </c:pt>
                <c:pt idx="136">
                  <c:v>37840</c:v>
                </c:pt>
                <c:pt idx="137">
                  <c:v>37841</c:v>
                </c:pt>
                <c:pt idx="138">
                  <c:v>37844</c:v>
                </c:pt>
                <c:pt idx="139">
                  <c:v>37845</c:v>
                </c:pt>
                <c:pt idx="140">
                  <c:v>37846</c:v>
                </c:pt>
                <c:pt idx="141">
                  <c:v>37847</c:v>
                </c:pt>
                <c:pt idx="142">
                  <c:v>37848</c:v>
                </c:pt>
                <c:pt idx="143">
                  <c:v>37851</c:v>
                </c:pt>
                <c:pt idx="144">
                  <c:v>37852</c:v>
                </c:pt>
                <c:pt idx="145">
                  <c:v>37853</c:v>
                </c:pt>
                <c:pt idx="146">
                  <c:v>37854</c:v>
                </c:pt>
                <c:pt idx="147">
                  <c:v>37855</c:v>
                </c:pt>
                <c:pt idx="148">
                  <c:v>37858</c:v>
                </c:pt>
                <c:pt idx="149">
                  <c:v>37859</c:v>
                </c:pt>
                <c:pt idx="150">
                  <c:v>37860</c:v>
                </c:pt>
                <c:pt idx="151">
                  <c:v>37861</c:v>
                </c:pt>
                <c:pt idx="152">
                  <c:v>37862</c:v>
                </c:pt>
                <c:pt idx="153">
                  <c:v>37866</c:v>
                </c:pt>
                <c:pt idx="154">
                  <c:v>37867</c:v>
                </c:pt>
                <c:pt idx="155">
                  <c:v>37868</c:v>
                </c:pt>
                <c:pt idx="156">
                  <c:v>37869</c:v>
                </c:pt>
                <c:pt idx="157">
                  <c:v>37872</c:v>
                </c:pt>
                <c:pt idx="158">
                  <c:v>37873</c:v>
                </c:pt>
                <c:pt idx="159">
                  <c:v>37874</c:v>
                </c:pt>
                <c:pt idx="160">
                  <c:v>37875</c:v>
                </c:pt>
                <c:pt idx="161">
                  <c:v>37876</c:v>
                </c:pt>
                <c:pt idx="162">
                  <c:v>37879</c:v>
                </c:pt>
                <c:pt idx="163">
                  <c:v>37880</c:v>
                </c:pt>
                <c:pt idx="164">
                  <c:v>37881</c:v>
                </c:pt>
                <c:pt idx="165">
                  <c:v>37882</c:v>
                </c:pt>
                <c:pt idx="166">
                  <c:v>37883</c:v>
                </c:pt>
                <c:pt idx="167">
                  <c:v>37886</c:v>
                </c:pt>
                <c:pt idx="168">
                  <c:v>37887</c:v>
                </c:pt>
                <c:pt idx="169">
                  <c:v>37888</c:v>
                </c:pt>
                <c:pt idx="170">
                  <c:v>37889</c:v>
                </c:pt>
                <c:pt idx="171">
                  <c:v>37890</c:v>
                </c:pt>
                <c:pt idx="172">
                  <c:v>37893</c:v>
                </c:pt>
                <c:pt idx="173">
                  <c:v>37894</c:v>
                </c:pt>
                <c:pt idx="174">
                  <c:v>37895</c:v>
                </c:pt>
                <c:pt idx="175">
                  <c:v>37896</c:v>
                </c:pt>
                <c:pt idx="176">
                  <c:v>37897</c:v>
                </c:pt>
                <c:pt idx="177">
                  <c:v>37900</c:v>
                </c:pt>
                <c:pt idx="178">
                  <c:v>37901</c:v>
                </c:pt>
                <c:pt idx="179">
                  <c:v>37902</c:v>
                </c:pt>
                <c:pt idx="180">
                  <c:v>37903</c:v>
                </c:pt>
                <c:pt idx="181">
                  <c:v>37904</c:v>
                </c:pt>
                <c:pt idx="182">
                  <c:v>37907</c:v>
                </c:pt>
                <c:pt idx="183">
                  <c:v>37908</c:v>
                </c:pt>
                <c:pt idx="184">
                  <c:v>37909</c:v>
                </c:pt>
                <c:pt idx="185">
                  <c:v>37910</c:v>
                </c:pt>
                <c:pt idx="186">
                  <c:v>37911</c:v>
                </c:pt>
                <c:pt idx="187">
                  <c:v>37914</c:v>
                </c:pt>
                <c:pt idx="188">
                  <c:v>37915</c:v>
                </c:pt>
                <c:pt idx="189">
                  <c:v>37916</c:v>
                </c:pt>
                <c:pt idx="190">
                  <c:v>37917</c:v>
                </c:pt>
                <c:pt idx="191">
                  <c:v>37921</c:v>
                </c:pt>
                <c:pt idx="192">
                  <c:v>37922</c:v>
                </c:pt>
                <c:pt idx="193">
                  <c:v>37923</c:v>
                </c:pt>
                <c:pt idx="194">
                  <c:v>37924</c:v>
                </c:pt>
                <c:pt idx="195">
                  <c:v>37925</c:v>
                </c:pt>
                <c:pt idx="196">
                  <c:v>37928</c:v>
                </c:pt>
                <c:pt idx="197">
                  <c:v>37929</c:v>
                </c:pt>
                <c:pt idx="198">
                  <c:v>37930</c:v>
                </c:pt>
                <c:pt idx="199">
                  <c:v>37931</c:v>
                </c:pt>
                <c:pt idx="200">
                  <c:v>37932</c:v>
                </c:pt>
                <c:pt idx="201">
                  <c:v>37935</c:v>
                </c:pt>
                <c:pt idx="202">
                  <c:v>37936</c:v>
                </c:pt>
                <c:pt idx="203">
                  <c:v>37937</c:v>
                </c:pt>
                <c:pt idx="204">
                  <c:v>37938</c:v>
                </c:pt>
                <c:pt idx="205">
                  <c:v>37939</c:v>
                </c:pt>
                <c:pt idx="206">
                  <c:v>37942</c:v>
                </c:pt>
                <c:pt idx="207">
                  <c:v>37943</c:v>
                </c:pt>
                <c:pt idx="208">
                  <c:v>37944</c:v>
                </c:pt>
                <c:pt idx="209">
                  <c:v>37945</c:v>
                </c:pt>
                <c:pt idx="210">
                  <c:v>37946</c:v>
                </c:pt>
                <c:pt idx="211">
                  <c:v>37952</c:v>
                </c:pt>
                <c:pt idx="212">
                  <c:v>37953</c:v>
                </c:pt>
                <c:pt idx="213">
                  <c:v>37956</c:v>
                </c:pt>
                <c:pt idx="214">
                  <c:v>37957</c:v>
                </c:pt>
                <c:pt idx="215">
                  <c:v>37958</c:v>
                </c:pt>
                <c:pt idx="216">
                  <c:v>37959</c:v>
                </c:pt>
                <c:pt idx="217">
                  <c:v>37960</c:v>
                </c:pt>
                <c:pt idx="218">
                  <c:v>37963</c:v>
                </c:pt>
                <c:pt idx="219">
                  <c:v>37964</c:v>
                </c:pt>
                <c:pt idx="220">
                  <c:v>37965</c:v>
                </c:pt>
                <c:pt idx="221">
                  <c:v>37966</c:v>
                </c:pt>
                <c:pt idx="222">
                  <c:v>37967</c:v>
                </c:pt>
                <c:pt idx="223">
                  <c:v>37970</c:v>
                </c:pt>
                <c:pt idx="224">
                  <c:v>37971</c:v>
                </c:pt>
                <c:pt idx="225">
                  <c:v>37972</c:v>
                </c:pt>
                <c:pt idx="226">
                  <c:v>37973</c:v>
                </c:pt>
                <c:pt idx="227">
                  <c:v>37974</c:v>
                </c:pt>
                <c:pt idx="228">
                  <c:v>37977</c:v>
                </c:pt>
                <c:pt idx="229">
                  <c:v>37978</c:v>
                </c:pt>
                <c:pt idx="230">
                  <c:v>37979</c:v>
                </c:pt>
                <c:pt idx="231">
                  <c:v>37981</c:v>
                </c:pt>
                <c:pt idx="232">
                  <c:v>37984</c:v>
                </c:pt>
                <c:pt idx="233">
                  <c:v>37985</c:v>
                </c:pt>
                <c:pt idx="234">
                  <c:v>37986</c:v>
                </c:pt>
                <c:pt idx="235">
                  <c:v>37988</c:v>
                </c:pt>
                <c:pt idx="236">
                  <c:v>37991</c:v>
                </c:pt>
                <c:pt idx="237">
                  <c:v>37992</c:v>
                </c:pt>
                <c:pt idx="238">
                  <c:v>37993</c:v>
                </c:pt>
                <c:pt idx="239">
                  <c:v>37994</c:v>
                </c:pt>
                <c:pt idx="240">
                  <c:v>37995</c:v>
                </c:pt>
                <c:pt idx="241">
                  <c:v>37998</c:v>
                </c:pt>
                <c:pt idx="242">
                  <c:v>37999</c:v>
                </c:pt>
                <c:pt idx="243">
                  <c:v>38000</c:v>
                </c:pt>
              </c:numCache>
            </c:numRef>
          </c:cat>
          <c:val>
            <c:numRef>
              <c:f>[1]FCPO!$AL$5443:$AL$5686</c:f>
              <c:numCache>
                <c:formatCode>General</c:formatCode>
                <c:ptCount val="244"/>
                <c:pt idx="0">
                  <c:v>2687</c:v>
                </c:pt>
                <c:pt idx="1">
                  <c:v>3449</c:v>
                </c:pt>
                <c:pt idx="2">
                  <c:v>8015</c:v>
                </c:pt>
                <c:pt idx="3">
                  <c:v>5122</c:v>
                </c:pt>
                <c:pt idx="4">
                  <c:v>7748</c:v>
                </c:pt>
                <c:pt idx="5">
                  <c:v>2020</c:v>
                </c:pt>
                <c:pt idx="6">
                  <c:v>3574</c:v>
                </c:pt>
                <c:pt idx="7">
                  <c:v>3147</c:v>
                </c:pt>
                <c:pt idx="8">
                  <c:v>2749</c:v>
                </c:pt>
                <c:pt idx="9">
                  <c:v>4683</c:v>
                </c:pt>
                <c:pt idx="10">
                  <c:v>2992</c:v>
                </c:pt>
                <c:pt idx="11">
                  <c:v>1774</c:v>
                </c:pt>
                <c:pt idx="12">
                  <c:v>4517</c:v>
                </c:pt>
                <c:pt idx="13">
                  <c:v>4785</c:v>
                </c:pt>
                <c:pt idx="14">
                  <c:v>5041</c:v>
                </c:pt>
                <c:pt idx="15">
                  <c:v>3572</c:v>
                </c:pt>
                <c:pt idx="16">
                  <c:v>3404</c:v>
                </c:pt>
                <c:pt idx="17">
                  <c:v>10055</c:v>
                </c:pt>
                <c:pt idx="18">
                  <c:v>6644</c:v>
                </c:pt>
                <c:pt idx="19">
                  <c:v>6642</c:v>
                </c:pt>
                <c:pt idx="20">
                  <c:v>3197</c:v>
                </c:pt>
                <c:pt idx="21">
                  <c:v>2496</c:v>
                </c:pt>
                <c:pt idx="22">
                  <c:v>1525</c:v>
                </c:pt>
                <c:pt idx="23">
                  <c:v>3100</c:v>
                </c:pt>
                <c:pt idx="24">
                  <c:v>1996</c:v>
                </c:pt>
                <c:pt idx="25">
                  <c:v>1234</c:v>
                </c:pt>
                <c:pt idx="26">
                  <c:v>5488</c:v>
                </c:pt>
                <c:pt idx="27">
                  <c:v>3064</c:v>
                </c:pt>
                <c:pt idx="28">
                  <c:v>14003</c:v>
                </c:pt>
                <c:pt idx="29">
                  <c:v>5060</c:v>
                </c:pt>
                <c:pt idx="30">
                  <c:v>7056</c:v>
                </c:pt>
                <c:pt idx="31">
                  <c:v>8538</c:v>
                </c:pt>
                <c:pt idx="32">
                  <c:v>5906</c:v>
                </c:pt>
                <c:pt idx="33">
                  <c:v>6204</c:v>
                </c:pt>
                <c:pt idx="34">
                  <c:v>2633</c:v>
                </c:pt>
                <c:pt idx="35">
                  <c:v>3448</c:v>
                </c:pt>
                <c:pt idx="36">
                  <c:v>10175</c:v>
                </c:pt>
                <c:pt idx="37">
                  <c:v>3984</c:v>
                </c:pt>
                <c:pt idx="38">
                  <c:v>4468</c:v>
                </c:pt>
                <c:pt idx="39">
                  <c:v>6635</c:v>
                </c:pt>
                <c:pt idx="40">
                  <c:v>5527</c:v>
                </c:pt>
                <c:pt idx="41">
                  <c:v>5643</c:v>
                </c:pt>
                <c:pt idx="42">
                  <c:v>11438</c:v>
                </c:pt>
                <c:pt idx="43">
                  <c:v>10258</c:v>
                </c:pt>
                <c:pt idx="44">
                  <c:v>11280</c:v>
                </c:pt>
                <c:pt idx="45">
                  <c:v>8350</c:v>
                </c:pt>
                <c:pt idx="46">
                  <c:v>5268</c:v>
                </c:pt>
                <c:pt idx="47">
                  <c:v>4501</c:v>
                </c:pt>
                <c:pt idx="48">
                  <c:v>6277</c:v>
                </c:pt>
                <c:pt idx="49">
                  <c:v>7705</c:v>
                </c:pt>
                <c:pt idx="50">
                  <c:v>5455</c:v>
                </c:pt>
                <c:pt idx="51">
                  <c:v>6729</c:v>
                </c:pt>
                <c:pt idx="52">
                  <c:v>7934</c:v>
                </c:pt>
                <c:pt idx="53">
                  <c:v>12426</c:v>
                </c:pt>
                <c:pt idx="54">
                  <c:v>4444</c:v>
                </c:pt>
                <c:pt idx="55">
                  <c:v>4188</c:v>
                </c:pt>
                <c:pt idx="56">
                  <c:v>6412</c:v>
                </c:pt>
                <c:pt idx="57">
                  <c:v>6044</c:v>
                </c:pt>
                <c:pt idx="58">
                  <c:v>7655</c:v>
                </c:pt>
                <c:pt idx="59">
                  <c:v>7140</c:v>
                </c:pt>
                <c:pt idx="60">
                  <c:v>3898</c:v>
                </c:pt>
                <c:pt idx="61">
                  <c:v>4272</c:v>
                </c:pt>
                <c:pt idx="62">
                  <c:v>6865</c:v>
                </c:pt>
                <c:pt idx="63">
                  <c:v>7169</c:v>
                </c:pt>
                <c:pt idx="64">
                  <c:v>5024</c:v>
                </c:pt>
                <c:pt idx="65">
                  <c:v>4687</c:v>
                </c:pt>
                <c:pt idx="66">
                  <c:v>4507</c:v>
                </c:pt>
                <c:pt idx="67">
                  <c:v>5279</c:v>
                </c:pt>
                <c:pt idx="68">
                  <c:v>5573</c:v>
                </c:pt>
                <c:pt idx="69">
                  <c:v>5208</c:v>
                </c:pt>
                <c:pt idx="70">
                  <c:v>2795</c:v>
                </c:pt>
                <c:pt idx="71">
                  <c:v>3566</c:v>
                </c:pt>
                <c:pt idx="72">
                  <c:v>4861</c:v>
                </c:pt>
                <c:pt idx="73">
                  <c:v>4681</c:v>
                </c:pt>
                <c:pt idx="74">
                  <c:v>6932</c:v>
                </c:pt>
                <c:pt idx="75">
                  <c:v>8698</c:v>
                </c:pt>
                <c:pt idx="76">
                  <c:v>6325</c:v>
                </c:pt>
                <c:pt idx="77">
                  <c:v>8296</c:v>
                </c:pt>
                <c:pt idx="78">
                  <c:v>8052</c:v>
                </c:pt>
                <c:pt idx="79">
                  <c:v>4257</c:v>
                </c:pt>
                <c:pt idx="80">
                  <c:v>6078</c:v>
                </c:pt>
                <c:pt idx="81">
                  <c:v>6170</c:v>
                </c:pt>
                <c:pt idx="82">
                  <c:v>5797</c:v>
                </c:pt>
                <c:pt idx="83">
                  <c:v>3784</c:v>
                </c:pt>
                <c:pt idx="84">
                  <c:v>5921</c:v>
                </c:pt>
                <c:pt idx="85">
                  <c:v>6575</c:v>
                </c:pt>
                <c:pt idx="86">
                  <c:v>5075</c:v>
                </c:pt>
                <c:pt idx="87">
                  <c:v>6154</c:v>
                </c:pt>
                <c:pt idx="88">
                  <c:v>3592</c:v>
                </c:pt>
                <c:pt idx="89">
                  <c:v>5336</c:v>
                </c:pt>
                <c:pt idx="90">
                  <c:v>6147</c:v>
                </c:pt>
                <c:pt idx="91">
                  <c:v>6260</c:v>
                </c:pt>
                <c:pt idx="92">
                  <c:v>7066</c:v>
                </c:pt>
                <c:pt idx="93">
                  <c:v>6289</c:v>
                </c:pt>
                <c:pt idx="94">
                  <c:v>6993</c:v>
                </c:pt>
                <c:pt idx="95">
                  <c:v>6194</c:v>
                </c:pt>
                <c:pt idx="96">
                  <c:v>6130</c:v>
                </c:pt>
                <c:pt idx="97">
                  <c:v>4326</c:v>
                </c:pt>
                <c:pt idx="98">
                  <c:v>5573</c:v>
                </c:pt>
                <c:pt idx="99">
                  <c:v>5079</c:v>
                </c:pt>
                <c:pt idx="100">
                  <c:v>6964</c:v>
                </c:pt>
                <c:pt idx="101">
                  <c:v>6139</c:v>
                </c:pt>
                <c:pt idx="102">
                  <c:v>3183</c:v>
                </c:pt>
                <c:pt idx="103">
                  <c:v>4852</c:v>
                </c:pt>
                <c:pt idx="104">
                  <c:v>5910</c:v>
                </c:pt>
                <c:pt idx="105">
                  <c:v>3594</c:v>
                </c:pt>
                <c:pt idx="106">
                  <c:v>6194</c:v>
                </c:pt>
                <c:pt idx="107">
                  <c:v>8823</c:v>
                </c:pt>
                <c:pt idx="108">
                  <c:v>2587</c:v>
                </c:pt>
                <c:pt idx="109">
                  <c:v>2122</c:v>
                </c:pt>
                <c:pt idx="110">
                  <c:v>5174</c:v>
                </c:pt>
                <c:pt idx="111">
                  <c:v>5463</c:v>
                </c:pt>
                <c:pt idx="112">
                  <c:v>3870</c:v>
                </c:pt>
                <c:pt idx="113">
                  <c:v>5693</c:v>
                </c:pt>
                <c:pt idx="114">
                  <c:v>4000</c:v>
                </c:pt>
                <c:pt idx="115">
                  <c:v>4444</c:v>
                </c:pt>
                <c:pt idx="116">
                  <c:v>3265</c:v>
                </c:pt>
                <c:pt idx="117">
                  <c:v>3753</c:v>
                </c:pt>
                <c:pt idx="118">
                  <c:v>2658</c:v>
                </c:pt>
                <c:pt idx="119">
                  <c:v>3735</c:v>
                </c:pt>
                <c:pt idx="120">
                  <c:v>4445</c:v>
                </c:pt>
                <c:pt idx="121">
                  <c:v>5433</c:v>
                </c:pt>
                <c:pt idx="122">
                  <c:v>5641</c:v>
                </c:pt>
                <c:pt idx="123">
                  <c:v>4823</c:v>
                </c:pt>
                <c:pt idx="124">
                  <c:v>6365</c:v>
                </c:pt>
                <c:pt idx="125">
                  <c:v>10482</c:v>
                </c:pt>
                <c:pt idx="126">
                  <c:v>3690</c:v>
                </c:pt>
                <c:pt idx="127">
                  <c:v>3851</c:v>
                </c:pt>
                <c:pt idx="128">
                  <c:v>5826</c:v>
                </c:pt>
                <c:pt idx="129">
                  <c:v>6322</c:v>
                </c:pt>
                <c:pt idx="130">
                  <c:v>6880</c:v>
                </c:pt>
                <c:pt idx="131">
                  <c:v>4855</c:v>
                </c:pt>
                <c:pt idx="132">
                  <c:v>6067</c:v>
                </c:pt>
                <c:pt idx="133">
                  <c:v>5848</c:v>
                </c:pt>
                <c:pt idx="134">
                  <c:v>3860</c:v>
                </c:pt>
                <c:pt idx="135">
                  <c:v>7454</c:v>
                </c:pt>
                <c:pt idx="136">
                  <c:v>8326</c:v>
                </c:pt>
                <c:pt idx="137">
                  <c:v>5531</c:v>
                </c:pt>
                <c:pt idx="138">
                  <c:v>3618</c:v>
                </c:pt>
                <c:pt idx="139">
                  <c:v>4079</c:v>
                </c:pt>
                <c:pt idx="140">
                  <c:v>5556</c:v>
                </c:pt>
                <c:pt idx="141">
                  <c:v>5049</c:v>
                </c:pt>
                <c:pt idx="142">
                  <c:v>5223</c:v>
                </c:pt>
                <c:pt idx="143">
                  <c:v>5484</c:v>
                </c:pt>
                <c:pt idx="144">
                  <c:v>5949</c:v>
                </c:pt>
                <c:pt idx="145">
                  <c:v>5402</c:v>
                </c:pt>
                <c:pt idx="146">
                  <c:v>11610</c:v>
                </c:pt>
                <c:pt idx="147">
                  <c:v>3193</c:v>
                </c:pt>
                <c:pt idx="148">
                  <c:v>3767</c:v>
                </c:pt>
                <c:pt idx="149">
                  <c:v>3543</c:v>
                </c:pt>
                <c:pt idx="150">
                  <c:v>4210</c:v>
                </c:pt>
                <c:pt idx="151">
                  <c:v>6988</c:v>
                </c:pt>
                <c:pt idx="152">
                  <c:v>5887</c:v>
                </c:pt>
                <c:pt idx="153">
                  <c:v>4787</c:v>
                </c:pt>
                <c:pt idx="154">
                  <c:v>6780</c:v>
                </c:pt>
                <c:pt idx="155">
                  <c:v>5240</c:v>
                </c:pt>
                <c:pt idx="156">
                  <c:v>2447</c:v>
                </c:pt>
                <c:pt idx="157">
                  <c:v>2872</c:v>
                </c:pt>
                <c:pt idx="158">
                  <c:v>5021</c:v>
                </c:pt>
                <c:pt idx="159">
                  <c:v>6718</c:v>
                </c:pt>
                <c:pt idx="160">
                  <c:v>5288</c:v>
                </c:pt>
                <c:pt idx="161">
                  <c:v>9533</c:v>
                </c:pt>
                <c:pt idx="162">
                  <c:v>4879</c:v>
                </c:pt>
                <c:pt idx="163">
                  <c:v>3494</c:v>
                </c:pt>
                <c:pt idx="164">
                  <c:v>10162</c:v>
                </c:pt>
                <c:pt idx="165">
                  <c:v>6928</c:v>
                </c:pt>
                <c:pt idx="166">
                  <c:v>8451</c:v>
                </c:pt>
                <c:pt idx="167">
                  <c:v>7897</c:v>
                </c:pt>
                <c:pt idx="168">
                  <c:v>7115</c:v>
                </c:pt>
                <c:pt idx="169">
                  <c:v>5414</c:v>
                </c:pt>
                <c:pt idx="170">
                  <c:v>7064</c:v>
                </c:pt>
                <c:pt idx="171">
                  <c:v>4715</c:v>
                </c:pt>
                <c:pt idx="172">
                  <c:v>10288</c:v>
                </c:pt>
                <c:pt idx="173">
                  <c:v>8112</c:v>
                </c:pt>
                <c:pt idx="174">
                  <c:v>6225</c:v>
                </c:pt>
                <c:pt idx="175">
                  <c:v>12076</c:v>
                </c:pt>
                <c:pt idx="176">
                  <c:v>6240</c:v>
                </c:pt>
                <c:pt idx="177">
                  <c:v>5995</c:v>
                </c:pt>
                <c:pt idx="178">
                  <c:v>5264</c:v>
                </c:pt>
                <c:pt idx="179">
                  <c:v>7459</c:v>
                </c:pt>
                <c:pt idx="180">
                  <c:v>5525</c:v>
                </c:pt>
                <c:pt idx="181">
                  <c:v>6035</c:v>
                </c:pt>
                <c:pt idx="182">
                  <c:v>5837</c:v>
                </c:pt>
                <c:pt idx="183">
                  <c:v>12225</c:v>
                </c:pt>
                <c:pt idx="184">
                  <c:v>7557</c:v>
                </c:pt>
                <c:pt idx="185">
                  <c:v>8432</c:v>
                </c:pt>
                <c:pt idx="186">
                  <c:v>11015</c:v>
                </c:pt>
                <c:pt idx="187">
                  <c:v>10526</c:v>
                </c:pt>
                <c:pt idx="188">
                  <c:v>14508</c:v>
                </c:pt>
                <c:pt idx="189">
                  <c:v>6832</c:v>
                </c:pt>
                <c:pt idx="190">
                  <c:v>8426</c:v>
                </c:pt>
                <c:pt idx="191">
                  <c:v>8264</c:v>
                </c:pt>
                <c:pt idx="192">
                  <c:v>7141</c:v>
                </c:pt>
                <c:pt idx="193">
                  <c:v>8361</c:v>
                </c:pt>
                <c:pt idx="194">
                  <c:v>6464</c:v>
                </c:pt>
                <c:pt idx="195">
                  <c:v>6914</c:v>
                </c:pt>
                <c:pt idx="196">
                  <c:v>6482</c:v>
                </c:pt>
                <c:pt idx="197">
                  <c:v>6935</c:v>
                </c:pt>
                <c:pt idx="198">
                  <c:v>6002</c:v>
                </c:pt>
                <c:pt idx="199">
                  <c:v>7384</c:v>
                </c:pt>
                <c:pt idx="200">
                  <c:v>7220</c:v>
                </c:pt>
                <c:pt idx="201">
                  <c:v>10674</c:v>
                </c:pt>
                <c:pt idx="202">
                  <c:v>7395</c:v>
                </c:pt>
                <c:pt idx="203">
                  <c:v>5760</c:v>
                </c:pt>
                <c:pt idx="204">
                  <c:v>9804</c:v>
                </c:pt>
                <c:pt idx="205">
                  <c:v>10844</c:v>
                </c:pt>
                <c:pt idx="206">
                  <c:v>7108</c:v>
                </c:pt>
                <c:pt idx="207">
                  <c:v>5503</c:v>
                </c:pt>
                <c:pt idx="208">
                  <c:v>7829</c:v>
                </c:pt>
                <c:pt idx="209">
                  <c:v>6731</c:v>
                </c:pt>
                <c:pt idx="210">
                  <c:v>6215</c:v>
                </c:pt>
                <c:pt idx="211">
                  <c:v>862</c:v>
                </c:pt>
                <c:pt idx="212">
                  <c:v>947</c:v>
                </c:pt>
                <c:pt idx="213">
                  <c:v>4682</c:v>
                </c:pt>
                <c:pt idx="214">
                  <c:v>5090</c:v>
                </c:pt>
                <c:pt idx="215">
                  <c:v>5233</c:v>
                </c:pt>
                <c:pt idx="216">
                  <c:v>3675</c:v>
                </c:pt>
                <c:pt idx="217">
                  <c:v>3409</c:v>
                </c:pt>
                <c:pt idx="218">
                  <c:v>4934</c:v>
                </c:pt>
                <c:pt idx="219">
                  <c:v>5656</c:v>
                </c:pt>
                <c:pt idx="220">
                  <c:v>5017</c:v>
                </c:pt>
                <c:pt idx="221">
                  <c:v>4080</c:v>
                </c:pt>
                <c:pt idx="222">
                  <c:v>6157</c:v>
                </c:pt>
                <c:pt idx="223">
                  <c:v>4797</c:v>
                </c:pt>
                <c:pt idx="224">
                  <c:v>3484</c:v>
                </c:pt>
                <c:pt idx="225">
                  <c:v>3262</c:v>
                </c:pt>
                <c:pt idx="226">
                  <c:v>2770</c:v>
                </c:pt>
                <c:pt idx="227">
                  <c:v>5237</c:v>
                </c:pt>
                <c:pt idx="228">
                  <c:v>5011</c:v>
                </c:pt>
                <c:pt idx="229">
                  <c:v>5346</c:v>
                </c:pt>
                <c:pt idx="230">
                  <c:v>5991</c:v>
                </c:pt>
                <c:pt idx="231">
                  <c:v>2849</c:v>
                </c:pt>
                <c:pt idx="232">
                  <c:v>4981</c:v>
                </c:pt>
                <c:pt idx="233">
                  <c:v>3809</c:v>
                </c:pt>
                <c:pt idx="234">
                  <c:v>1294</c:v>
                </c:pt>
                <c:pt idx="235">
                  <c:v>1766</c:v>
                </c:pt>
                <c:pt idx="236">
                  <c:v>2319</c:v>
                </c:pt>
                <c:pt idx="237">
                  <c:v>4067</c:v>
                </c:pt>
                <c:pt idx="238">
                  <c:v>4017</c:v>
                </c:pt>
                <c:pt idx="239">
                  <c:v>5429</c:v>
                </c:pt>
                <c:pt idx="240">
                  <c:v>3500</c:v>
                </c:pt>
                <c:pt idx="241">
                  <c:v>5385</c:v>
                </c:pt>
                <c:pt idx="242">
                  <c:v>6086</c:v>
                </c:pt>
                <c:pt idx="243">
                  <c:v>3867</c:v>
                </c:pt>
              </c:numCache>
            </c:numRef>
          </c:val>
        </c:ser>
        <c:gapWidth val="0"/>
        <c:axId val="134456064"/>
        <c:axId val="134457600"/>
      </c:barChart>
      <c:lineChart>
        <c:grouping val="standard"/>
        <c:ser>
          <c:idx val="0"/>
          <c:order val="1"/>
          <c:tx>
            <c:strRef>
              <c:f>[1]FCPO!$AM$2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[1]FCPO!$A$5443:$A$5686</c:f>
              <c:numCache>
                <c:formatCode>General</c:formatCode>
                <c:ptCount val="244"/>
                <c:pt idx="0">
                  <c:v>37638</c:v>
                </c:pt>
                <c:pt idx="1">
                  <c:v>37641</c:v>
                </c:pt>
                <c:pt idx="2">
                  <c:v>37642</c:v>
                </c:pt>
                <c:pt idx="3">
                  <c:v>37643</c:v>
                </c:pt>
                <c:pt idx="4">
                  <c:v>37644</c:v>
                </c:pt>
                <c:pt idx="5">
                  <c:v>37645</c:v>
                </c:pt>
                <c:pt idx="6">
                  <c:v>37648</c:v>
                </c:pt>
                <c:pt idx="7">
                  <c:v>37649</c:v>
                </c:pt>
                <c:pt idx="8">
                  <c:v>37650</c:v>
                </c:pt>
                <c:pt idx="9">
                  <c:v>37651</c:v>
                </c:pt>
                <c:pt idx="10">
                  <c:v>37657</c:v>
                </c:pt>
                <c:pt idx="11">
                  <c:v>37658</c:v>
                </c:pt>
                <c:pt idx="12">
                  <c:v>37659</c:v>
                </c:pt>
                <c:pt idx="13">
                  <c:v>37662</c:v>
                </c:pt>
                <c:pt idx="14">
                  <c:v>37663</c:v>
                </c:pt>
                <c:pt idx="15">
                  <c:v>37665</c:v>
                </c:pt>
                <c:pt idx="16">
                  <c:v>37666</c:v>
                </c:pt>
                <c:pt idx="17">
                  <c:v>37669</c:v>
                </c:pt>
                <c:pt idx="18">
                  <c:v>37670</c:v>
                </c:pt>
                <c:pt idx="19">
                  <c:v>37671</c:v>
                </c:pt>
                <c:pt idx="20">
                  <c:v>37672</c:v>
                </c:pt>
                <c:pt idx="21">
                  <c:v>37673</c:v>
                </c:pt>
                <c:pt idx="22">
                  <c:v>37676</c:v>
                </c:pt>
                <c:pt idx="23">
                  <c:v>37677</c:v>
                </c:pt>
                <c:pt idx="24">
                  <c:v>37678</c:v>
                </c:pt>
                <c:pt idx="25">
                  <c:v>37679</c:v>
                </c:pt>
                <c:pt idx="26">
                  <c:v>37680</c:v>
                </c:pt>
                <c:pt idx="27">
                  <c:v>37683</c:v>
                </c:pt>
                <c:pt idx="28">
                  <c:v>37685</c:v>
                </c:pt>
                <c:pt idx="29">
                  <c:v>37686</c:v>
                </c:pt>
                <c:pt idx="30">
                  <c:v>37687</c:v>
                </c:pt>
                <c:pt idx="31">
                  <c:v>37690</c:v>
                </c:pt>
                <c:pt idx="32">
                  <c:v>37691</c:v>
                </c:pt>
                <c:pt idx="33">
                  <c:v>37692</c:v>
                </c:pt>
                <c:pt idx="34">
                  <c:v>37693</c:v>
                </c:pt>
                <c:pt idx="35">
                  <c:v>37694</c:v>
                </c:pt>
                <c:pt idx="36">
                  <c:v>37697</c:v>
                </c:pt>
                <c:pt idx="37">
                  <c:v>37698</c:v>
                </c:pt>
                <c:pt idx="38">
                  <c:v>37699</c:v>
                </c:pt>
                <c:pt idx="39">
                  <c:v>37700</c:v>
                </c:pt>
                <c:pt idx="40">
                  <c:v>37701</c:v>
                </c:pt>
                <c:pt idx="41">
                  <c:v>37704</c:v>
                </c:pt>
                <c:pt idx="42">
                  <c:v>37705</c:v>
                </c:pt>
                <c:pt idx="43">
                  <c:v>37706</c:v>
                </c:pt>
                <c:pt idx="44">
                  <c:v>37707</c:v>
                </c:pt>
                <c:pt idx="45">
                  <c:v>37708</c:v>
                </c:pt>
                <c:pt idx="46">
                  <c:v>37711</c:v>
                </c:pt>
                <c:pt idx="47">
                  <c:v>37712</c:v>
                </c:pt>
                <c:pt idx="48">
                  <c:v>37713</c:v>
                </c:pt>
                <c:pt idx="49">
                  <c:v>37714</c:v>
                </c:pt>
                <c:pt idx="50">
                  <c:v>37715</c:v>
                </c:pt>
                <c:pt idx="51">
                  <c:v>37718</c:v>
                </c:pt>
                <c:pt idx="52">
                  <c:v>37719</c:v>
                </c:pt>
                <c:pt idx="53">
                  <c:v>37720</c:v>
                </c:pt>
                <c:pt idx="54">
                  <c:v>37721</c:v>
                </c:pt>
                <c:pt idx="55">
                  <c:v>37722</c:v>
                </c:pt>
                <c:pt idx="56">
                  <c:v>37725</c:v>
                </c:pt>
                <c:pt idx="57">
                  <c:v>37726</c:v>
                </c:pt>
                <c:pt idx="58">
                  <c:v>37727</c:v>
                </c:pt>
                <c:pt idx="59">
                  <c:v>37728</c:v>
                </c:pt>
                <c:pt idx="60">
                  <c:v>37729</c:v>
                </c:pt>
                <c:pt idx="61">
                  <c:v>37732</c:v>
                </c:pt>
                <c:pt idx="62">
                  <c:v>37733</c:v>
                </c:pt>
                <c:pt idx="63">
                  <c:v>37734</c:v>
                </c:pt>
                <c:pt idx="64">
                  <c:v>37735</c:v>
                </c:pt>
                <c:pt idx="65">
                  <c:v>37736</c:v>
                </c:pt>
                <c:pt idx="66">
                  <c:v>37739</c:v>
                </c:pt>
                <c:pt idx="67">
                  <c:v>37740</c:v>
                </c:pt>
                <c:pt idx="68">
                  <c:v>37741</c:v>
                </c:pt>
                <c:pt idx="69">
                  <c:v>37743</c:v>
                </c:pt>
                <c:pt idx="70">
                  <c:v>37746</c:v>
                </c:pt>
                <c:pt idx="71">
                  <c:v>37747</c:v>
                </c:pt>
                <c:pt idx="72">
                  <c:v>37748</c:v>
                </c:pt>
                <c:pt idx="73">
                  <c:v>37749</c:v>
                </c:pt>
                <c:pt idx="74">
                  <c:v>37750</c:v>
                </c:pt>
                <c:pt idx="75">
                  <c:v>37753</c:v>
                </c:pt>
                <c:pt idx="76">
                  <c:v>37754</c:v>
                </c:pt>
                <c:pt idx="77">
                  <c:v>37757</c:v>
                </c:pt>
                <c:pt idx="78">
                  <c:v>37760</c:v>
                </c:pt>
                <c:pt idx="79">
                  <c:v>37761</c:v>
                </c:pt>
                <c:pt idx="80">
                  <c:v>37762</c:v>
                </c:pt>
                <c:pt idx="81">
                  <c:v>37763</c:v>
                </c:pt>
                <c:pt idx="82">
                  <c:v>37764</c:v>
                </c:pt>
                <c:pt idx="83">
                  <c:v>37767</c:v>
                </c:pt>
                <c:pt idx="84">
                  <c:v>37768</c:v>
                </c:pt>
                <c:pt idx="85">
                  <c:v>37769</c:v>
                </c:pt>
                <c:pt idx="86">
                  <c:v>37770</c:v>
                </c:pt>
                <c:pt idx="87">
                  <c:v>37771</c:v>
                </c:pt>
                <c:pt idx="88">
                  <c:v>37774</c:v>
                </c:pt>
                <c:pt idx="89">
                  <c:v>37775</c:v>
                </c:pt>
                <c:pt idx="90">
                  <c:v>37776</c:v>
                </c:pt>
                <c:pt idx="91">
                  <c:v>37777</c:v>
                </c:pt>
                <c:pt idx="92">
                  <c:v>37778</c:v>
                </c:pt>
                <c:pt idx="93">
                  <c:v>37781</c:v>
                </c:pt>
                <c:pt idx="94">
                  <c:v>37782</c:v>
                </c:pt>
                <c:pt idx="95">
                  <c:v>37783</c:v>
                </c:pt>
                <c:pt idx="96">
                  <c:v>37784</c:v>
                </c:pt>
                <c:pt idx="97">
                  <c:v>37785</c:v>
                </c:pt>
                <c:pt idx="98">
                  <c:v>37788</c:v>
                </c:pt>
                <c:pt idx="99">
                  <c:v>37789</c:v>
                </c:pt>
                <c:pt idx="100">
                  <c:v>37790</c:v>
                </c:pt>
                <c:pt idx="101">
                  <c:v>37791</c:v>
                </c:pt>
                <c:pt idx="102">
                  <c:v>37792</c:v>
                </c:pt>
                <c:pt idx="103">
                  <c:v>37795</c:v>
                </c:pt>
                <c:pt idx="104">
                  <c:v>37796</c:v>
                </c:pt>
                <c:pt idx="105">
                  <c:v>37797</c:v>
                </c:pt>
                <c:pt idx="106">
                  <c:v>37798</c:v>
                </c:pt>
                <c:pt idx="107">
                  <c:v>37799</c:v>
                </c:pt>
                <c:pt idx="108">
                  <c:v>37802</c:v>
                </c:pt>
                <c:pt idx="109">
                  <c:v>37803</c:v>
                </c:pt>
                <c:pt idx="110">
                  <c:v>37804</c:v>
                </c:pt>
                <c:pt idx="111">
                  <c:v>37805</c:v>
                </c:pt>
                <c:pt idx="112">
                  <c:v>37806</c:v>
                </c:pt>
                <c:pt idx="113">
                  <c:v>37809</c:v>
                </c:pt>
                <c:pt idx="114">
                  <c:v>37810</c:v>
                </c:pt>
                <c:pt idx="115">
                  <c:v>37811</c:v>
                </c:pt>
                <c:pt idx="116">
                  <c:v>37812</c:v>
                </c:pt>
                <c:pt idx="117">
                  <c:v>37813</c:v>
                </c:pt>
                <c:pt idx="118">
                  <c:v>37816</c:v>
                </c:pt>
                <c:pt idx="119">
                  <c:v>37817</c:v>
                </c:pt>
                <c:pt idx="120">
                  <c:v>37818</c:v>
                </c:pt>
                <c:pt idx="121">
                  <c:v>37819</c:v>
                </c:pt>
                <c:pt idx="122">
                  <c:v>37820</c:v>
                </c:pt>
                <c:pt idx="123">
                  <c:v>37823</c:v>
                </c:pt>
                <c:pt idx="124">
                  <c:v>37824</c:v>
                </c:pt>
                <c:pt idx="125">
                  <c:v>37825</c:v>
                </c:pt>
                <c:pt idx="126">
                  <c:v>37826</c:v>
                </c:pt>
                <c:pt idx="127">
                  <c:v>37827</c:v>
                </c:pt>
                <c:pt idx="128">
                  <c:v>37830</c:v>
                </c:pt>
                <c:pt idx="129">
                  <c:v>37831</c:v>
                </c:pt>
                <c:pt idx="130">
                  <c:v>37832</c:v>
                </c:pt>
                <c:pt idx="131">
                  <c:v>37833</c:v>
                </c:pt>
                <c:pt idx="132">
                  <c:v>37834</c:v>
                </c:pt>
                <c:pt idx="133">
                  <c:v>37837</c:v>
                </c:pt>
                <c:pt idx="134">
                  <c:v>37838</c:v>
                </c:pt>
                <c:pt idx="135">
                  <c:v>37839</c:v>
                </c:pt>
                <c:pt idx="136">
                  <c:v>37840</c:v>
                </c:pt>
                <c:pt idx="137">
                  <c:v>37841</c:v>
                </c:pt>
                <c:pt idx="138">
                  <c:v>37844</c:v>
                </c:pt>
                <c:pt idx="139">
                  <c:v>37845</c:v>
                </c:pt>
                <c:pt idx="140">
                  <c:v>37846</c:v>
                </c:pt>
                <c:pt idx="141">
                  <c:v>37847</c:v>
                </c:pt>
                <c:pt idx="142">
                  <c:v>37848</c:v>
                </c:pt>
                <c:pt idx="143">
                  <c:v>37851</c:v>
                </c:pt>
                <c:pt idx="144">
                  <c:v>37852</c:v>
                </c:pt>
                <c:pt idx="145">
                  <c:v>37853</c:v>
                </c:pt>
                <c:pt idx="146">
                  <c:v>37854</c:v>
                </c:pt>
                <c:pt idx="147">
                  <c:v>37855</c:v>
                </c:pt>
                <c:pt idx="148">
                  <c:v>37858</c:v>
                </c:pt>
                <c:pt idx="149">
                  <c:v>37859</c:v>
                </c:pt>
                <c:pt idx="150">
                  <c:v>37860</c:v>
                </c:pt>
                <c:pt idx="151">
                  <c:v>37861</c:v>
                </c:pt>
                <c:pt idx="152">
                  <c:v>37862</c:v>
                </c:pt>
                <c:pt idx="153">
                  <c:v>37866</c:v>
                </c:pt>
                <c:pt idx="154">
                  <c:v>37867</c:v>
                </c:pt>
                <c:pt idx="155">
                  <c:v>37868</c:v>
                </c:pt>
                <c:pt idx="156">
                  <c:v>37869</c:v>
                </c:pt>
                <c:pt idx="157">
                  <c:v>37872</c:v>
                </c:pt>
                <c:pt idx="158">
                  <c:v>37873</c:v>
                </c:pt>
                <c:pt idx="159">
                  <c:v>37874</c:v>
                </c:pt>
                <c:pt idx="160">
                  <c:v>37875</c:v>
                </c:pt>
                <c:pt idx="161">
                  <c:v>37876</c:v>
                </c:pt>
                <c:pt idx="162">
                  <c:v>37879</c:v>
                </c:pt>
                <c:pt idx="163">
                  <c:v>37880</c:v>
                </c:pt>
                <c:pt idx="164">
                  <c:v>37881</c:v>
                </c:pt>
                <c:pt idx="165">
                  <c:v>37882</c:v>
                </c:pt>
                <c:pt idx="166">
                  <c:v>37883</c:v>
                </c:pt>
                <c:pt idx="167">
                  <c:v>37886</c:v>
                </c:pt>
                <c:pt idx="168">
                  <c:v>37887</c:v>
                </c:pt>
                <c:pt idx="169">
                  <c:v>37888</c:v>
                </c:pt>
                <c:pt idx="170">
                  <c:v>37889</c:v>
                </c:pt>
                <c:pt idx="171">
                  <c:v>37890</c:v>
                </c:pt>
                <c:pt idx="172">
                  <c:v>37893</c:v>
                </c:pt>
                <c:pt idx="173">
                  <c:v>37894</c:v>
                </c:pt>
                <c:pt idx="174">
                  <c:v>37895</c:v>
                </c:pt>
                <c:pt idx="175">
                  <c:v>37896</c:v>
                </c:pt>
                <c:pt idx="176">
                  <c:v>37897</c:v>
                </c:pt>
                <c:pt idx="177">
                  <c:v>37900</c:v>
                </c:pt>
                <c:pt idx="178">
                  <c:v>37901</c:v>
                </c:pt>
                <c:pt idx="179">
                  <c:v>37902</c:v>
                </c:pt>
                <c:pt idx="180">
                  <c:v>37903</c:v>
                </c:pt>
                <c:pt idx="181">
                  <c:v>37904</c:v>
                </c:pt>
                <c:pt idx="182">
                  <c:v>37907</c:v>
                </c:pt>
                <c:pt idx="183">
                  <c:v>37908</c:v>
                </c:pt>
                <c:pt idx="184">
                  <c:v>37909</c:v>
                </c:pt>
                <c:pt idx="185">
                  <c:v>37910</c:v>
                </c:pt>
                <c:pt idx="186">
                  <c:v>37911</c:v>
                </c:pt>
                <c:pt idx="187">
                  <c:v>37914</c:v>
                </c:pt>
                <c:pt idx="188">
                  <c:v>37915</c:v>
                </c:pt>
                <c:pt idx="189">
                  <c:v>37916</c:v>
                </c:pt>
                <c:pt idx="190">
                  <c:v>37917</c:v>
                </c:pt>
                <c:pt idx="191">
                  <c:v>37921</c:v>
                </c:pt>
                <c:pt idx="192">
                  <c:v>37922</c:v>
                </c:pt>
                <c:pt idx="193">
                  <c:v>37923</c:v>
                </c:pt>
                <c:pt idx="194">
                  <c:v>37924</c:v>
                </c:pt>
                <c:pt idx="195">
                  <c:v>37925</c:v>
                </c:pt>
                <c:pt idx="196">
                  <c:v>37928</c:v>
                </c:pt>
                <c:pt idx="197">
                  <c:v>37929</c:v>
                </c:pt>
                <c:pt idx="198">
                  <c:v>37930</c:v>
                </c:pt>
                <c:pt idx="199">
                  <c:v>37931</c:v>
                </c:pt>
                <c:pt idx="200">
                  <c:v>37932</c:v>
                </c:pt>
                <c:pt idx="201">
                  <c:v>37935</c:v>
                </c:pt>
                <c:pt idx="202">
                  <c:v>37936</c:v>
                </c:pt>
                <c:pt idx="203">
                  <c:v>37937</c:v>
                </c:pt>
                <c:pt idx="204">
                  <c:v>37938</c:v>
                </c:pt>
                <c:pt idx="205">
                  <c:v>37939</c:v>
                </c:pt>
                <c:pt idx="206">
                  <c:v>37942</c:v>
                </c:pt>
                <c:pt idx="207">
                  <c:v>37943</c:v>
                </c:pt>
                <c:pt idx="208">
                  <c:v>37944</c:v>
                </c:pt>
                <c:pt idx="209">
                  <c:v>37945</c:v>
                </c:pt>
                <c:pt idx="210">
                  <c:v>37946</c:v>
                </c:pt>
                <c:pt idx="211">
                  <c:v>37952</c:v>
                </c:pt>
                <c:pt idx="212">
                  <c:v>37953</c:v>
                </c:pt>
                <c:pt idx="213">
                  <c:v>37956</c:v>
                </c:pt>
                <c:pt idx="214">
                  <c:v>37957</c:v>
                </c:pt>
                <c:pt idx="215">
                  <c:v>37958</c:v>
                </c:pt>
                <c:pt idx="216">
                  <c:v>37959</c:v>
                </c:pt>
                <c:pt idx="217">
                  <c:v>37960</c:v>
                </c:pt>
                <c:pt idx="218">
                  <c:v>37963</c:v>
                </c:pt>
                <c:pt idx="219">
                  <c:v>37964</c:v>
                </c:pt>
                <c:pt idx="220">
                  <c:v>37965</c:v>
                </c:pt>
                <c:pt idx="221">
                  <c:v>37966</c:v>
                </c:pt>
                <c:pt idx="222">
                  <c:v>37967</c:v>
                </c:pt>
                <c:pt idx="223">
                  <c:v>37970</c:v>
                </c:pt>
                <c:pt idx="224">
                  <c:v>37971</c:v>
                </c:pt>
                <c:pt idx="225">
                  <c:v>37972</c:v>
                </c:pt>
                <c:pt idx="226">
                  <c:v>37973</c:v>
                </c:pt>
                <c:pt idx="227">
                  <c:v>37974</c:v>
                </c:pt>
                <c:pt idx="228">
                  <c:v>37977</c:v>
                </c:pt>
                <c:pt idx="229">
                  <c:v>37978</c:v>
                </c:pt>
                <c:pt idx="230">
                  <c:v>37979</c:v>
                </c:pt>
                <c:pt idx="231">
                  <c:v>37981</c:v>
                </c:pt>
                <c:pt idx="232">
                  <c:v>37984</c:v>
                </c:pt>
                <c:pt idx="233">
                  <c:v>37985</c:v>
                </c:pt>
                <c:pt idx="234">
                  <c:v>37986</c:v>
                </c:pt>
                <c:pt idx="235">
                  <c:v>37988</c:v>
                </c:pt>
                <c:pt idx="236">
                  <c:v>37991</c:v>
                </c:pt>
                <c:pt idx="237">
                  <c:v>37992</c:v>
                </c:pt>
                <c:pt idx="238">
                  <c:v>37993</c:v>
                </c:pt>
                <c:pt idx="239">
                  <c:v>37994</c:v>
                </c:pt>
                <c:pt idx="240">
                  <c:v>37995</c:v>
                </c:pt>
                <c:pt idx="241">
                  <c:v>37998</c:v>
                </c:pt>
                <c:pt idx="242">
                  <c:v>37999</c:v>
                </c:pt>
                <c:pt idx="243">
                  <c:v>38000</c:v>
                </c:pt>
              </c:numCache>
            </c:numRef>
          </c:cat>
          <c:val>
            <c:numRef>
              <c:f>[1]FCPO!$AM$5443:$AM$5686</c:f>
              <c:numCache>
                <c:formatCode>General</c:formatCode>
                <c:ptCount val="244"/>
                <c:pt idx="0">
                  <c:v>18752</c:v>
                </c:pt>
                <c:pt idx="1">
                  <c:v>18297</c:v>
                </c:pt>
                <c:pt idx="2">
                  <c:v>18697</c:v>
                </c:pt>
                <c:pt idx="3">
                  <c:v>18680</c:v>
                </c:pt>
                <c:pt idx="4">
                  <c:v>18727</c:v>
                </c:pt>
                <c:pt idx="5">
                  <c:v>18611</c:v>
                </c:pt>
                <c:pt idx="6">
                  <c:v>18696</c:v>
                </c:pt>
                <c:pt idx="7">
                  <c:v>19139</c:v>
                </c:pt>
                <c:pt idx="8">
                  <c:v>18726</c:v>
                </c:pt>
                <c:pt idx="9">
                  <c:v>19594</c:v>
                </c:pt>
                <c:pt idx="10">
                  <c:v>19492</c:v>
                </c:pt>
                <c:pt idx="11">
                  <c:v>19581</c:v>
                </c:pt>
                <c:pt idx="12">
                  <c:v>19478</c:v>
                </c:pt>
                <c:pt idx="13">
                  <c:v>19637</c:v>
                </c:pt>
                <c:pt idx="14">
                  <c:v>20384</c:v>
                </c:pt>
                <c:pt idx="15">
                  <c:v>20048</c:v>
                </c:pt>
                <c:pt idx="16">
                  <c:v>19989</c:v>
                </c:pt>
                <c:pt idx="17">
                  <c:v>19958</c:v>
                </c:pt>
                <c:pt idx="18">
                  <c:v>20127</c:v>
                </c:pt>
                <c:pt idx="19">
                  <c:v>20048</c:v>
                </c:pt>
                <c:pt idx="20">
                  <c:v>20205</c:v>
                </c:pt>
                <c:pt idx="21">
                  <c:v>20539</c:v>
                </c:pt>
                <c:pt idx="22">
                  <c:v>20641</c:v>
                </c:pt>
                <c:pt idx="23">
                  <c:v>20438</c:v>
                </c:pt>
                <c:pt idx="24">
                  <c:v>20189</c:v>
                </c:pt>
                <c:pt idx="25">
                  <c:v>20294</c:v>
                </c:pt>
                <c:pt idx="26">
                  <c:v>21143</c:v>
                </c:pt>
                <c:pt idx="27">
                  <c:v>20551</c:v>
                </c:pt>
                <c:pt idx="28">
                  <c:v>18054</c:v>
                </c:pt>
                <c:pt idx="29">
                  <c:v>18513</c:v>
                </c:pt>
                <c:pt idx="30">
                  <c:v>19239</c:v>
                </c:pt>
                <c:pt idx="31">
                  <c:v>20387</c:v>
                </c:pt>
                <c:pt idx="32">
                  <c:v>20257</c:v>
                </c:pt>
                <c:pt idx="33">
                  <c:v>20150</c:v>
                </c:pt>
                <c:pt idx="34">
                  <c:v>19919</c:v>
                </c:pt>
                <c:pt idx="35">
                  <c:v>20269</c:v>
                </c:pt>
                <c:pt idx="36">
                  <c:v>19465</c:v>
                </c:pt>
                <c:pt idx="37">
                  <c:v>18585</c:v>
                </c:pt>
                <c:pt idx="38">
                  <c:v>19065</c:v>
                </c:pt>
                <c:pt idx="39">
                  <c:v>18271</c:v>
                </c:pt>
                <c:pt idx="40">
                  <c:v>19135</c:v>
                </c:pt>
                <c:pt idx="41">
                  <c:v>19184</c:v>
                </c:pt>
                <c:pt idx="42">
                  <c:v>18755</c:v>
                </c:pt>
                <c:pt idx="43">
                  <c:v>19408</c:v>
                </c:pt>
                <c:pt idx="44">
                  <c:v>20843</c:v>
                </c:pt>
                <c:pt idx="45">
                  <c:v>20936</c:v>
                </c:pt>
                <c:pt idx="46">
                  <c:v>21499</c:v>
                </c:pt>
                <c:pt idx="47">
                  <c:v>21540</c:v>
                </c:pt>
                <c:pt idx="48">
                  <c:v>21500</c:v>
                </c:pt>
                <c:pt idx="49">
                  <c:v>21378</c:v>
                </c:pt>
                <c:pt idx="50">
                  <c:v>21547</c:v>
                </c:pt>
                <c:pt idx="51">
                  <c:v>22581</c:v>
                </c:pt>
                <c:pt idx="52">
                  <c:v>22282</c:v>
                </c:pt>
                <c:pt idx="53">
                  <c:v>21038</c:v>
                </c:pt>
                <c:pt idx="54">
                  <c:v>21054</c:v>
                </c:pt>
                <c:pt idx="55">
                  <c:v>20908</c:v>
                </c:pt>
                <c:pt idx="56">
                  <c:v>21335</c:v>
                </c:pt>
                <c:pt idx="57">
                  <c:v>21673</c:v>
                </c:pt>
                <c:pt idx="58">
                  <c:v>22076</c:v>
                </c:pt>
                <c:pt idx="59">
                  <c:v>22566</c:v>
                </c:pt>
                <c:pt idx="60">
                  <c:v>23273</c:v>
                </c:pt>
                <c:pt idx="61">
                  <c:v>23663</c:v>
                </c:pt>
                <c:pt idx="62">
                  <c:v>24183</c:v>
                </c:pt>
                <c:pt idx="63">
                  <c:v>24807</c:v>
                </c:pt>
                <c:pt idx="64">
                  <c:v>25378</c:v>
                </c:pt>
                <c:pt idx="65">
                  <c:v>25316</c:v>
                </c:pt>
                <c:pt idx="66">
                  <c:v>25972</c:v>
                </c:pt>
                <c:pt idx="67">
                  <c:v>25705</c:v>
                </c:pt>
                <c:pt idx="68">
                  <c:v>26363</c:v>
                </c:pt>
                <c:pt idx="69">
                  <c:v>20723</c:v>
                </c:pt>
                <c:pt idx="70">
                  <c:v>26012</c:v>
                </c:pt>
                <c:pt idx="71">
                  <c:v>26268</c:v>
                </c:pt>
                <c:pt idx="72">
                  <c:v>26429</c:v>
                </c:pt>
                <c:pt idx="73">
                  <c:v>26902</c:v>
                </c:pt>
                <c:pt idx="74">
                  <c:v>26759</c:v>
                </c:pt>
                <c:pt idx="75">
                  <c:v>26910</c:v>
                </c:pt>
                <c:pt idx="76">
                  <c:v>26743</c:v>
                </c:pt>
                <c:pt idx="77">
                  <c:v>27481</c:v>
                </c:pt>
                <c:pt idx="78">
                  <c:v>27794</c:v>
                </c:pt>
                <c:pt idx="79">
                  <c:v>27312</c:v>
                </c:pt>
                <c:pt idx="80">
                  <c:v>27944</c:v>
                </c:pt>
                <c:pt idx="81">
                  <c:v>28101</c:v>
                </c:pt>
                <c:pt idx="82">
                  <c:v>28792</c:v>
                </c:pt>
                <c:pt idx="83">
                  <c:v>28478</c:v>
                </c:pt>
                <c:pt idx="84">
                  <c:v>27876</c:v>
                </c:pt>
                <c:pt idx="85">
                  <c:v>27039</c:v>
                </c:pt>
                <c:pt idx="86">
                  <c:v>26953</c:v>
                </c:pt>
                <c:pt idx="87">
                  <c:v>26801</c:v>
                </c:pt>
                <c:pt idx="88">
                  <c:v>26728</c:v>
                </c:pt>
                <c:pt idx="89">
                  <c:v>25962</c:v>
                </c:pt>
                <c:pt idx="90">
                  <c:v>26468</c:v>
                </c:pt>
                <c:pt idx="91">
                  <c:v>26715</c:v>
                </c:pt>
                <c:pt idx="92">
                  <c:v>27682</c:v>
                </c:pt>
                <c:pt idx="93">
                  <c:v>27206</c:v>
                </c:pt>
                <c:pt idx="94">
                  <c:v>26998</c:v>
                </c:pt>
                <c:pt idx="95">
                  <c:v>26744</c:v>
                </c:pt>
                <c:pt idx="96">
                  <c:v>25656</c:v>
                </c:pt>
                <c:pt idx="97">
                  <c:v>25636</c:v>
                </c:pt>
                <c:pt idx="98">
                  <c:v>25408</c:v>
                </c:pt>
                <c:pt idx="99">
                  <c:v>25925</c:v>
                </c:pt>
                <c:pt idx="100">
                  <c:v>26690</c:v>
                </c:pt>
                <c:pt idx="101">
                  <c:v>26214</c:v>
                </c:pt>
                <c:pt idx="102">
                  <c:v>26339</c:v>
                </c:pt>
                <c:pt idx="103">
                  <c:v>25514</c:v>
                </c:pt>
                <c:pt idx="104">
                  <c:v>24976</c:v>
                </c:pt>
                <c:pt idx="105">
                  <c:v>25321</c:v>
                </c:pt>
                <c:pt idx="106">
                  <c:v>25320</c:v>
                </c:pt>
                <c:pt idx="107">
                  <c:v>24130</c:v>
                </c:pt>
                <c:pt idx="108">
                  <c:v>24159</c:v>
                </c:pt>
                <c:pt idx="109">
                  <c:v>24369</c:v>
                </c:pt>
                <c:pt idx="110">
                  <c:v>24794</c:v>
                </c:pt>
                <c:pt idx="111">
                  <c:v>24316</c:v>
                </c:pt>
                <c:pt idx="112">
                  <c:v>24660</c:v>
                </c:pt>
                <c:pt idx="113">
                  <c:v>27324</c:v>
                </c:pt>
                <c:pt idx="114">
                  <c:v>24697</c:v>
                </c:pt>
                <c:pt idx="115">
                  <c:v>24450</c:v>
                </c:pt>
                <c:pt idx="116">
                  <c:v>24206</c:v>
                </c:pt>
                <c:pt idx="117">
                  <c:v>24773</c:v>
                </c:pt>
                <c:pt idx="118">
                  <c:v>24625</c:v>
                </c:pt>
                <c:pt idx="119">
                  <c:v>25110</c:v>
                </c:pt>
                <c:pt idx="120">
                  <c:v>25966</c:v>
                </c:pt>
                <c:pt idx="121">
                  <c:v>26605</c:v>
                </c:pt>
                <c:pt idx="122">
                  <c:v>27264</c:v>
                </c:pt>
                <c:pt idx="123">
                  <c:v>27660</c:v>
                </c:pt>
                <c:pt idx="124">
                  <c:v>28104</c:v>
                </c:pt>
                <c:pt idx="125">
                  <c:v>29171</c:v>
                </c:pt>
                <c:pt idx="126">
                  <c:v>29465</c:v>
                </c:pt>
                <c:pt idx="127">
                  <c:v>29733</c:v>
                </c:pt>
                <c:pt idx="128">
                  <c:v>30072</c:v>
                </c:pt>
                <c:pt idx="129">
                  <c:v>30386</c:v>
                </c:pt>
                <c:pt idx="130">
                  <c:v>30193</c:v>
                </c:pt>
                <c:pt idx="131">
                  <c:v>30255</c:v>
                </c:pt>
                <c:pt idx="132">
                  <c:v>30812</c:v>
                </c:pt>
                <c:pt idx="133">
                  <c:v>30770</c:v>
                </c:pt>
                <c:pt idx="134">
                  <c:v>30748</c:v>
                </c:pt>
                <c:pt idx="135">
                  <c:v>30484</c:v>
                </c:pt>
                <c:pt idx="136">
                  <c:v>30268</c:v>
                </c:pt>
                <c:pt idx="137">
                  <c:v>31196</c:v>
                </c:pt>
                <c:pt idx="138">
                  <c:v>31138</c:v>
                </c:pt>
                <c:pt idx="139">
                  <c:v>31500</c:v>
                </c:pt>
                <c:pt idx="140">
                  <c:v>32073</c:v>
                </c:pt>
                <c:pt idx="141">
                  <c:v>32670</c:v>
                </c:pt>
                <c:pt idx="142">
                  <c:v>32436</c:v>
                </c:pt>
                <c:pt idx="143">
                  <c:v>33232</c:v>
                </c:pt>
                <c:pt idx="144">
                  <c:v>32019</c:v>
                </c:pt>
                <c:pt idx="145">
                  <c:v>31540</c:v>
                </c:pt>
                <c:pt idx="146">
                  <c:v>28923</c:v>
                </c:pt>
                <c:pt idx="147">
                  <c:v>28942</c:v>
                </c:pt>
                <c:pt idx="148">
                  <c:v>29469</c:v>
                </c:pt>
                <c:pt idx="149">
                  <c:v>29127</c:v>
                </c:pt>
                <c:pt idx="150">
                  <c:v>29406</c:v>
                </c:pt>
                <c:pt idx="151">
                  <c:v>29095</c:v>
                </c:pt>
                <c:pt idx="152">
                  <c:v>29567</c:v>
                </c:pt>
                <c:pt idx="153">
                  <c:v>29218</c:v>
                </c:pt>
                <c:pt idx="154">
                  <c:v>30511</c:v>
                </c:pt>
                <c:pt idx="155">
                  <c:v>31660</c:v>
                </c:pt>
                <c:pt idx="156">
                  <c:v>31867</c:v>
                </c:pt>
                <c:pt idx="157">
                  <c:v>31535</c:v>
                </c:pt>
                <c:pt idx="158">
                  <c:v>32062</c:v>
                </c:pt>
                <c:pt idx="159">
                  <c:v>32108</c:v>
                </c:pt>
                <c:pt idx="160">
                  <c:v>31283</c:v>
                </c:pt>
                <c:pt idx="161">
                  <c:v>30042</c:v>
                </c:pt>
                <c:pt idx="162">
                  <c:v>29412</c:v>
                </c:pt>
                <c:pt idx="163">
                  <c:v>29011</c:v>
                </c:pt>
                <c:pt idx="164">
                  <c:v>29825</c:v>
                </c:pt>
                <c:pt idx="165">
                  <c:v>28794</c:v>
                </c:pt>
                <c:pt idx="166">
                  <c:v>28384</c:v>
                </c:pt>
                <c:pt idx="167">
                  <c:v>27774</c:v>
                </c:pt>
                <c:pt idx="168">
                  <c:v>27346</c:v>
                </c:pt>
                <c:pt idx="169">
                  <c:v>27172</c:v>
                </c:pt>
                <c:pt idx="170">
                  <c:v>26773</c:v>
                </c:pt>
                <c:pt idx="171">
                  <c:v>26344</c:v>
                </c:pt>
                <c:pt idx="172">
                  <c:v>26464</c:v>
                </c:pt>
                <c:pt idx="173">
                  <c:v>25425</c:v>
                </c:pt>
                <c:pt idx="174">
                  <c:v>25963</c:v>
                </c:pt>
                <c:pt idx="175">
                  <c:v>25986</c:v>
                </c:pt>
                <c:pt idx="176">
                  <c:v>25398</c:v>
                </c:pt>
                <c:pt idx="177">
                  <c:v>25075</c:v>
                </c:pt>
                <c:pt idx="178">
                  <c:v>24635</c:v>
                </c:pt>
                <c:pt idx="179">
                  <c:v>25097</c:v>
                </c:pt>
                <c:pt idx="180">
                  <c:v>24850</c:v>
                </c:pt>
                <c:pt idx="181">
                  <c:v>25015</c:v>
                </c:pt>
                <c:pt idx="182">
                  <c:v>25950</c:v>
                </c:pt>
                <c:pt idx="183">
                  <c:v>24710</c:v>
                </c:pt>
                <c:pt idx="184">
                  <c:v>23827</c:v>
                </c:pt>
                <c:pt idx="185">
                  <c:v>23048</c:v>
                </c:pt>
                <c:pt idx="186">
                  <c:v>23238</c:v>
                </c:pt>
                <c:pt idx="187">
                  <c:v>25195</c:v>
                </c:pt>
                <c:pt idx="188">
                  <c:v>25240</c:v>
                </c:pt>
                <c:pt idx="189">
                  <c:v>25732</c:v>
                </c:pt>
                <c:pt idx="190">
                  <c:v>26624</c:v>
                </c:pt>
                <c:pt idx="191">
                  <c:v>26484</c:v>
                </c:pt>
                <c:pt idx="192">
                  <c:v>26356</c:v>
                </c:pt>
                <c:pt idx="193">
                  <c:v>25660</c:v>
                </c:pt>
                <c:pt idx="194">
                  <c:v>25288</c:v>
                </c:pt>
                <c:pt idx="195">
                  <c:v>25154</c:v>
                </c:pt>
                <c:pt idx="196">
                  <c:v>25352</c:v>
                </c:pt>
                <c:pt idx="197">
                  <c:v>26442</c:v>
                </c:pt>
                <c:pt idx="198">
                  <c:v>25062</c:v>
                </c:pt>
                <c:pt idx="199">
                  <c:v>25875</c:v>
                </c:pt>
                <c:pt idx="200">
                  <c:v>25625</c:v>
                </c:pt>
                <c:pt idx="201">
                  <c:v>24624</c:v>
                </c:pt>
                <c:pt idx="202">
                  <c:v>23331</c:v>
                </c:pt>
                <c:pt idx="203">
                  <c:v>23183</c:v>
                </c:pt>
                <c:pt idx="204">
                  <c:v>23602</c:v>
                </c:pt>
                <c:pt idx="205">
                  <c:v>22636</c:v>
                </c:pt>
                <c:pt idx="206">
                  <c:v>23248</c:v>
                </c:pt>
                <c:pt idx="207">
                  <c:v>23666</c:v>
                </c:pt>
                <c:pt idx="208">
                  <c:v>24290</c:v>
                </c:pt>
                <c:pt idx="209">
                  <c:v>23968</c:v>
                </c:pt>
                <c:pt idx="210">
                  <c:v>23441</c:v>
                </c:pt>
                <c:pt idx="211">
                  <c:v>23434</c:v>
                </c:pt>
                <c:pt idx="212">
                  <c:v>23186</c:v>
                </c:pt>
                <c:pt idx="213">
                  <c:v>23041</c:v>
                </c:pt>
                <c:pt idx="214">
                  <c:v>22302</c:v>
                </c:pt>
                <c:pt idx="215">
                  <c:v>22181</c:v>
                </c:pt>
                <c:pt idx="216">
                  <c:v>21652</c:v>
                </c:pt>
                <c:pt idx="217">
                  <c:v>21568</c:v>
                </c:pt>
                <c:pt idx="218">
                  <c:v>21706</c:v>
                </c:pt>
                <c:pt idx="219">
                  <c:v>21776</c:v>
                </c:pt>
                <c:pt idx="220">
                  <c:v>21939</c:v>
                </c:pt>
                <c:pt idx="221">
                  <c:v>21997</c:v>
                </c:pt>
                <c:pt idx="222">
                  <c:v>21820</c:v>
                </c:pt>
                <c:pt idx="223">
                  <c:v>21598</c:v>
                </c:pt>
                <c:pt idx="224">
                  <c:v>21466</c:v>
                </c:pt>
                <c:pt idx="225">
                  <c:v>21201</c:v>
                </c:pt>
                <c:pt idx="226">
                  <c:v>20893</c:v>
                </c:pt>
                <c:pt idx="227">
                  <c:v>21140</c:v>
                </c:pt>
                <c:pt idx="228">
                  <c:v>21519</c:v>
                </c:pt>
                <c:pt idx="229">
                  <c:v>21550</c:v>
                </c:pt>
                <c:pt idx="230">
                  <c:v>21025</c:v>
                </c:pt>
                <c:pt idx="231">
                  <c:v>21526</c:v>
                </c:pt>
                <c:pt idx="232">
                  <c:v>21373</c:v>
                </c:pt>
                <c:pt idx="233">
                  <c:v>21488</c:v>
                </c:pt>
                <c:pt idx="234">
                  <c:v>21149</c:v>
                </c:pt>
                <c:pt idx="235">
                  <c:v>21216</c:v>
                </c:pt>
                <c:pt idx="236">
                  <c:v>21144</c:v>
                </c:pt>
                <c:pt idx="237">
                  <c:v>21310</c:v>
                </c:pt>
                <c:pt idx="238">
                  <c:v>21019</c:v>
                </c:pt>
                <c:pt idx="239">
                  <c:v>20619</c:v>
                </c:pt>
                <c:pt idx="240">
                  <c:v>21018</c:v>
                </c:pt>
                <c:pt idx="241">
                  <c:v>21118</c:v>
                </c:pt>
                <c:pt idx="242">
                  <c:v>21067</c:v>
                </c:pt>
                <c:pt idx="243">
                  <c:v>21153</c:v>
                </c:pt>
              </c:numCache>
            </c:numRef>
          </c:val>
        </c:ser>
        <c:marker val="1"/>
        <c:axId val="134459776"/>
        <c:axId val="134461312"/>
      </c:lineChart>
      <c:catAx>
        <c:axId val="134456064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57600"/>
        <c:crosses val="autoZero"/>
        <c:lblAlgn val="ctr"/>
        <c:lblOffset val="100"/>
        <c:tickLblSkip val="8"/>
        <c:tickMarkSkip val="1"/>
      </c:catAx>
      <c:valAx>
        <c:axId val="134457600"/>
        <c:scaling>
          <c:orientation val="minMax"/>
          <c:max val="16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Position</a:t>
                </a:r>
              </a:p>
            </c:rich>
          </c:tx>
          <c:layout>
            <c:manualLayout>
              <c:xMode val="edge"/>
              <c:yMode val="edge"/>
              <c:x val="0.96285781449345365"/>
              <c:y val="0.2378854625550661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56064"/>
        <c:crosses val="autoZero"/>
        <c:crossBetween val="between"/>
        <c:majorUnit val="2000"/>
      </c:valAx>
      <c:catAx>
        <c:axId val="134459776"/>
        <c:scaling>
          <c:orientation val="minMax"/>
        </c:scaling>
        <c:delete val="1"/>
        <c:axPos val="b"/>
        <c:numFmt formatCode="General" sourceLinked="1"/>
        <c:tickLblPos val="nextTo"/>
        <c:crossAx val="134461312"/>
        <c:crosses val="autoZero"/>
        <c:lblAlgn val="ctr"/>
        <c:lblOffset val="100"/>
      </c:catAx>
      <c:valAx>
        <c:axId val="134461312"/>
        <c:scaling>
          <c:orientation val="minMax"/>
          <c:max val="36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7.1428621253223573E-3"/>
              <c:y val="0.2290748898678414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59776"/>
        <c:crosses val="max"/>
        <c:crossBetween val="between"/>
        <c:majorUnit val="4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4293187983533"/>
          <c:y val="8.8105726872246728E-2"/>
          <c:w val="0.42428601024414792"/>
          <c:h val="5.7268722466960353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87437782627117E-2"/>
          <c:y val="6.3559322033898302E-2"/>
          <c:w val="0.81635638251293341"/>
          <c:h val="0.69067796610169518"/>
        </c:manualLayout>
      </c:layout>
      <c:barChart>
        <c:barDir val="col"/>
        <c:grouping val="clustered"/>
        <c:ser>
          <c:idx val="1"/>
          <c:order val="0"/>
          <c:tx>
            <c:strRef>
              <c:f>[1]FKB3!$BJ$2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453E01"/>
            </a:solidFill>
            <a:ln w="12700">
              <a:solidFill>
                <a:srgbClr val="453E01"/>
              </a:solidFill>
              <a:prstDash val="solid"/>
            </a:ln>
          </c:spPr>
          <c:cat>
            <c:numRef>
              <c:f>[1]FKB3!$A$628:$A$871</c:f>
              <c:numCache>
                <c:formatCode>General</c:formatCode>
                <c:ptCount val="244"/>
                <c:pt idx="0">
                  <c:v>37638</c:v>
                </c:pt>
                <c:pt idx="1">
                  <c:v>37641</c:v>
                </c:pt>
                <c:pt idx="2">
                  <c:v>37642</c:v>
                </c:pt>
                <c:pt idx="3">
                  <c:v>37643</c:v>
                </c:pt>
                <c:pt idx="4">
                  <c:v>37644</c:v>
                </c:pt>
                <c:pt idx="5">
                  <c:v>37645</c:v>
                </c:pt>
                <c:pt idx="6">
                  <c:v>37648</c:v>
                </c:pt>
                <c:pt idx="7">
                  <c:v>37649</c:v>
                </c:pt>
                <c:pt idx="8">
                  <c:v>37650</c:v>
                </c:pt>
                <c:pt idx="9">
                  <c:v>37651</c:v>
                </c:pt>
                <c:pt idx="10">
                  <c:v>37657</c:v>
                </c:pt>
                <c:pt idx="11">
                  <c:v>37658</c:v>
                </c:pt>
                <c:pt idx="12">
                  <c:v>37659</c:v>
                </c:pt>
                <c:pt idx="13">
                  <c:v>37662</c:v>
                </c:pt>
                <c:pt idx="14">
                  <c:v>37663</c:v>
                </c:pt>
                <c:pt idx="15">
                  <c:v>37665</c:v>
                </c:pt>
                <c:pt idx="16">
                  <c:v>37666</c:v>
                </c:pt>
                <c:pt idx="17">
                  <c:v>37669</c:v>
                </c:pt>
                <c:pt idx="18">
                  <c:v>37670</c:v>
                </c:pt>
                <c:pt idx="19">
                  <c:v>37671</c:v>
                </c:pt>
                <c:pt idx="20">
                  <c:v>37672</c:v>
                </c:pt>
                <c:pt idx="21">
                  <c:v>37673</c:v>
                </c:pt>
                <c:pt idx="22">
                  <c:v>37676</c:v>
                </c:pt>
                <c:pt idx="23">
                  <c:v>37677</c:v>
                </c:pt>
                <c:pt idx="24">
                  <c:v>37678</c:v>
                </c:pt>
                <c:pt idx="25">
                  <c:v>37679</c:v>
                </c:pt>
                <c:pt idx="26">
                  <c:v>37680</c:v>
                </c:pt>
                <c:pt idx="27">
                  <c:v>37683</c:v>
                </c:pt>
                <c:pt idx="28">
                  <c:v>37685</c:v>
                </c:pt>
                <c:pt idx="29">
                  <c:v>37686</c:v>
                </c:pt>
                <c:pt idx="30">
                  <c:v>37687</c:v>
                </c:pt>
                <c:pt idx="31">
                  <c:v>37690</c:v>
                </c:pt>
                <c:pt idx="32">
                  <c:v>37691</c:v>
                </c:pt>
                <c:pt idx="33">
                  <c:v>37692</c:v>
                </c:pt>
                <c:pt idx="34">
                  <c:v>37693</c:v>
                </c:pt>
                <c:pt idx="35">
                  <c:v>37694</c:v>
                </c:pt>
                <c:pt idx="36">
                  <c:v>37697</c:v>
                </c:pt>
                <c:pt idx="37">
                  <c:v>37698</c:v>
                </c:pt>
                <c:pt idx="38">
                  <c:v>37699</c:v>
                </c:pt>
                <c:pt idx="39">
                  <c:v>37700</c:v>
                </c:pt>
                <c:pt idx="40">
                  <c:v>37701</c:v>
                </c:pt>
                <c:pt idx="41">
                  <c:v>37704</c:v>
                </c:pt>
                <c:pt idx="42">
                  <c:v>37705</c:v>
                </c:pt>
                <c:pt idx="43">
                  <c:v>37706</c:v>
                </c:pt>
                <c:pt idx="44">
                  <c:v>37707</c:v>
                </c:pt>
                <c:pt idx="45">
                  <c:v>37708</c:v>
                </c:pt>
                <c:pt idx="46">
                  <c:v>37711</c:v>
                </c:pt>
                <c:pt idx="47">
                  <c:v>37712</c:v>
                </c:pt>
                <c:pt idx="48">
                  <c:v>37713</c:v>
                </c:pt>
                <c:pt idx="49">
                  <c:v>37714</c:v>
                </c:pt>
                <c:pt idx="50">
                  <c:v>37715</c:v>
                </c:pt>
                <c:pt idx="51">
                  <c:v>37718</c:v>
                </c:pt>
                <c:pt idx="52">
                  <c:v>37719</c:v>
                </c:pt>
                <c:pt idx="53">
                  <c:v>37720</c:v>
                </c:pt>
                <c:pt idx="54">
                  <c:v>37721</c:v>
                </c:pt>
                <c:pt idx="55">
                  <c:v>37722</c:v>
                </c:pt>
                <c:pt idx="56">
                  <c:v>37725</c:v>
                </c:pt>
                <c:pt idx="57">
                  <c:v>37726</c:v>
                </c:pt>
                <c:pt idx="58">
                  <c:v>37727</c:v>
                </c:pt>
                <c:pt idx="59">
                  <c:v>37728</c:v>
                </c:pt>
                <c:pt idx="60">
                  <c:v>37729</c:v>
                </c:pt>
                <c:pt idx="61">
                  <c:v>37732</c:v>
                </c:pt>
                <c:pt idx="62">
                  <c:v>37733</c:v>
                </c:pt>
                <c:pt idx="63">
                  <c:v>37734</c:v>
                </c:pt>
                <c:pt idx="64">
                  <c:v>37735</c:v>
                </c:pt>
                <c:pt idx="65">
                  <c:v>37736</c:v>
                </c:pt>
                <c:pt idx="66">
                  <c:v>37739</c:v>
                </c:pt>
                <c:pt idx="67">
                  <c:v>37740</c:v>
                </c:pt>
                <c:pt idx="68">
                  <c:v>37741</c:v>
                </c:pt>
                <c:pt idx="69">
                  <c:v>37743</c:v>
                </c:pt>
                <c:pt idx="70">
                  <c:v>37746</c:v>
                </c:pt>
                <c:pt idx="71">
                  <c:v>37747</c:v>
                </c:pt>
                <c:pt idx="72">
                  <c:v>37748</c:v>
                </c:pt>
                <c:pt idx="73">
                  <c:v>37749</c:v>
                </c:pt>
                <c:pt idx="74">
                  <c:v>37750</c:v>
                </c:pt>
                <c:pt idx="75">
                  <c:v>37753</c:v>
                </c:pt>
                <c:pt idx="76">
                  <c:v>37754</c:v>
                </c:pt>
                <c:pt idx="77">
                  <c:v>37757</c:v>
                </c:pt>
                <c:pt idx="78">
                  <c:v>37760</c:v>
                </c:pt>
                <c:pt idx="79">
                  <c:v>37761</c:v>
                </c:pt>
                <c:pt idx="80">
                  <c:v>37762</c:v>
                </c:pt>
                <c:pt idx="81">
                  <c:v>37763</c:v>
                </c:pt>
                <c:pt idx="82">
                  <c:v>37764</c:v>
                </c:pt>
                <c:pt idx="83">
                  <c:v>37767</c:v>
                </c:pt>
                <c:pt idx="84">
                  <c:v>37768</c:v>
                </c:pt>
                <c:pt idx="85">
                  <c:v>37769</c:v>
                </c:pt>
                <c:pt idx="86">
                  <c:v>37770</c:v>
                </c:pt>
                <c:pt idx="87">
                  <c:v>37771</c:v>
                </c:pt>
                <c:pt idx="88">
                  <c:v>37774</c:v>
                </c:pt>
                <c:pt idx="89">
                  <c:v>37775</c:v>
                </c:pt>
                <c:pt idx="90">
                  <c:v>37776</c:v>
                </c:pt>
                <c:pt idx="91">
                  <c:v>37777</c:v>
                </c:pt>
                <c:pt idx="92">
                  <c:v>37778</c:v>
                </c:pt>
                <c:pt idx="93">
                  <c:v>37781</c:v>
                </c:pt>
                <c:pt idx="94">
                  <c:v>37782</c:v>
                </c:pt>
                <c:pt idx="95">
                  <c:v>37783</c:v>
                </c:pt>
                <c:pt idx="96">
                  <c:v>37784</c:v>
                </c:pt>
                <c:pt idx="97">
                  <c:v>37785</c:v>
                </c:pt>
                <c:pt idx="98">
                  <c:v>37788</c:v>
                </c:pt>
                <c:pt idx="99">
                  <c:v>37789</c:v>
                </c:pt>
                <c:pt idx="100">
                  <c:v>37790</c:v>
                </c:pt>
                <c:pt idx="101">
                  <c:v>37791</c:v>
                </c:pt>
                <c:pt idx="102">
                  <c:v>37792</c:v>
                </c:pt>
                <c:pt idx="103">
                  <c:v>37795</c:v>
                </c:pt>
                <c:pt idx="104">
                  <c:v>37796</c:v>
                </c:pt>
                <c:pt idx="105">
                  <c:v>37797</c:v>
                </c:pt>
                <c:pt idx="106">
                  <c:v>37798</c:v>
                </c:pt>
                <c:pt idx="107">
                  <c:v>37799</c:v>
                </c:pt>
                <c:pt idx="108">
                  <c:v>37802</c:v>
                </c:pt>
                <c:pt idx="109">
                  <c:v>37803</c:v>
                </c:pt>
                <c:pt idx="110">
                  <c:v>37804</c:v>
                </c:pt>
                <c:pt idx="111">
                  <c:v>37805</c:v>
                </c:pt>
                <c:pt idx="112">
                  <c:v>37806</c:v>
                </c:pt>
                <c:pt idx="113">
                  <c:v>37809</c:v>
                </c:pt>
                <c:pt idx="114">
                  <c:v>37810</c:v>
                </c:pt>
                <c:pt idx="115">
                  <c:v>37811</c:v>
                </c:pt>
                <c:pt idx="116">
                  <c:v>37812</c:v>
                </c:pt>
                <c:pt idx="117">
                  <c:v>37813</c:v>
                </c:pt>
                <c:pt idx="118">
                  <c:v>37816</c:v>
                </c:pt>
                <c:pt idx="119">
                  <c:v>37817</c:v>
                </c:pt>
                <c:pt idx="120">
                  <c:v>37818</c:v>
                </c:pt>
                <c:pt idx="121">
                  <c:v>37819</c:v>
                </c:pt>
                <c:pt idx="122">
                  <c:v>37820</c:v>
                </c:pt>
                <c:pt idx="123">
                  <c:v>37823</c:v>
                </c:pt>
                <c:pt idx="124">
                  <c:v>37824</c:v>
                </c:pt>
                <c:pt idx="125">
                  <c:v>37825</c:v>
                </c:pt>
                <c:pt idx="126">
                  <c:v>37826</c:v>
                </c:pt>
                <c:pt idx="127">
                  <c:v>37827</c:v>
                </c:pt>
                <c:pt idx="128">
                  <c:v>37830</c:v>
                </c:pt>
                <c:pt idx="129">
                  <c:v>37831</c:v>
                </c:pt>
                <c:pt idx="130">
                  <c:v>37832</c:v>
                </c:pt>
                <c:pt idx="131">
                  <c:v>37833</c:v>
                </c:pt>
                <c:pt idx="132">
                  <c:v>37834</c:v>
                </c:pt>
                <c:pt idx="133">
                  <c:v>37837</c:v>
                </c:pt>
                <c:pt idx="134">
                  <c:v>37838</c:v>
                </c:pt>
                <c:pt idx="135">
                  <c:v>37839</c:v>
                </c:pt>
                <c:pt idx="136">
                  <c:v>37840</c:v>
                </c:pt>
                <c:pt idx="137">
                  <c:v>37841</c:v>
                </c:pt>
                <c:pt idx="138">
                  <c:v>37844</c:v>
                </c:pt>
                <c:pt idx="139">
                  <c:v>37845</c:v>
                </c:pt>
                <c:pt idx="140">
                  <c:v>37846</c:v>
                </c:pt>
                <c:pt idx="141">
                  <c:v>37847</c:v>
                </c:pt>
                <c:pt idx="142">
                  <c:v>37848</c:v>
                </c:pt>
                <c:pt idx="143">
                  <c:v>37851</c:v>
                </c:pt>
                <c:pt idx="144">
                  <c:v>37852</c:v>
                </c:pt>
                <c:pt idx="145">
                  <c:v>37853</c:v>
                </c:pt>
                <c:pt idx="146">
                  <c:v>37854</c:v>
                </c:pt>
                <c:pt idx="147">
                  <c:v>37855</c:v>
                </c:pt>
                <c:pt idx="148">
                  <c:v>37858</c:v>
                </c:pt>
                <c:pt idx="149">
                  <c:v>37859</c:v>
                </c:pt>
                <c:pt idx="150">
                  <c:v>37860</c:v>
                </c:pt>
                <c:pt idx="151">
                  <c:v>37861</c:v>
                </c:pt>
                <c:pt idx="152">
                  <c:v>37862</c:v>
                </c:pt>
                <c:pt idx="153">
                  <c:v>37866</c:v>
                </c:pt>
                <c:pt idx="154">
                  <c:v>37867</c:v>
                </c:pt>
                <c:pt idx="155">
                  <c:v>37868</c:v>
                </c:pt>
                <c:pt idx="156">
                  <c:v>37869</c:v>
                </c:pt>
                <c:pt idx="157">
                  <c:v>37872</c:v>
                </c:pt>
                <c:pt idx="158">
                  <c:v>37873</c:v>
                </c:pt>
                <c:pt idx="159">
                  <c:v>37874</c:v>
                </c:pt>
                <c:pt idx="160">
                  <c:v>37875</c:v>
                </c:pt>
                <c:pt idx="161">
                  <c:v>37876</c:v>
                </c:pt>
                <c:pt idx="162">
                  <c:v>37879</c:v>
                </c:pt>
                <c:pt idx="163">
                  <c:v>37880</c:v>
                </c:pt>
                <c:pt idx="164">
                  <c:v>37881</c:v>
                </c:pt>
                <c:pt idx="165">
                  <c:v>37882</c:v>
                </c:pt>
                <c:pt idx="166">
                  <c:v>37883</c:v>
                </c:pt>
                <c:pt idx="167">
                  <c:v>37886</c:v>
                </c:pt>
                <c:pt idx="168">
                  <c:v>37887</c:v>
                </c:pt>
                <c:pt idx="169">
                  <c:v>37888</c:v>
                </c:pt>
                <c:pt idx="170">
                  <c:v>37889</c:v>
                </c:pt>
                <c:pt idx="171">
                  <c:v>37890</c:v>
                </c:pt>
                <c:pt idx="172">
                  <c:v>37893</c:v>
                </c:pt>
                <c:pt idx="173">
                  <c:v>37894</c:v>
                </c:pt>
                <c:pt idx="174">
                  <c:v>37895</c:v>
                </c:pt>
                <c:pt idx="175">
                  <c:v>37896</c:v>
                </c:pt>
                <c:pt idx="176">
                  <c:v>37897</c:v>
                </c:pt>
                <c:pt idx="177">
                  <c:v>37900</c:v>
                </c:pt>
                <c:pt idx="178">
                  <c:v>37901</c:v>
                </c:pt>
                <c:pt idx="179">
                  <c:v>37902</c:v>
                </c:pt>
                <c:pt idx="180">
                  <c:v>37903</c:v>
                </c:pt>
                <c:pt idx="181">
                  <c:v>37904</c:v>
                </c:pt>
                <c:pt idx="182">
                  <c:v>37907</c:v>
                </c:pt>
                <c:pt idx="183">
                  <c:v>37908</c:v>
                </c:pt>
                <c:pt idx="184">
                  <c:v>37909</c:v>
                </c:pt>
                <c:pt idx="185">
                  <c:v>37910</c:v>
                </c:pt>
                <c:pt idx="186">
                  <c:v>37911</c:v>
                </c:pt>
                <c:pt idx="187">
                  <c:v>37914</c:v>
                </c:pt>
                <c:pt idx="188">
                  <c:v>37915</c:v>
                </c:pt>
                <c:pt idx="189">
                  <c:v>37916</c:v>
                </c:pt>
                <c:pt idx="190">
                  <c:v>37917</c:v>
                </c:pt>
                <c:pt idx="191">
                  <c:v>37921</c:v>
                </c:pt>
                <c:pt idx="192">
                  <c:v>37922</c:v>
                </c:pt>
                <c:pt idx="193">
                  <c:v>37923</c:v>
                </c:pt>
                <c:pt idx="194">
                  <c:v>37924</c:v>
                </c:pt>
                <c:pt idx="195">
                  <c:v>37925</c:v>
                </c:pt>
                <c:pt idx="196">
                  <c:v>37928</c:v>
                </c:pt>
                <c:pt idx="197">
                  <c:v>37929</c:v>
                </c:pt>
                <c:pt idx="198">
                  <c:v>37930</c:v>
                </c:pt>
                <c:pt idx="199">
                  <c:v>37931</c:v>
                </c:pt>
                <c:pt idx="200">
                  <c:v>37932</c:v>
                </c:pt>
                <c:pt idx="201">
                  <c:v>37935</c:v>
                </c:pt>
                <c:pt idx="202">
                  <c:v>37936</c:v>
                </c:pt>
                <c:pt idx="203">
                  <c:v>37937</c:v>
                </c:pt>
                <c:pt idx="204">
                  <c:v>37938</c:v>
                </c:pt>
                <c:pt idx="205">
                  <c:v>37939</c:v>
                </c:pt>
                <c:pt idx="206">
                  <c:v>37942</c:v>
                </c:pt>
                <c:pt idx="207">
                  <c:v>37943</c:v>
                </c:pt>
                <c:pt idx="208">
                  <c:v>37944</c:v>
                </c:pt>
                <c:pt idx="209">
                  <c:v>37945</c:v>
                </c:pt>
                <c:pt idx="210">
                  <c:v>37946</c:v>
                </c:pt>
                <c:pt idx="211">
                  <c:v>37952</c:v>
                </c:pt>
                <c:pt idx="212">
                  <c:v>37953</c:v>
                </c:pt>
                <c:pt idx="213">
                  <c:v>37956</c:v>
                </c:pt>
                <c:pt idx="214">
                  <c:v>37957</c:v>
                </c:pt>
                <c:pt idx="215">
                  <c:v>37958</c:v>
                </c:pt>
                <c:pt idx="216">
                  <c:v>37959</c:v>
                </c:pt>
                <c:pt idx="217">
                  <c:v>37960</c:v>
                </c:pt>
                <c:pt idx="218">
                  <c:v>37963</c:v>
                </c:pt>
                <c:pt idx="219">
                  <c:v>37964</c:v>
                </c:pt>
                <c:pt idx="220">
                  <c:v>37965</c:v>
                </c:pt>
                <c:pt idx="221">
                  <c:v>37966</c:v>
                </c:pt>
                <c:pt idx="222">
                  <c:v>37967</c:v>
                </c:pt>
                <c:pt idx="223">
                  <c:v>37970</c:v>
                </c:pt>
                <c:pt idx="224">
                  <c:v>37971</c:v>
                </c:pt>
                <c:pt idx="225">
                  <c:v>37972</c:v>
                </c:pt>
                <c:pt idx="226">
                  <c:v>37973</c:v>
                </c:pt>
                <c:pt idx="227">
                  <c:v>37974</c:v>
                </c:pt>
                <c:pt idx="228">
                  <c:v>37977</c:v>
                </c:pt>
                <c:pt idx="229">
                  <c:v>37978</c:v>
                </c:pt>
                <c:pt idx="230">
                  <c:v>37979</c:v>
                </c:pt>
                <c:pt idx="231">
                  <c:v>37981</c:v>
                </c:pt>
                <c:pt idx="232">
                  <c:v>37984</c:v>
                </c:pt>
                <c:pt idx="233">
                  <c:v>37985</c:v>
                </c:pt>
                <c:pt idx="234">
                  <c:v>37986</c:v>
                </c:pt>
                <c:pt idx="235">
                  <c:v>37988</c:v>
                </c:pt>
                <c:pt idx="236">
                  <c:v>37991</c:v>
                </c:pt>
                <c:pt idx="237">
                  <c:v>37992</c:v>
                </c:pt>
                <c:pt idx="238">
                  <c:v>37993</c:v>
                </c:pt>
                <c:pt idx="239">
                  <c:v>37994</c:v>
                </c:pt>
                <c:pt idx="240">
                  <c:v>37995</c:v>
                </c:pt>
                <c:pt idx="241">
                  <c:v>37998</c:v>
                </c:pt>
                <c:pt idx="242">
                  <c:v>37999</c:v>
                </c:pt>
                <c:pt idx="243">
                  <c:v>38000</c:v>
                </c:pt>
              </c:numCache>
            </c:numRef>
          </c:cat>
          <c:val>
            <c:numRef>
              <c:f>[1]FKB3!$BJ$628:$BJ$871</c:f>
              <c:numCache>
                <c:formatCode>General</c:formatCode>
                <c:ptCount val="244"/>
                <c:pt idx="0">
                  <c:v>212</c:v>
                </c:pt>
                <c:pt idx="1">
                  <c:v>7</c:v>
                </c:pt>
                <c:pt idx="2">
                  <c:v>595</c:v>
                </c:pt>
                <c:pt idx="3">
                  <c:v>45</c:v>
                </c:pt>
                <c:pt idx="4">
                  <c:v>693</c:v>
                </c:pt>
                <c:pt idx="5">
                  <c:v>790</c:v>
                </c:pt>
                <c:pt idx="6">
                  <c:v>1108</c:v>
                </c:pt>
                <c:pt idx="7">
                  <c:v>515</c:v>
                </c:pt>
                <c:pt idx="8">
                  <c:v>20</c:v>
                </c:pt>
                <c:pt idx="9">
                  <c:v>13</c:v>
                </c:pt>
                <c:pt idx="10">
                  <c:v>2</c:v>
                </c:pt>
                <c:pt idx="11">
                  <c:v>12</c:v>
                </c:pt>
                <c:pt idx="12">
                  <c:v>368</c:v>
                </c:pt>
                <c:pt idx="13">
                  <c:v>193</c:v>
                </c:pt>
                <c:pt idx="14">
                  <c:v>227</c:v>
                </c:pt>
                <c:pt idx="15">
                  <c:v>165</c:v>
                </c:pt>
                <c:pt idx="16">
                  <c:v>220</c:v>
                </c:pt>
                <c:pt idx="17">
                  <c:v>784</c:v>
                </c:pt>
                <c:pt idx="18">
                  <c:v>432</c:v>
                </c:pt>
                <c:pt idx="19">
                  <c:v>385</c:v>
                </c:pt>
                <c:pt idx="20">
                  <c:v>95</c:v>
                </c:pt>
                <c:pt idx="21">
                  <c:v>790</c:v>
                </c:pt>
                <c:pt idx="22">
                  <c:v>1259</c:v>
                </c:pt>
                <c:pt idx="23">
                  <c:v>32</c:v>
                </c:pt>
                <c:pt idx="24">
                  <c:v>2</c:v>
                </c:pt>
                <c:pt idx="25">
                  <c:v>171</c:v>
                </c:pt>
                <c:pt idx="26">
                  <c:v>720</c:v>
                </c:pt>
                <c:pt idx="27">
                  <c:v>0</c:v>
                </c:pt>
                <c:pt idx="28">
                  <c:v>485</c:v>
                </c:pt>
                <c:pt idx="29">
                  <c:v>615</c:v>
                </c:pt>
                <c:pt idx="30">
                  <c:v>138</c:v>
                </c:pt>
                <c:pt idx="31">
                  <c:v>165</c:v>
                </c:pt>
                <c:pt idx="32">
                  <c:v>1260</c:v>
                </c:pt>
                <c:pt idx="33">
                  <c:v>1282</c:v>
                </c:pt>
                <c:pt idx="34">
                  <c:v>1370</c:v>
                </c:pt>
                <c:pt idx="35">
                  <c:v>1975</c:v>
                </c:pt>
                <c:pt idx="36">
                  <c:v>243</c:v>
                </c:pt>
                <c:pt idx="37">
                  <c:v>736</c:v>
                </c:pt>
                <c:pt idx="38">
                  <c:v>3155</c:v>
                </c:pt>
                <c:pt idx="39">
                  <c:v>882</c:v>
                </c:pt>
                <c:pt idx="40">
                  <c:v>1077</c:v>
                </c:pt>
                <c:pt idx="41">
                  <c:v>878</c:v>
                </c:pt>
                <c:pt idx="42">
                  <c:v>343</c:v>
                </c:pt>
                <c:pt idx="43">
                  <c:v>1063</c:v>
                </c:pt>
                <c:pt idx="44">
                  <c:v>437</c:v>
                </c:pt>
                <c:pt idx="45">
                  <c:v>98</c:v>
                </c:pt>
                <c:pt idx="46">
                  <c:v>351</c:v>
                </c:pt>
                <c:pt idx="47">
                  <c:v>1100</c:v>
                </c:pt>
                <c:pt idx="48">
                  <c:v>32</c:v>
                </c:pt>
                <c:pt idx="49">
                  <c:v>335</c:v>
                </c:pt>
                <c:pt idx="50">
                  <c:v>1322</c:v>
                </c:pt>
                <c:pt idx="51">
                  <c:v>380</c:v>
                </c:pt>
                <c:pt idx="52">
                  <c:v>911</c:v>
                </c:pt>
                <c:pt idx="53">
                  <c:v>105</c:v>
                </c:pt>
                <c:pt idx="54">
                  <c:v>1890</c:v>
                </c:pt>
                <c:pt idx="55">
                  <c:v>915</c:v>
                </c:pt>
                <c:pt idx="56">
                  <c:v>640</c:v>
                </c:pt>
                <c:pt idx="57">
                  <c:v>2</c:v>
                </c:pt>
                <c:pt idx="58">
                  <c:v>370</c:v>
                </c:pt>
                <c:pt idx="59">
                  <c:v>5</c:v>
                </c:pt>
                <c:pt idx="60">
                  <c:v>0</c:v>
                </c:pt>
                <c:pt idx="61">
                  <c:v>730</c:v>
                </c:pt>
                <c:pt idx="62">
                  <c:v>0</c:v>
                </c:pt>
                <c:pt idx="63">
                  <c:v>581</c:v>
                </c:pt>
                <c:pt idx="64">
                  <c:v>50</c:v>
                </c:pt>
                <c:pt idx="65">
                  <c:v>315</c:v>
                </c:pt>
                <c:pt idx="66">
                  <c:v>0</c:v>
                </c:pt>
                <c:pt idx="67">
                  <c:v>200</c:v>
                </c:pt>
                <c:pt idx="68">
                  <c:v>40</c:v>
                </c:pt>
                <c:pt idx="69">
                  <c:v>0</c:v>
                </c:pt>
                <c:pt idx="70">
                  <c:v>20</c:v>
                </c:pt>
                <c:pt idx="71">
                  <c:v>0</c:v>
                </c:pt>
                <c:pt idx="72">
                  <c:v>10</c:v>
                </c:pt>
                <c:pt idx="73">
                  <c:v>0</c:v>
                </c:pt>
                <c:pt idx="74">
                  <c:v>25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139</c:v>
                </c:pt>
                <c:pt idx="79">
                  <c:v>195</c:v>
                </c:pt>
                <c:pt idx="80">
                  <c:v>340</c:v>
                </c:pt>
                <c:pt idx="81">
                  <c:v>1043</c:v>
                </c:pt>
                <c:pt idx="82">
                  <c:v>0</c:v>
                </c:pt>
                <c:pt idx="83">
                  <c:v>160</c:v>
                </c:pt>
                <c:pt idx="84">
                  <c:v>0</c:v>
                </c:pt>
                <c:pt idx="85">
                  <c:v>68</c:v>
                </c:pt>
                <c:pt idx="86">
                  <c:v>1155</c:v>
                </c:pt>
                <c:pt idx="87">
                  <c:v>0</c:v>
                </c:pt>
                <c:pt idx="88">
                  <c:v>0</c:v>
                </c:pt>
                <c:pt idx="89">
                  <c:v>200</c:v>
                </c:pt>
                <c:pt idx="90">
                  <c:v>267</c:v>
                </c:pt>
                <c:pt idx="91">
                  <c:v>320</c:v>
                </c:pt>
                <c:pt idx="92">
                  <c:v>96</c:v>
                </c:pt>
                <c:pt idx="93">
                  <c:v>0</c:v>
                </c:pt>
                <c:pt idx="94">
                  <c:v>420</c:v>
                </c:pt>
                <c:pt idx="95">
                  <c:v>1077</c:v>
                </c:pt>
                <c:pt idx="96">
                  <c:v>0</c:v>
                </c:pt>
                <c:pt idx="97">
                  <c:v>0</c:v>
                </c:pt>
                <c:pt idx="98">
                  <c:v>350</c:v>
                </c:pt>
                <c:pt idx="99">
                  <c:v>200</c:v>
                </c:pt>
                <c:pt idx="100">
                  <c:v>138</c:v>
                </c:pt>
                <c:pt idx="101">
                  <c:v>750</c:v>
                </c:pt>
                <c:pt idx="102">
                  <c:v>0</c:v>
                </c:pt>
                <c:pt idx="103">
                  <c:v>0</c:v>
                </c:pt>
                <c:pt idx="104">
                  <c:v>200</c:v>
                </c:pt>
                <c:pt idx="105">
                  <c:v>280</c:v>
                </c:pt>
                <c:pt idx="106">
                  <c:v>845</c:v>
                </c:pt>
                <c:pt idx="107">
                  <c:v>245</c:v>
                </c:pt>
                <c:pt idx="108">
                  <c:v>5</c:v>
                </c:pt>
                <c:pt idx="109">
                  <c:v>200</c:v>
                </c:pt>
                <c:pt idx="110">
                  <c:v>0</c:v>
                </c:pt>
                <c:pt idx="111">
                  <c:v>37</c:v>
                </c:pt>
                <c:pt idx="112">
                  <c:v>980</c:v>
                </c:pt>
                <c:pt idx="113">
                  <c:v>1110</c:v>
                </c:pt>
                <c:pt idx="114">
                  <c:v>791</c:v>
                </c:pt>
                <c:pt idx="115">
                  <c:v>700</c:v>
                </c:pt>
                <c:pt idx="116">
                  <c:v>401</c:v>
                </c:pt>
                <c:pt idx="117">
                  <c:v>423</c:v>
                </c:pt>
                <c:pt idx="118">
                  <c:v>202</c:v>
                </c:pt>
                <c:pt idx="119">
                  <c:v>469</c:v>
                </c:pt>
                <c:pt idx="120">
                  <c:v>411</c:v>
                </c:pt>
                <c:pt idx="121">
                  <c:v>1541</c:v>
                </c:pt>
                <c:pt idx="122">
                  <c:v>2365</c:v>
                </c:pt>
                <c:pt idx="123">
                  <c:v>6001</c:v>
                </c:pt>
                <c:pt idx="124">
                  <c:v>1976</c:v>
                </c:pt>
                <c:pt idx="125">
                  <c:v>1114</c:v>
                </c:pt>
                <c:pt idx="126">
                  <c:v>464</c:v>
                </c:pt>
                <c:pt idx="127">
                  <c:v>1790</c:v>
                </c:pt>
                <c:pt idx="128">
                  <c:v>1865</c:v>
                </c:pt>
                <c:pt idx="129">
                  <c:v>966</c:v>
                </c:pt>
                <c:pt idx="130">
                  <c:v>281</c:v>
                </c:pt>
                <c:pt idx="131">
                  <c:v>180</c:v>
                </c:pt>
                <c:pt idx="132">
                  <c:v>223</c:v>
                </c:pt>
                <c:pt idx="133">
                  <c:v>505</c:v>
                </c:pt>
                <c:pt idx="134">
                  <c:v>894</c:v>
                </c:pt>
                <c:pt idx="135">
                  <c:v>61</c:v>
                </c:pt>
                <c:pt idx="136">
                  <c:v>142</c:v>
                </c:pt>
                <c:pt idx="137">
                  <c:v>5</c:v>
                </c:pt>
                <c:pt idx="138">
                  <c:v>96</c:v>
                </c:pt>
                <c:pt idx="139">
                  <c:v>7</c:v>
                </c:pt>
                <c:pt idx="140">
                  <c:v>1165</c:v>
                </c:pt>
                <c:pt idx="141">
                  <c:v>479</c:v>
                </c:pt>
                <c:pt idx="142">
                  <c:v>62</c:v>
                </c:pt>
                <c:pt idx="143">
                  <c:v>548</c:v>
                </c:pt>
                <c:pt idx="144">
                  <c:v>569</c:v>
                </c:pt>
                <c:pt idx="145">
                  <c:v>222</c:v>
                </c:pt>
                <c:pt idx="146">
                  <c:v>220</c:v>
                </c:pt>
                <c:pt idx="147">
                  <c:v>990</c:v>
                </c:pt>
                <c:pt idx="148">
                  <c:v>28</c:v>
                </c:pt>
                <c:pt idx="149">
                  <c:v>889</c:v>
                </c:pt>
                <c:pt idx="150">
                  <c:v>1733</c:v>
                </c:pt>
                <c:pt idx="151">
                  <c:v>1358</c:v>
                </c:pt>
                <c:pt idx="152">
                  <c:v>398</c:v>
                </c:pt>
                <c:pt idx="153">
                  <c:v>521</c:v>
                </c:pt>
                <c:pt idx="154">
                  <c:v>1067</c:v>
                </c:pt>
                <c:pt idx="155">
                  <c:v>460</c:v>
                </c:pt>
                <c:pt idx="156">
                  <c:v>359</c:v>
                </c:pt>
                <c:pt idx="157">
                  <c:v>222</c:v>
                </c:pt>
                <c:pt idx="158">
                  <c:v>530</c:v>
                </c:pt>
                <c:pt idx="159">
                  <c:v>264</c:v>
                </c:pt>
                <c:pt idx="160">
                  <c:v>562</c:v>
                </c:pt>
                <c:pt idx="161">
                  <c:v>339</c:v>
                </c:pt>
                <c:pt idx="162">
                  <c:v>145</c:v>
                </c:pt>
                <c:pt idx="163">
                  <c:v>143</c:v>
                </c:pt>
                <c:pt idx="164">
                  <c:v>41</c:v>
                </c:pt>
                <c:pt idx="165">
                  <c:v>1015</c:v>
                </c:pt>
                <c:pt idx="166">
                  <c:v>25</c:v>
                </c:pt>
                <c:pt idx="167">
                  <c:v>470</c:v>
                </c:pt>
                <c:pt idx="168">
                  <c:v>757</c:v>
                </c:pt>
                <c:pt idx="169">
                  <c:v>291</c:v>
                </c:pt>
                <c:pt idx="170">
                  <c:v>744</c:v>
                </c:pt>
                <c:pt idx="171">
                  <c:v>595</c:v>
                </c:pt>
                <c:pt idx="172">
                  <c:v>350</c:v>
                </c:pt>
                <c:pt idx="173">
                  <c:v>715</c:v>
                </c:pt>
                <c:pt idx="174">
                  <c:v>94</c:v>
                </c:pt>
                <c:pt idx="175">
                  <c:v>187</c:v>
                </c:pt>
                <c:pt idx="176">
                  <c:v>409</c:v>
                </c:pt>
                <c:pt idx="177">
                  <c:v>176</c:v>
                </c:pt>
                <c:pt idx="178">
                  <c:v>549</c:v>
                </c:pt>
                <c:pt idx="179">
                  <c:v>547</c:v>
                </c:pt>
                <c:pt idx="180">
                  <c:v>179</c:v>
                </c:pt>
                <c:pt idx="181">
                  <c:v>1454</c:v>
                </c:pt>
                <c:pt idx="182">
                  <c:v>299</c:v>
                </c:pt>
                <c:pt idx="183">
                  <c:v>196</c:v>
                </c:pt>
                <c:pt idx="184">
                  <c:v>460</c:v>
                </c:pt>
                <c:pt idx="185">
                  <c:v>776</c:v>
                </c:pt>
                <c:pt idx="186">
                  <c:v>393</c:v>
                </c:pt>
                <c:pt idx="187">
                  <c:v>70</c:v>
                </c:pt>
                <c:pt idx="188">
                  <c:v>198</c:v>
                </c:pt>
                <c:pt idx="189">
                  <c:v>1068</c:v>
                </c:pt>
                <c:pt idx="190">
                  <c:v>51</c:v>
                </c:pt>
                <c:pt idx="191">
                  <c:v>532</c:v>
                </c:pt>
                <c:pt idx="192">
                  <c:v>664</c:v>
                </c:pt>
                <c:pt idx="193">
                  <c:v>47</c:v>
                </c:pt>
                <c:pt idx="194">
                  <c:v>28</c:v>
                </c:pt>
                <c:pt idx="195">
                  <c:v>0</c:v>
                </c:pt>
                <c:pt idx="196">
                  <c:v>139</c:v>
                </c:pt>
                <c:pt idx="197">
                  <c:v>143</c:v>
                </c:pt>
                <c:pt idx="198">
                  <c:v>340</c:v>
                </c:pt>
                <c:pt idx="199">
                  <c:v>1805</c:v>
                </c:pt>
                <c:pt idx="200">
                  <c:v>718</c:v>
                </c:pt>
                <c:pt idx="201">
                  <c:v>211</c:v>
                </c:pt>
                <c:pt idx="202">
                  <c:v>602</c:v>
                </c:pt>
                <c:pt idx="203">
                  <c:v>533</c:v>
                </c:pt>
                <c:pt idx="204">
                  <c:v>687</c:v>
                </c:pt>
                <c:pt idx="205">
                  <c:v>370</c:v>
                </c:pt>
                <c:pt idx="206">
                  <c:v>418</c:v>
                </c:pt>
                <c:pt idx="207">
                  <c:v>360</c:v>
                </c:pt>
                <c:pt idx="208">
                  <c:v>132</c:v>
                </c:pt>
                <c:pt idx="209">
                  <c:v>330</c:v>
                </c:pt>
                <c:pt idx="210">
                  <c:v>235</c:v>
                </c:pt>
                <c:pt idx="211">
                  <c:v>1</c:v>
                </c:pt>
                <c:pt idx="212">
                  <c:v>2450</c:v>
                </c:pt>
                <c:pt idx="213">
                  <c:v>390</c:v>
                </c:pt>
                <c:pt idx="214">
                  <c:v>934</c:v>
                </c:pt>
                <c:pt idx="215">
                  <c:v>1577</c:v>
                </c:pt>
                <c:pt idx="216">
                  <c:v>826</c:v>
                </c:pt>
                <c:pt idx="217">
                  <c:v>187</c:v>
                </c:pt>
                <c:pt idx="218">
                  <c:v>28</c:v>
                </c:pt>
                <c:pt idx="219">
                  <c:v>429</c:v>
                </c:pt>
                <c:pt idx="220">
                  <c:v>338</c:v>
                </c:pt>
                <c:pt idx="221">
                  <c:v>1319</c:v>
                </c:pt>
                <c:pt idx="222">
                  <c:v>409</c:v>
                </c:pt>
                <c:pt idx="223">
                  <c:v>102</c:v>
                </c:pt>
                <c:pt idx="224">
                  <c:v>72</c:v>
                </c:pt>
                <c:pt idx="225">
                  <c:v>227</c:v>
                </c:pt>
                <c:pt idx="226">
                  <c:v>337</c:v>
                </c:pt>
                <c:pt idx="227">
                  <c:v>293</c:v>
                </c:pt>
                <c:pt idx="228">
                  <c:v>503</c:v>
                </c:pt>
                <c:pt idx="229">
                  <c:v>10</c:v>
                </c:pt>
                <c:pt idx="230">
                  <c:v>511</c:v>
                </c:pt>
                <c:pt idx="231">
                  <c:v>0</c:v>
                </c:pt>
                <c:pt idx="232">
                  <c:v>610</c:v>
                </c:pt>
                <c:pt idx="233">
                  <c:v>0</c:v>
                </c:pt>
                <c:pt idx="234">
                  <c:v>386</c:v>
                </c:pt>
                <c:pt idx="235">
                  <c:v>2204</c:v>
                </c:pt>
                <c:pt idx="236">
                  <c:v>1465</c:v>
                </c:pt>
                <c:pt idx="237">
                  <c:v>1498</c:v>
                </c:pt>
                <c:pt idx="238">
                  <c:v>2663</c:v>
                </c:pt>
                <c:pt idx="239">
                  <c:v>2728</c:v>
                </c:pt>
                <c:pt idx="240">
                  <c:v>1600</c:v>
                </c:pt>
                <c:pt idx="241">
                  <c:v>1127</c:v>
                </c:pt>
                <c:pt idx="242">
                  <c:v>1182</c:v>
                </c:pt>
                <c:pt idx="243">
                  <c:v>1946</c:v>
                </c:pt>
              </c:numCache>
            </c:numRef>
          </c:val>
        </c:ser>
        <c:gapWidth val="0"/>
        <c:axId val="134487424"/>
        <c:axId val="134521984"/>
      </c:barChart>
      <c:lineChart>
        <c:grouping val="standard"/>
        <c:ser>
          <c:idx val="0"/>
          <c:order val="1"/>
          <c:tx>
            <c:strRef>
              <c:f>[1]FKB3!$BK$2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[1]FKB3!$A$628:$A$871</c:f>
              <c:numCache>
                <c:formatCode>General</c:formatCode>
                <c:ptCount val="244"/>
                <c:pt idx="0">
                  <c:v>37638</c:v>
                </c:pt>
                <c:pt idx="1">
                  <c:v>37641</c:v>
                </c:pt>
                <c:pt idx="2">
                  <c:v>37642</c:v>
                </c:pt>
                <c:pt idx="3">
                  <c:v>37643</c:v>
                </c:pt>
                <c:pt idx="4">
                  <c:v>37644</c:v>
                </c:pt>
                <c:pt idx="5">
                  <c:v>37645</c:v>
                </c:pt>
                <c:pt idx="6">
                  <c:v>37648</c:v>
                </c:pt>
                <c:pt idx="7">
                  <c:v>37649</c:v>
                </c:pt>
                <c:pt idx="8">
                  <c:v>37650</c:v>
                </c:pt>
                <c:pt idx="9">
                  <c:v>37651</c:v>
                </c:pt>
                <c:pt idx="10">
                  <c:v>37657</c:v>
                </c:pt>
                <c:pt idx="11">
                  <c:v>37658</c:v>
                </c:pt>
                <c:pt idx="12">
                  <c:v>37659</c:v>
                </c:pt>
                <c:pt idx="13">
                  <c:v>37662</c:v>
                </c:pt>
                <c:pt idx="14">
                  <c:v>37663</c:v>
                </c:pt>
                <c:pt idx="15">
                  <c:v>37665</c:v>
                </c:pt>
                <c:pt idx="16">
                  <c:v>37666</c:v>
                </c:pt>
                <c:pt idx="17">
                  <c:v>37669</c:v>
                </c:pt>
                <c:pt idx="18">
                  <c:v>37670</c:v>
                </c:pt>
                <c:pt idx="19">
                  <c:v>37671</c:v>
                </c:pt>
                <c:pt idx="20">
                  <c:v>37672</c:v>
                </c:pt>
                <c:pt idx="21">
                  <c:v>37673</c:v>
                </c:pt>
                <c:pt idx="22">
                  <c:v>37676</c:v>
                </c:pt>
                <c:pt idx="23">
                  <c:v>37677</c:v>
                </c:pt>
                <c:pt idx="24">
                  <c:v>37678</c:v>
                </c:pt>
                <c:pt idx="25">
                  <c:v>37679</c:v>
                </c:pt>
                <c:pt idx="26">
                  <c:v>37680</c:v>
                </c:pt>
                <c:pt idx="27">
                  <c:v>37683</c:v>
                </c:pt>
                <c:pt idx="28">
                  <c:v>37685</c:v>
                </c:pt>
                <c:pt idx="29">
                  <c:v>37686</c:v>
                </c:pt>
                <c:pt idx="30">
                  <c:v>37687</c:v>
                </c:pt>
                <c:pt idx="31">
                  <c:v>37690</c:v>
                </c:pt>
                <c:pt idx="32">
                  <c:v>37691</c:v>
                </c:pt>
                <c:pt idx="33">
                  <c:v>37692</c:v>
                </c:pt>
                <c:pt idx="34">
                  <c:v>37693</c:v>
                </c:pt>
                <c:pt idx="35">
                  <c:v>37694</c:v>
                </c:pt>
                <c:pt idx="36">
                  <c:v>37697</c:v>
                </c:pt>
                <c:pt idx="37">
                  <c:v>37698</c:v>
                </c:pt>
                <c:pt idx="38">
                  <c:v>37699</c:v>
                </c:pt>
                <c:pt idx="39">
                  <c:v>37700</c:v>
                </c:pt>
                <c:pt idx="40">
                  <c:v>37701</c:v>
                </c:pt>
                <c:pt idx="41">
                  <c:v>37704</c:v>
                </c:pt>
                <c:pt idx="42">
                  <c:v>37705</c:v>
                </c:pt>
                <c:pt idx="43">
                  <c:v>37706</c:v>
                </c:pt>
                <c:pt idx="44">
                  <c:v>37707</c:v>
                </c:pt>
                <c:pt idx="45">
                  <c:v>37708</c:v>
                </c:pt>
                <c:pt idx="46">
                  <c:v>37711</c:v>
                </c:pt>
                <c:pt idx="47">
                  <c:v>37712</c:v>
                </c:pt>
                <c:pt idx="48">
                  <c:v>37713</c:v>
                </c:pt>
                <c:pt idx="49">
                  <c:v>37714</c:v>
                </c:pt>
                <c:pt idx="50">
                  <c:v>37715</c:v>
                </c:pt>
                <c:pt idx="51">
                  <c:v>37718</c:v>
                </c:pt>
                <c:pt idx="52">
                  <c:v>37719</c:v>
                </c:pt>
                <c:pt idx="53">
                  <c:v>37720</c:v>
                </c:pt>
                <c:pt idx="54">
                  <c:v>37721</c:v>
                </c:pt>
                <c:pt idx="55">
                  <c:v>37722</c:v>
                </c:pt>
                <c:pt idx="56">
                  <c:v>37725</c:v>
                </c:pt>
                <c:pt idx="57">
                  <c:v>37726</c:v>
                </c:pt>
                <c:pt idx="58">
                  <c:v>37727</c:v>
                </c:pt>
                <c:pt idx="59">
                  <c:v>37728</c:v>
                </c:pt>
                <c:pt idx="60">
                  <c:v>37729</c:v>
                </c:pt>
                <c:pt idx="61">
                  <c:v>37732</c:v>
                </c:pt>
                <c:pt idx="62">
                  <c:v>37733</c:v>
                </c:pt>
                <c:pt idx="63">
                  <c:v>37734</c:v>
                </c:pt>
                <c:pt idx="64">
                  <c:v>37735</c:v>
                </c:pt>
                <c:pt idx="65">
                  <c:v>37736</c:v>
                </c:pt>
                <c:pt idx="66">
                  <c:v>37739</c:v>
                </c:pt>
                <c:pt idx="67">
                  <c:v>37740</c:v>
                </c:pt>
                <c:pt idx="68">
                  <c:v>37741</c:v>
                </c:pt>
                <c:pt idx="69">
                  <c:v>37743</c:v>
                </c:pt>
                <c:pt idx="70">
                  <c:v>37746</c:v>
                </c:pt>
                <c:pt idx="71">
                  <c:v>37747</c:v>
                </c:pt>
                <c:pt idx="72">
                  <c:v>37748</c:v>
                </c:pt>
                <c:pt idx="73">
                  <c:v>37749</c:v>
                </c:pt>
                <c:pt idx="74">
                  <c:v>37750</c:v>
                </c:pt>
                <c:pt idx="75">
                  <c:v>37753</c:v>
                </c:pt>
                <c:pt idx="76">
                  <c:v>37754</c:v>
                </c:pt>
                <c:pt idx="77">
                  <c:v>37757</c:v>
                </c:pt>
                <c:pt idx="78">
                  <c:v>37760</c:v>
                </c:pt>
                <c:pt idx="79">
                  <c:v>37761</c:v>
                </c:pt>
                <c:pt idx="80">
                  <c:v>37762</c:v>
                </c:pt>
                <c:pt idx="81">
                  <c:v>37763</c:v>
                </c:pt>
                <c:pt idx="82">
                  <c:v>37764</c:v>
                </c:pt>
                <c:pt idx="83">
                  <c:v>37767</c:v>
                </c:pt>
                <c:pt idx="84">
                  <c:v>37768</c:v>
                </c:pt>
                <c:pt idx="85">
                  <c:v>37769</c:v>
                </c:pt>
                <c:pt idx="86">
                  <c:v>37770</c:v>
                </c:pt>
                <c:pt idx="87">
                  <c:v>37771</c:v>
                </c:pt>
                <c:pt idx="88">
                  <c:v>37774</c:v>
                </c:pt>
                <c:pt idx="89">
                  <c:v>37775</c:v>
                </c:pt>
                <c:pt idx="90">
                  <c:v>37776</c:v>
                </c:pt>
                <c:pt idx="91">
                  <c:v>37777</c:v>
                </c:pt>
                <c:pt idx="92">
                  <c:v>37778</c:v>
                </c:pt>
                <c:pt idx="93">
                  <c:v>37781</c:v>
                </c:pt>
                <c:pt idx="94">
                  <c:v>37782</c:v>
                </c:pt>
                <c:pt idx="95">
                  <c:v>37783</c:v>
                </c:pt>
                <c:pt idx="96">
                  <c:v>37784</c:v>
                </c:pt>
                <c:pt idx="97">
                  <c:v>37785</c:v>
                </c:pt>
                <c:pt idx="98">
                  <c:v>37788</c:v>
                </c:pt>
                <c:pt idx="99">
                  <c:v>37789</c:v>
                </c:pt>
                <c:pt idx="100">
                  <c:v>37790</c:v>
                </c:pt>
                <c:pt idx="101">
                  <c:v>37791</c:v>
                </c:pt>
                <c:pt idx="102">
                  <c:v>37792</c:v>
                </c:pt>
                <c:pt idx="103">
                  <c:v>37795</c:v>
                </c:pt>
                <c:pt idx="104">
                  <c:v>37796</c:v>
                </c:pt>
                <c:pt idx="105">
                  <c:v>37797</c:v>
                </c:pt>
                <c:pt idx="106">
                  <c:v>37798</c:v>
                </c:pt>
                <c:pt idx="107">
                  <c:v>37799</c:v>
                </c:pt>
                <c:pt idx="108">
                  <c:v>37802</c:v>
                </c:pt>
                <c:pt idx="109">
                  <c:v>37803</c:v>
                </c:pt>
                <c:pt idx="110">
                  <c:v>37804</c:v>
                </c:pt>
                <c:pt idx="111">
                  <c:v>37805</c:v>
                </c:pt>
                <c:pt idx="112">
                  <c:v>37806</c:v>
                </c:pt>
                <c:pt idx="113">
                  <c:v>37809</c:v>
                </c:pt>
                <c:pt idx="114">
                  <c:v>37810</c:v>
                </c:pt>
                <c:pt idx="115">
                  <c:v>37811</c:v>
                </c:pt>
                <c:pt idx="116">
                  <c:v>37812</c:v>
                </c:pt>
                <c:pt idx="117">
                  <c:v>37813</c:v>
                </c:pt>
                <c:pt idx="118">
                  <c:v>37816</c:v>
                </c:pt>
                <c:pt idx="119">
                  <c:v>37817</c:v>
                </c:pt>
                <c:pt idx="120">
                  <c:v>37818</c:v>
                </c:pt>
                <c:pt idx="121">
                  <c:v>37819</c:v>
                </c:pt>
                <c:pt idx="122">
                  <c:v>37820</c:v>
                </c:pt>
                <c:pt idx="123">
                  <c:v>37823</c:v>
                </c:pt>
                <c:pt idx="124">
                  <c:v>37824</c:v>
                </c:pt>
                <c:pt idx="125">
                  <c:v>37825</c:v>
                </c:pt>
                <c:pt idx="126">
                  <c:v>37826</c:v>
                </c:pt>
                <c:pt idx="127">
                  <c:v>37827</c:v>
                </c:pt>
                <c:pt idx="128">
                  <c:v>37830</c:v>
                </c:pt>
                <c:pt idx="129">
                  <c:v>37831</c:v>
                </c:pt>
                <c:pt idx="130">
                  <c:v>37832</c:v>
                </c:pt>
                <c:pt idx="131">
                  <c:v>37833</c:v>
                </c:pt>
                <c:pt idx="132">
                  <c:v>37834</c:v>
                </c:pt>
                <c:pt idx="133">
                  <c:v>37837</c:v>
                </c:pt>
                <c:pt idx="134">
                  <c:v>37838</c:v>
                </c:pt>
                <c:pt idx="135">
                  <c:v>37839</c:v>
                </c:pt>
                <c:pt idx="136">
                  <c:v>37840</c:v>
                </c:pt>
                <c:pt idx="137">
                  <c:v>37841</c:v>
                </c:pt>
                <c:pt idx="138">
                  <c:v>37844</c:v>
                </c:pt>
                <c:pt idx="139">
                  <c:v>37845</c:v>
                </c:pt>
                <c:pt idx="140">
                  <c:v>37846</c:v>
                </c:pt>
                <c:pt idx="141">
                  <c:v>37847</c:v>
                </c:pt>
                <c:pt idx="142">
                  <c:v>37848</c:v>
                </c:pt>
                <c:pt idx="143">
                  <c:v>37851</c:v>
                </c:pt>
                <c:pt idx="144">
                  <c:v>37852</c:v>
                </c:pt>
                <c:pt idx="145">
                  <c:v>37853</c:v>
                </c:pt>
                <c:pt idx="146">
                  <c:v>37854</c:v>
                </c:pt>
                <c:pt idx="147">
                  <c:v>37855</c:v>
                </c:pt>
                <c:pt idx="148">
                  <c:v>37858</c:v>
                </c:pt>
                <c:pt idx="149">
                  <c:v>37859</c:v>
                </c:pt>
                <c:pt idx="150">
                  <c:v>37860</c:v>
                </c:pt>
                <c:pt idx="151">
                  <c:v>37861</c:v>
                </c:pt>
                <c:pt idx="152">
                  <c:v>37862</c:v>
                </c:pt>
                <c:pt idx="153">
                  <c:v>37866</c:v>
                </c:pt>
                <c:pt idx="154">
                  <c:v>37867</c:v>
                </c:pt>
                <c:pt idx="155">
                  <c:v>37868</c:v>
                </c:pt>
                <c:pt idx="156">
                  <c:v>37869</c:v>
                </c:pt>
                <c:pt idx="157">
                  <c:v>37872</c:v>
                </c:pt>
                <c:pt idx="158">
                  <c:v>37873</c:v>
                </c:pt>
                <c:pt idx="159">
                  <c:v>37874</c:v>
                </c:pt>
                <c:pt idx="160">
                  <c:v>37875</c:v>
                </c:pt>
                <c:pt idx="161">
                  <c:v>37876</c:v>
                </c:pt>
                <c:pt idx="162">
                  <c:v>37879</c:v>
                </c:pt>
                <c:pt idx="163">
                  <c:v>37880</c:v>
                </c:pt>
                <c:pt idx="164">
                  <c:v>37881</c:v>
                </c:pt>
                <c:pt idx="165">
                  <c:v>37882</c:v>
                </c:pt>
                <c:pt idx="166">
                  <c:v>37883</c:v>
                </c:pt>
                <c:pt idx="167">
                  <c:v>37886</c:v>
                </c:pt>
                <c:pt idx="168">
                  <c:v>37887</c:v>
                </c:pt>
                <c:pt idx="169">
                  <c:v>37888</c:v>
                </c:pt>
                <c:pt idx="170">
                  <c:v>37889</c:v>
                </c:pt>
                <c:pt idx="171">
                  <c:v>37890</c:v>
                </c:pt>
                <c:pt idx="172">
                  <c:v>37893</c:v>
                </c:pt>
                <c:pt idx="173">
                  <c:v>37894</c:v>
                </c:pt>
                <c:pt idx="174">
                  <c:v>37895</c:v>
                </c:pt>
                <c:pt idx="175">
                  <c:v>37896</c:v>
                </c:pt>
                <c:pt idx="176">
                  <c:v>37897</c:v>
                </c:pt>
                <c:pt idx="177">
                  <c:v>37900</c:v>
                </c:pt>
                <c:pt idx="178">
                  <c:v>37901</c:v>
                </c:pt>
                <c:pt idx="179">
                  <c:v>37902</c:v>
                </c:pt>
                <c:pt idx="180">
                  <c:v>37903</c:v>
                </c:pt>
                <c:pt idx="181">
                  <c:v>37904</c:v>
                </c:pt>
                <c:pt idx="182">
                  <c:v>37907</c:v>
                </c:pt>
                <c:pt idx="183">
                  <c:v>37908</c:v>
                </c:pt>
                <c:pt idx="184">
                  <c:v>37909</c:v>
                </c:pt>
                <c:pt idx="185">
                  <c:v>37910</c:v>
                </c:pt>
                <c:pt idx="186">
                  <c:v>37911</c:v>
                </c:pt>
                <c:pt idx="187">
                  <c:v>37914</c:v>
                </c:pt>
                <c:pt idx="188">
                  <c:v>37915</c:v>
                </c:pt>
                <c:pt idx="189">
                  <c:v>37916</c:v>
                </c:pt>
                <c:pt idx="190">
                  <c:v>37917</c:v>
                </c:pt>
                <c:pt idx="191">
                  <c:v>37921</c:v>
                </c:pt>
                <c:pt idx="192">
                  <c:v>37922</c:v>
                </c:pt>
                <c:pt idx="193">
                  <c:v>37923</c:v>
                </c:pt>
                <c:pt idx="194">
                  <c:v>37924</c:v>
                </c:pt>
                <c:pt idx="195">
                  <c:v>37925</c:v>
                </c:pt>
                <c:pt idx="196">
                  <c:v>37928</c:v>
                </c:pt>
                <c:pt idx="197">
                  <c:v>37929</c:v>
                </c:pt>
                <c:pt idx="198">
                  <c:v>37930</c:v>
                </c:pt>
                <c:pt idx="199">
                  <c:v>37931</c:v>
                </c:pt>
                <c:pt idx="200">
                  <c:v>37932</c:v>
                </c:pt>
                <c:pt idx="201">
                  <c:v>37935</c:v>
                </c:pt>
                <c:pt idx="202">
                  <c:v>37936</c:v>
                </c:pt>
                <c:pt idx="203">
                  <c:v>37937</c:v>
                </c:pt>
                <c:pt idx="204">
                  <c:v>37938</c:v>
                </c:pt>
                <c:pt idx="205">
                  <c:v>37939</c:v>
                </c:pt>
                <c:pt idx="206">
                  <c:v>37942</c:v>
                </c:pt>
                <c:pt idx="207">
                  <c:v>37943</c:v>
                </c:pt>
                <c:pt idx="208">
                  <c:v>37944</c:v>
                </c:pt>
                <c:pt idx="209">
                  <c:v>37945</c:v>
                </c:pt>
                <c:pt idx="210">
                  <c:v>37946</c:v>
                </c:pt>
                <c:pt idx="211">
                  <c:v>37952</c:v>
                </c:pt>
                <c:pt idx="212">
                  <c:v>37953</c:v>
                </c:pt>
                <c:pt idx="213">
                  <c:v>37956</c:v>
                </c:pt>
                <c:pt idx="214">
                  <c:v>37957</c:v>
                </c:pt>
                <c:pt idx="215">
                  <c:v>37958</c:v>
                </c:pt>
                <c:pt idx="216">
                  <c:v>37959</c:v>
                </c:pt>
                <c:pt idx="217">
                  <c:v>37960</c:v>
                </c:pt>
                <c:pt idx="218">
                  <c:v>37963</c:v>
                </c:pt>
                <c:pt idx="219">
                  <c:v>37964</c:v>
                </c:pt>
                <c:pt idx="220">
                  <c:v>37965</c:v>
                </c:pt>
                <c:pt idx="221">
                  <c:v>37966</c:v>
                </c:pt>
                <c:pt idx="222">
                  <c:v>37967</c:v>
                </c:pt>
                <c:pt idx="223">
                  <c:v>37970</c:v>
                </c:pt>
                <c:pt idx="224">
                  <c:v>37971</c:v>
                </c:pt>
                <c:pt idx="225">
                  <c:v>37972</c:v>
                </c:pt>
                <c:pt idx="226">
                  <c:v>37973</c:v>
                </c:pt>
                <c:pt idx="227">
                  <c:v>37974</c:v>
                </c:pt>
                <c:pt idx="228">
                  <c:v>37977</c:v>
                </c:pt>
                <c:pt idx="229">
                  <c:v>37978</c:v>
                </c:pt>
                <c:pt idx="230">
                  <c:v>37979</c:v>
                </c:pt>
                <c:pt idx="231">
                  <c:v>37981</c:v>
                </c:pt>
                <c:pt idx="232">
                  <c:v>37984</c:v>
                </c:pt>
                <c:pt idx="233">
                  <c:v>37985</c:v>
                </c:pt>
                <c:pt idx="234">
                  <c:v>37986</c:v>
                </c:pt>
                <c:pt idx="235">
                  <c:v>37988</c:v>
                </c:pt>
                <c:pt idx="236">
                  <c:v>37991</c:v>
                </c:pt>
                <c:pt idx="237">
                  <c:v>37992</c:v>
                </c:pt>
                <c:pt idx="238">
                  <c:v>37993</c:v>
                </c:pt>
                <c:pt idx="239">
                  <c:v>37994</c:v>
                </c:pt>
                <c:pt idx="240">
                  <c:v>37995</c:v>
                </c:pt>
                <c:pt idx="241">
                  <c:v>37998</c:v>
                </c:pt>
                <c:pt idx="242">
                  <c:v>37999</c:v>
                </c:pt>
                <c:pt idx="243">
                  <c:v>38000</c:v>
                </c:pt>
              </c:numCache>
            </c:numRef>
          </c:cat>
          <c:val>
            <c:numRef>
              <c:f>[1]FKB3!$BK$628:$BK$871</c:f>
              <c:numCache>
                <c:formatCode>General</c:formatCode>
                <c:ptCount val="244"/>
                <c:pt idx="0">
                  <c:v>22071</c:v>
                </c:pt>
                <c:pt idx="1">
                  <c:v>22077</c:v>
                </c:pt>
                <c:pt idx="2">
                  <c:v>22355</c:v>
                </c:pt>
                <c:pt idx="3">
                  <c:v>22390</c:v>
                </c:pt>
                <c:pt idx="4">
                  <c:v>22853</c:v>
                </c:pt>
                <c:pt idx="5">
                  <c:v>23339</c:v>
                </c:pt>
                <c:pt idx="6">
                  <c:v>23405</c:v>
                </c:pt>
                <c:pt idx="7">
                  <c:v>23474</c:v>
                </c:pt>
                <c:pt idx="8">
                  <c:v>23493</c:v>
                </c:pt>
                <c:pt idx="9">
                  <c:v>23501</c:v>
                </c:pt>
                <c:pt idx="10">
                  <c:v>23503</c:v>
                </c:pt>
                <c:pt idx="11">
                  <c:v>23515</c:v>
                </c:pt>
                <c:pt idx="12">
                  <c:v>23710</c:v>
                </c:pt>
                <c:pt idx="13">
                  <c:v>23623</c:v>
                </c:pt>
                <c:pt idx="14">
                  <c:v>23592</c:v>
                </c:pt>
                <c:pt idx="15">
                  <c:v>23676</c:v>
                </c:pt>
                <c:pt idx="16">
                  <c:v>23566</c:v>
                </c:pt>
                <c:pt idx="17">
                  <c:v>23191</c:v>
                </c:pt>
                <c:pt idx="18">
                  <c:v>23464</c:v>
                </c:pt>
                <c:pt idx="19">
                  <c:v>23576</c:v>
                </c:pt>
                <c:pt idx="20">
                  <c:v>23543</c:v>
                </c:pt>
                <c:pt idx="21">
                  <c:v>23509</c:v>
                </c:pt>
                <c:pt idx="22">
                  <c:v>24155</c:v>
                </c:pt>
                <c:pt idx="23">
                  <c:v>24162</c:v>
                </c:pt>
                <c:pt idx="24">
                  <c:v>24152</c:v>
                </c:pt>
                <c:pt idx="25">
                  <c:v>24097</c:v>
                </c:pt>
                <c:pt idx="26">
                  <c:v>24146</c:v>
                </c:pt>
                <c:pt idx="27">
                  <c:v>24146</c:v>
                </c:pt>
                <c:pt idx="28">
                  <c:v>24243</c:v>
                </c:pt>
                <c:pt idx="29">
                  <c:v>24528</c:v>
                </c:pt>
                <c:pt idx="30">
                  <c:v>24591</c:v>
                </c:pt>
                <c:pt idx="31">
                  <c:v>24428</c:v>
                </c:pt>
                <c:pt idx="32">
                  <c:v>24232</c:v>
                </c:pt>
                <c:pt idx="33">
                  <c:v>24486</c:v>
                </c:pt>
                <c:pt idx="34">
                  <c:v>24717</c:v>
                </c:pt>
                <c:pt idx="35">
                  <c:v>25682</c:v>
                </c:pt>
                <c:pt idx="36">
                  <c:v>25873</c:v>
                </c:pt>
                <c:pt idx="37">
                  <c:v>25849</c:v>
                </c:pt>
                <c:pt idx="38">
                  <c:v>23603</c:v>
                </c:pt>
                <c:pt idx="39">
                  <c:v>23638</c:v>
                </c:pt>
                <c:pt idx="40">
                  <c:v>23898</c:v>
                </c:pt>
                <c:pt idx="41">
                  <c:v>24186</c:v>
                </c:pt>
                <c:pt idx="42">
                  <c:v>24221</c:v>
                </c:pt>
                <c:pt idx="43">
                  <c:v>24976</c:v>
                </c:pt>
                <c:pt idx="44">
                  <c:v>25318</c:v>
                </c:pt>
                <c:pt idx="45">
                  <c:v>25370</c:v>
                </c:pt>
                <c:pt idx="46">
                  <c:v>25376</c:v>
                </c:pt>
                <c:pt idx="47">
                  <c:v>25821</c:v>
                </c:pt>
                <c:pt idx="48">
                  <c:v>25839</c:v>
                </c:pt>
                <c:pt idx="49">
                  <c:v>25899</c:v>
                </c:pt>
                <c:pt idx="50">
                  <c:v>26450</c:v>
                </c:pt>
                <c:pt idx="51">
                  <c:v>26538</c:v>
                </c:pt>
                <c:pt idx="52">
                  <c:v>26988</c:v>
                </c:pt>
                <c:pt idx="53">
                  <c:v>26961</c:v>
                </c:pt>
                <c:pt idx="54">
                  <c:v>27309</c:v>
                </c:pt>
                <c:pt idx="55">
                  <c:v>27689</c:v>
                </c:pt>
                <c:pt idx="56">
                  <c:v>28159</c:v>
                </c:pt>
                <c:pt idx="57">
                  <c:v>28161</c:v>
                </c:pt>
                <c:pt idx="58">
                  <c:v>28351</c:v>
                </c:pt>
                <c:pt idx="59">
                  <c:v>28346</c:v>
                </c:pt>
                <c:pt idx="60">
                  <c:v>28346</c:v>
                </c:pt>
                <c:pt idx="61">
                  <c:v>28774</c:v>
                </c:pt>
                <c:pt idx="62">
                  <c:v>28774</c:v>
                </c:pt>
                <c:pt idx="63">
                  <c:v>28919</c:v>
                </c:pt>
                <c:pt idx="64">
                  <c:v>28919</c:v>
                </c:pt>
                <c:pt idx="65">
                  <c:v>28961</c:v>
                </c:pt>
                <c:pt idx="66">
                  <c:v>28961</c:v>
                </c:pt>
                <c:pt idx="67">
                  <c:v>28920</c:v>
                </c:pt>
                <c:pt idx="68">
                  <c:v>28923</c:v>
                </c:pt>
                <c:pt idx="69">
                  <c:v>28923</c:v>
                </c:pt>
                <c:pt idx="70">
                  <c:v>28913</c:v>
                </c:pt>
                <c:pt idx="71">
                  <c:v>28913</c:v>
                </c:pt>
                <c:pt idx="72">
                  <c:v>28903</c:v>
                </c:pt>
                <c:pt idx="73">
                  <c:v>28903</c:v>
                </c:pt>
                <c:pt idx="74">
                  <c:v>28888</c:v>
                </c:pt>
                <c:pt idx="75">
                  <c:v>28887</c:v>
                </c:pt>
                <c:pt idx="76">
                  <c:v>28887</c:v>
                </c:pt>
                <c:pt idx="77">
                  <c:v>28887</c:v>
                </c:pt>
                <c:pt idx="78">
                  <c:v>28825</c:v>
                </c:pt>
                <c:pt idx="79">
                  <c:v>28955</c:v>
                </c:pt>
                <c:pt idx="80">
                  <c:v>28947</c:v>
                </c:pt>
                <c:pt idx="81">
                  <c:v>29204</c:v>
                </c:pt>
                <c:pt idx="82">
                  <c:v>29204</c:v>
                </c:pt>
                <c:pt idx="83">
                  <c:v>29289</c:v>
                </c:pt>
                <c:pt idx="84">
                  <c:v>29289</c:v>
                </c:pt>
                <c:pt idx="85">
                  <c:v>29277</c:v>
                </c:pt>
                <c:pt idx="86">
                  <c:v>28810</c:v>
                </c:pt>
                <c:pt idx="87">
                  <c:v>28780</c:v>
                </c:pt>
                <c:pt idx="88">
                  <c:v>28780</c:v>
                </c:pt>
                <c:pt idx="89">
                  <c:v>28680</c:v>
                </c:pt>
                <c:pt idx="90">
                  <c:v>28472</c:v>
                </c:pt>
                <c:pt idx="91">
                  <c:v>28532</c:v>
                </c:pt>
                <c:pt idx="92">
                  <c:v>28506</c:v>
                </c:pt>
                <c:pt idx="93">
                  <c:v>28506</c:v>
                </c:pt>
                <c:pt idx="94">
                  <c:v>28283</c:v>
                </c:pt>
                <c:pt idx="95">
                  <c:v>28271</c:v>
                </c:pt>
                <c:pt idx="96">
                  <c:v>28271</c:v>
                </c:pt>
                <c:pt idx="97">
                  <c:v>28271</c:v>
                </c:pt>
                <c:pt idx="98">
                  <c:v>28361</c:v>
                </c:pt>
                <c:pt idx="99">
                  <c:v>28351</c:v>
                </c:pt>
                <c:pt idx="100">
                  <c:v>25769</c:v>
                </c:pt>
                <c:pt idx="101">
                  <c:v>25714</c:v>
                </c:pt>
                <c:pt idx="102">
                  <c:v>25714</c:v>
                </c:pt>
                <c:pt idx="103">
                  <c:v>25714</c:v>
                </c:pt>
                <c:pt idx="104">
                  <c:v>25714</c:v>
                </c:pt>
                <c:pt idx="105">
                  <c:v>25060</c:v>
                </c:pt>
                <c:pt idx="106">
                  <c:v>15359</c:v>
                </c:pt>
                <c:pt idx="107">
                  <c:v>15284</c:v>
                </c:pt>
                <c:pt idx="108">
                  <c:v>15289</c:v>
                </c:pt>
                <c:pt idx="109">
                  <c:v>15389</c:v>
                </c:pt>
                <c:pt idx="110">
                  <c:v>15389</c:v>
                </c:pt>
                <c:pt idx="111">
                  <c:v>15401</c:v>
                </c:pt>
                <c:pt idx="112">
                  <c:v>15352</c:v>
                </c:pt>
                <c:pt idx="113">
                  <c:v>16452</c:v>
                </c:pt>
                <c:pt idx="114">
                  <c:v>15520</c:v>
                </c:pt>
                <c:pt idx="115">
                  <c:v>15453</c:v>
                </c:pt>
                <c:pt idx="116">
                  <c:v>15445</c:v>
                </c:pt>
                <c:pt idx="117">
                  <c:v>15373</c:v>
                </c:pt>
                <c:pt idx="118">
                  <c:v>15414</c:v>
                </c:pt>
                <c:pt idx="119">
                  <c:v>15462</c:v>
                </c:pt>
                <c:pt idx="120">
                  <c:v>15507</c:v>
                </c:pt>
                <c:pt idx="121">
                  <c:v>15316</c:v>
                </c:pt>
                <c:pt idx="122">
                  <c:v>16226</c:v>
                </c:pt>
                <c:pt idx="123">
                  <c:v>18461</c:v>
                </c:pt>
                <c:pt idx="124">
                  <c:v>18532</c:v>
                </c:pt>
                <c:pt idx="125">
                  <c:v>19108</c:v>
                </c:pt>
                <c:pt idx="126">
                  <c:v>19249</c:v>
                </c:pt>
                <c:pt idx="127">
                  <c:v>19616</c:v>
                </c:pt>
                <c:pt idx="128">
                  <c:v>20138</c:v>
                </c:pt>
                <c:pt idx="129">
                  <c:v>19870</c:v>
                </c:pt>
                <c:pt idx="130">
                  <c:v>19978</c:v>
                </c:pt>
                <c:pt idx="131">
                  <c:v>20023</c:v>
                </c:pt>
                <c:pt idx="132">
                  <c:v>20011</c:v>
                </c:pt>
                <c:pt idx="133">
                  <c:v>19768</c:v>
                </c:pt>
                <c:pt idx="134">
                  <c:v>19154</c:v>
                </c:pt>
                <c:pt idx="135">
                  <c:v>19182</c:v>
                </c:pt>
                <c:pt idx="136">
                  <c:v>19167</c:v>
                </c:pt>
                <c:pt idx="137">
                  <c:v>19172</c:v>
                </c:pt>
                <c:pt idx="138">
                  <c:v>19163</c:v>
                </c:pt>
                <c:pt idx="139">
                  <c:v>19164</c:v>
                </c:pt>
                <c:pt idx="140">
                  <c:v>19891</c:v>
                </c:pt>
                <c:pt idx="141">
                  <c:v>20066</c:v>
                </c:pt>
                <c:pt idx="142">
                  <c:v>20126</c:v>
                </c:pt>
                <c:pt idx="143">
                  <c:v>20174</c:v>
                </c:pt>
                <c:pt idx="144">
                  <c:v>20466</c:v>
                </c:pt>
                <c:pt idx="145">
                  <c:v>20507</c:v>
                </c:pt>
                <c:pt idx="146">
                  <c:v>20528</c:v>
                </c:pt>
                <c:pt idx="147">
                  <c:v>20898</c:v>
                </c:pt>
                <c:pt idx="148">
                  <c:v>20902</c:v>
                </c:pt>
                <c:pt idx="149">
                  <c:v>21015</c:v>
                </c:pt>
                <c:pt idx="150">
                  <c:v>21574</c:v>
                </c:pt>
                <c:pt idx="151">
                  <c:v>21899</c:v>
                </c:pt>
                <c:pt idx="152">
                  <c:v>21645</c:v>
                </c:pt>
                <c:pt idx="153">
                  <c:v>21240</c:v>
                </c:pt>
                <c:pt idx="154">
                  <c:v>21365</c:v>
                </c:pt>
                <c:pt idx="155">
                  <c:v>21416</c:v>
                </c:pt>
                <c:pt idx="156">
                  <c:v>21311</c:v>
                </c:pt>
                <c:pt idx="157">
                  <c:v>21311</c:v>
                </c:pt>
                <c:pt idx="158">
                  <c:v>21094</c:v>
                </c:pt>
                <c:pt idx="159">
                  <c:v>20994</c:v>
                </c:pt>
                <c:pt idx="160">
                  <c:v>21102</c:v>
                </c:pt>
                <c:pt idx="161">
                  <c:v>21311</c:v>
                </c:pt>
                <c:pt idx="162">
                  <c:v>21411</c:v>
                </c:pt>
                <c:pt idx="163">
                  <c:v>21398</c:v>
                </c:pt>
                <c:pt idx="164">
                  <c:v>19780</c:v>
                </c:pt>
                <c:pt idx="165">
                  <c:v>19462</c:v>
                </c:pt>
                <c:pt idx="166">
                  <c:v>19482</c:v>
                </c:pt>
                <c:pt idx="167">
                  <c:v>19346</c:v>
                </c:pt>
                <c:pt idx="168">
                  <c:v>19040</c:v>
                </c:pt>
                <c:pt idx="169">
                  <c:v>19246</c:v>
                </c:pt>
                <c:pt idx="170">
                  <c:v>19265</c:v>
                </c:pt>
                <c:pt idx="171">
                  <c:v>19306</c:v>
                </c:pt>
                <c:pt idx="172">
                  <c:v>19351</c:v>
                </c:pt>
                <c:pt idx="173">
                  <c:v>19166</c:v>
                </c:pt>
                <c:pt idx="174">
                  <c:v>19203</c:v>
                </c:pt>
                <c:pt idx="175">
                  <c:v>19293</c:v>
                </c:pt>
                <c:pt idx="176">
                  <c:v>19457</c:v>
                </c:pt>
                <c:pt idx="177">
                  <c:v>19475</c:v>
                </c:pt>
                <c:pt idx="178">
                  <c:v>19602</c:v>
                </c:pt>
                <c:pt idx="179">
                  <c:v>19827</c:v>
                </c:pt>
                <c:pt idx="180">
                  <c:v>19915</c:v>
                </c:pt>
                <c:pt idx="181">
                  <c:v>19710</c:v>
                </c:pt>
                <c:pt idx="182">
                  <c:v>19659</c:v>
                </c:pt>
                <c:pt idx="183">
                  <c:v>19722</c:v>
                </c:pt>
                <c:pt idx="184">
                  <c:v>19396</c:v>
                </c:pt>
                <c:pt idx="185">
                  <c:v>19399</c:v>
                </c:pt>
                <c:pt idx="186">
                  <c:v>19478</c:v>
                </c:pt>
                <c:pt idx="187">
                  <c:v>19491</c:v>
                </c:pt>
                <c:pt idx="188">
                  <c:v>19481</c:v>
                </c:pt>
                <c:pt idx="189">
                  <c:v>19612</c:v>
                </c:pt>
                <c:pt idx="190">
                  <c:v>19552</c:v>
                </c:pt>
                <c:pt idx="191">
                  <c:v>19272</c:v>
                </c:pt>
                <c:pt idx="192">
                  <c:v>18991</c:v>
                </c:pt>
                <c:pt idx="193">
                  <c:v>18987</c:v>
                </c:pt>
                <c:pt idx="194">
                  <c:v>18977</c:v>
                </c:pt>
                <c:pt idx="195">
                  <c:v>18977</c:v>
                </c:pt>
                <c:pt idx="196">
                  <c:v>18987</c:v>
                </c:pt>
                <c:pt idx="197">
                  <c:v>18978</c:v>
                </c:pt>
                <c:pt idx="198">
                  <c:v>18958</c:v>
                </c:pt>
                <c:pt idx="199">
                  <c:v>19111</c:v>
                </c:pt>
                <c:pt idx="200">
                  <c:v>19111</c:v>
                </c:pt>
                <c:pt idx="201">
                  <c:v>19021</c:v>
                </c:pt>
                <c:pt idx="202">
                  <c:v>18961</c:v>
                </c:pt>
                <c:pt idx="203">
                  <c:v>19116</c:v>
                </c:pt>
                <c:pt idx="204">
                  <c:v>19244</c:v>
                </c:pt>
                <c:pt idx="205">
                  <c:v>19269</c:v>
                </c:pt>
                <c:pt idx="206">
                  <c:v>19463</c:v>
                </c:pt>
                <c:pt idx="207">
                  <c:v>19685</c:v>
                </c:pt>
                <c:pt idx="208">
                  <c:v>19658</c:v>
                </c:pt>
                <c:pt idx="209">
                  <c:v>19601</c:v>
                </c:pt>
                <c:pt idx="210">
                  <c:v>19668</c:v>
                </c:pt>
                <c:pt idx="211">
                  <c:v>19669</c:v>
                </c:pt>
                <c:pt idx="212">
                  <c:v>20605</c:v>
                </c:pt>
                <c:pt idx="213">
                  <c:v>19998</c:v>
                </c:pt>
                <c:pt idx="214">
                  <c:v>20596</c:v>
                </c:pt>
                <c:pt idx="215">
                  <c:v>20704</c:v>
                </c:pt>
                <c:pt idx="216">
                  <c:v>20778</c:v>
                </c:pt>
                <c:pt idx="217">
                  <c:v>20809</c:v>
                </c:pt>
                <c:pt idx="218">
                  <c:v>20814</c:v>
                </c:pt>
                <c:pt idx="219">
                  <c:v>20918</c:v>
                </c:pt>
                <c:pt idx="220">
                  <c:v>20835</c:v>
                </c:pt>
                <c:pt idx="221">
                  <c:v>20373</c:v>
                </c:pt>
                <c:pt idx="222">
                  <c:v>20263</c:v>
                </c:pt>
                <c:pt idx="223">
                  <c:v>20234</c:v>
                </c:pt>
                <c:pt idx="224">
                  <c:v>20262</c:v>
                </c:pt>
                <c:pt idx="225">
                  <c:v>18959</c:v>
                </c:pt>
                <c:pt idx="226">
                  <c:v>19069</c:v>
                </c:pt>
                <c:pt idx="227">
                  <c:v>19144</c:v>
                </c:pt>
                <c:pt idx="228">
                  <c:v>19034</c:v>
                </c:pt>
                <c:pt idx="229">
                  <c:v>19034</c:v>
                </c:pt>
                <c:pt idx="230">
                  <c:v>19053</c:v>
                </c:pt>
                <c:pt idx="231">
                  <c:v>19053</c:v>
                </c:pt>
                <c:pt idx="232">
                  <c:v>18763</c:v>
                </c:pt>
                <c:pt idx="233">
                  <c:v>18763</c:v>
                </c:pt>
                <c:pt idx="234">
                  <c:v>18977</c:v>
                </c:pt>
                <c:pt idx="235">
                  <c:v>19192</c:v>
                </c:pt>
                <c:pt idx="236">
                  <c:v>19101</c:v>
                </c:pt>
                <c:pt idx="237">
                  <c:v>19226</c:v>
                </c:pt>
                <c:pt idx="238">
                  <c:v>18969</c:v>
                </c:pt>
                <c:pt idx="239">
                  <c:v>18019</c:v>
                </c:pt>
                <c:pt idx="240">
                  <c:v>17992</c:v>
                </c:pt>
                <c:pt idx="241">
                  <c:v>17611</c:v>
                </c:pt>
                <c:pt idx="242">
                  <c:v>17306</c:v>
                </c:pt>
                <c:pt idx="243">
                  <c:v>18006</c:v>
                </c:pt>
              </c:numCache>
            </c:numRef>
          </c:val>
        </c:ser>
        <c:marker val="1"/>
        <c:axId val="134523904"/>
        <c:axId val="134537984"/>
      </c:lineChart>
      <c:catAx>
        <c:axId val="134487424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21984"/>
        <c:crosses val="autoZero"/>
        <c:lblAlgn val="ctr"/>
        <c:lblOffset val="100"/>
        <c:tickLblSkip val="8"/>
        <c:tickMarkSkip val="1"/>
      </c:catAx>
      <c:valAx>
        <c:axId val="134521984"/>
        <c:scaling>
          <c:orientation val="minMax"/>
          <c:max val="65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Position</a:t>
                </a:r>
              </a:p>
            </c:rich>
          </c:tx>
          <c:layout>
            <c:manualLayout>
              <c:xMode val="edge"/>
              <c:yMode val="edge"/>
              <c:x val="0.9626979484467113"/>
              <c:y val="0.279661016949152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87424"/>
        <c:crosses val="autoZero"/>
        <c:crossBetween val="between"/>
        <c:majorUnit val="500"/>
        <c:minorUnit val="200"/>
      </c:valAx>
      <c:catAx>
        <c:axId val="134523904"/>
        <c:scaling>
          <c:orientation val="minMax"/>
        </c:scaling>
        <c:delete val="1"/>
        <c:axPos val="b"/>
        <c:numFmt formatCode="General" sourceLinked="1"/>
        <c:tickLblPos val="nextTo"/>
        <c:crossAx val="134537984"/>
        <c:crosses val="autoZero"/>
        <c:lblAlgn val="ctr"/>
        <c:lblOffset val="100"/>
      </c:catAx>
      <c:valAx>
        <c:axId val="134537984"/>
        <c:scaling>
          <c:orientation val="minMax"/>
          <c:max val="35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7.1736061732243801E-3"/>
              <c:y val="0.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23904"/>
        <c:crosses val="max"/>
        <c:crossBetween val="between"/>
        <c:majorUnit val="5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133450791793804"/>
          <c:y val="3.3898305084745783E-2"/>
          <c:w val="0.41176499434307923"/>
          <c:h val="5.084745762711868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8767908309455589E-2"/>
          <c:y val="6.4102831625732978E-2"/>
          <c:w val="0.85816618911174747"/>
          <c:h val="0.68803705944953364"/>
        </c:manualLayout>
      </c:layout>
      <c:barChart>
        <c:barDir val="col"/>
        <c:grouping val="clustered"/>
        <c:ser>
          <c:idx val="1"/>
          <c:order val="0"/>
          <c:tx>
            <c:strRef>
              <c:f>[1]OKLI!$B$1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624FAC"/>
            </a:solidFill>
            <a:ln w="25400">
              <a:solidFill>
                <a:srgbClr val="624FAC"/>
              </a:solidFill>
              <a:prstDash val="solid"/>
            </a:ln>
          </c:spPr>
          <c:cat>
            <c:numRef>
              <c:f>[1]OKLI!$A$2:$A$763</c:f>
              <c:numCache>
                <c:formatCode>General</c:formatCode>
                <c:ptCount val="762"/>
                <c:pt idx="0">
                  <c:v>36861</c:v>
                </c:pt>
                <c:pt idx="1">
                  <c:v>36864</c:v>
                </c:pt>
                <c:pt idx="2">
                  <c:v>36865</c:v>
                </c:pt>
                <c:pt idx="3">
                  <c:v>36866</c:v>
                </c:pt>
                <c:pt idx="4">
                  <c:v>36867</c:v>
                </c:pt>
                <c:pt idx="5">
                  <c:v>36868</c:v>
                </c:pt>
                <c:pt idx="6">
                  <c:v>36871</c:v>
                </c:pt>
                <c:pt idx="7">
                  <c:v>36872</c:v>
                </c:pt>
                <c:pt idx="8">
                  <c:v>36873</c:v>
                </c:pt>
                <c:pt idx="9">
                  <c:v>36874</c:v>
                </c:pt>
                <c:pt idx="10">
                  <c:v>36875</c:v>
                </c:pt>
                <c:pt idx="11">
                  <c:v>36878</c:v>
                </c:pt>
                <c:pt idx="12">
                  <c:v>36879</c:v>
                </c:pt>
                <c:pt idx="13">
                  <c:v>36880</c:v>
                </c:pt>
                <c:pt idx="14">
                  <c:v>36881</c:v>
                </c:pt>
                <c:pt idx="15">
                  <c:v>36882</c:v>
                </c:pt>
                <c:pt idx="16">
                  <c:v>36886</c:v>
                </c:pt>
                <c:pt idx="17">
                  <c:v>36893</c:v>
                </c:pt>
                <c:pt idx="18">
                  <c:v>36894</c:v>
                </c:pt>
                <c:pt idx="19">
                  <c:v>36895</c:v>
                </c:pt>
                <c:pt idx="20">
                  <c:v>36896</c:v>
                </c:pt>
                <c:pt idx="21">
                  <c:v>36899</c:v>
                </c:pt>
                <c:pt idx="22">
                  <c:v>36900</c:v>
                </c:pt>
                <c:pt idx="23">
                  <c:v>36901</c:v>
                </c:pt>
                <c:pt idx="24">
                  <c:v>36902</c:v>
                </c:pt>
                <c:pt idx="25">
                  <c:v>36903</c:v>
                </c:pt>
                <c:pt idx="26">
                  <c:v>36906</c:v>
                </c:pt>
                <c:pt idx="27">
                  <c:v>36907</c:v>
                </c:pt>
                <c:pt idx="28">
                  <c:v>36908</c:v>
                </c:pt>
                <c:pt idx="29">
                  <c:v>36909</c:v>
                </c:pt>
                <c:pt idx="30">
                  <c:v>36910</c:v>
                </c:pt>
                <c:pt idx="31">
                  <c:v>36913</c:v>
                </c:pt>
                <c:pt idx="32">
                  <c:v>36917</c:v>
                </c:pt>
                <c:pt idx="33">
                  <c:v>36920</c:v>
                </c:pt>
                <c:pt idx="34">
                  <c:v>36921</c:v>
                </c:pt>
                <c:pt idx="35">
                  <c:v>36922</c:v>
                </c:pt>
                <c:pt idx="36">
                  <c:v>36924</c:v>
                </c:pt>
                <c:pt idx="37">
                  <c:v>36927</c:v>
                </c:pt>
                <c:pt idx="38">
                  <c:v>36928</c:v>
                </c:pt>
                <c:pt idx="39">
                  <c:v>36929</c:v>
                </c:pt>
                <c:pt idx="40">
                  <c:v>36930</c:v>
                </c:pt>
                <c:pt idx="41">
                  <c:v>36931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36941</c:v>
                </c:pt>
                <c:pt idx="48">
                  <c:v>36942</c:v>
                </c:pt>
                <c:pt idx="49">
                  <c:v>36943</c:v>
                </c:pt>
                <c:pt idx="50">
                  <c:v>36944</c:v>
                </c:pt>
                <c:pt idx="51">
                  <c:v>36945</c:v>
                </c:pt>
                <c:pt idx="52">
                  <c:v>36948</c:v>
                </c:pt>
                <c:pt idx="53">
                  <c:v>36949</c:v>
                </c:pt>
                <c:pt idx="54">
                  <c:v>36950</c:v>
                </c:pt>
                <c:pt idx="55">
                  <c:v>36951</c:v>
                </c:pt>
                <c:pt idx="56">
                  <c:v>36952</c:v>
                </c:pt>
                <c:pt idx="57">
                  <c:v>36955</c:v>
                </c:pt>
                <c:pt idx="58">
                  <c:v>36957</c:v>
                </c:pt>
                <c:pt idx="59">
                  <c:v>36958</c:v>
                </c:pt>
                <c:pt idx="60">
                  <c:v>36959</c:v>
                </c:pt>
                <c:pt idx="61">
                  <c:v>36962</c:v>
                </c:pt>
                <c:pt idx="62">
                  <c:v>36963</c:v>
                </c:pt>
                <c:pt idx="63">
                  <c:v>36964</c:v>
                </c:pt>
                <c:pt idx="64">
                  <c:v>36965</c:v>
                </c:pt>
                <c:pt idx="65">
                  <c:v>36966</c:v>
                </c:pt>
                <c:pt idx="66">
                  <c:v>36969</c:v>
                </c:pt>
                <c:pt idx="67">
                  <c:v>36970</c:v>
                </c:pt>
                <c:pt idx="68">
                  <c:v>36971</c:v>
                </c:pt>
                <c:pt idx="69">
                  <c:v>36972</c:v>
                </c:pt>
                <c:pt idx="70">
                  <c:v>36973</c:v>
                </c:pt>
                <c:pt idx="71">
                  <c:v>36977</c:v>
                </c:pt>
                <c:pt idx="72">
                  <c:v>36978</c:v>
                </c:pt>
                <c:pt idx="73">
                  <c:v>36979</c:v>
                </c:pt>
                <c:pt idx="74">
                  <c:v>36980</c:v>
                </c:pt>
                <c:pt idx="75">
                  <c:v>36983</c:v>
                </c:pt>
                <c:pt idx="76">
                  <c:v>36984</c:v>
                </c:pt>
                <c:pt idx="77">
                  <c:v>36985</c:v>
                </c:pt>
                <c:pt idx="78">
                  <c:v>36986</c:v>
                </c:pt>
                <c:pt idx="79">
                  <c:v>36987</c:v>
                </c:pt>
                <c:pt idx="80">
                  <c:v>36990</c:v>
                </c:pt>
                <c:pt idx="81">
                  <c:v>36991</c:v>
                </c:pt>
                <c:pt idx="82">
                  <c:v>36992</c:v>
                </c:pt>
                <c:pt idx="83">
                  <c:v>36993</c:v>
                </c:pt>
                <c:pt idx="84">
                  <c:v>36994</c:v>
                </c:pt>
                <c:pt idx="85">
                  <c:v>36997</c:v>
                </c:pt>
                <c:pt idx="86">
                  <c:v>36998</c:v>
                </c:pt>
                <c:pt idx="87">
                  <c:v>36999</c:v>
                </c:pt>
                <c:pt idx="88">
                  <c:v>37000</c:v>
                </c:pt>
                <c:pt idx="89">
                  <c:v>37001</c:v>
                </c:pt>
                <c:pt idx="90">
                  <c:v>37004</c:v>
                </c:pt>
                <c:pt idx="91">
                  <c:v>37005</c:v>
                </c:pt>
                <c:pt idx="92">
                  <c:v>37006</c:v>
                </c:pt>
                <c:pt idx="93">
                  <c:v>37007</c:v>
                </c:pt>
                <c:pt idx="94">
                  <c:v>37008</c:v>
                </c:pt>
                <c:pt idx="95">
                  <c:v>37011</c:v>
                </c:pt>
                <c:pt idx="96">
                  <c:v>37013</c:v>
                </c:pt>
                <c:pt idx="97">
                  <c:v>37014</c:v>
                </c:pt>
                <c:pt idx="98">
                  <c:v>37015</c:v>
                </c:pt>
                <c:pt idx="99">
                  <c:v>37019</c:v>
                </c:pt>
                <c:pt idx="100">
                  <c:v>37020</c:v>
                </c:pt>
                <c:pt idx="101">
                  <c:v>37021</c:v>
                </c:pt>
                <c:pt idx="102">
                  <c:v>37022</c:v>
                </c:pt>
                <c:pt idx="103">
                  <c:v>37025</c:v>
                </c:pt>
                <c:pt idx="104">
                  <c:v>37026</c:v>
                </c:pt>
                <c:pt idx="105">
                  <c:v>37027</c:v>
                </c:pt>
                <c:pt idx="106">
                  <c:v>37028</c:v>
                </c:pt>
                <c:pt idx="107">
                  <c:v>37029</c:v>
                </c:pt>
                <c:pt idx="108">
                  <c:v>37032</c:v>
                </c:pt>
                <c:pt idx="109">
                  <c:v>37033</c:v>
                </c:pt>
                <c:pt idx="110">
                  <c:v>37034</c:v>
                </c:pt>
                <c:pt idx="111">
                  <c:v>37035</c:v>
                </c:pt>
                <c:pt idx="112">
                  <c:v>37036</c:v>
                </c:pt>
                <c:pt idx="113">
                  <c:v>37039</c:v>
                </c:pt>
                <c:pt idx="114">
                  <c:v>37040</c:v>
                </c:pt>
                <c:pt idx="115">
                  <c:v>37041</c:v>
                </c:pt>
                <c:pt idx="116">
                  <c:v>37042</c:v>
                </c:pt>
                <c:pt idx="117">
                  <c:v>37043</c:v>
                </c:pt>
                <c:pt idx="118">
                  <c:v>37047</c:v>
                </c:pt>
                <c:pt idx="119">
                  <c:v>37048</c:v>
                </c:pt>
                <c:pt idx="120">
                  <c:v>37049</c:v>
                </c:pt>
                <c:pt idx="121">
                  <c:v>37050</c:v>
                </c:pt>
                <c:pt idx="122">
                  <c:v>37053</c:v>
                </c:pt>
                <c:pt idx="123">
                  <c:v>37054</c:v>
                </c:pt>
                <c:pt idx="124">
                  <c:v>37055</c:v>
                </c:pt>
                <c:pt idx="125">
                  <c:v>37056</c:v>
                </c:pt>
                <c:pt idx="126">
                  <c:v>37057</c:v>
                </c:pt>
                <c:pt idx="127">
                  <c:v>37060</c:v>
                </c:pt>
                <c:pt idx="128">
                  <c:v>37061</c:v>
                </c:pt>
                <c:pt idx="129">
                  <c:v>37062</c:v>
                </c:pt>
                <c:pt idx="130">
                  <c:v>37063</c:v>
                </c:pt>
                <c:pt idx="131">
                  <c:v>37064</c:v>
                </c:pt>
                <c:pt idx="132">
                  <c:v>37067</c:v>
                </c:pt>
                <c:pt idx="133">
                  <c:v>37068</c:v>
                </c:pt>
                <c:pt idx="134">
                  <c:v>37069</c:v>
                </c:pt>
                <c:pt idx="135">
                  <c:v>37070</c:v>
                </c:pt>
                <c:pt idx="136">
                  <c:v>37071</c:v>
                </c:pt>
                <c:pt idx="137">
                  <c:v>37074</c:v>
                </c:pt>
                <c:pt idx="138">
                  <c:v>37075</c:v>
                </c:pt>
                <c:pt idx="139">
                  <c:v>37076</c:v>
                </c:pt>
                <c:pt idx="140">
                  <c:v>37077</c:v>
                </c:pt>
                <c:pt idx="141">
                  <c:v>37078</c:v>
                </c:pt>
                <c:pt idx="142">
                  <c:v>37081</c:v>
                </c:pt>
                <c:pt idx="143">
                  <c:v>37082</c:v>
                </c:pt>
                <c:pt idx="144">
                  <c:v>37083</c:v>
                </c:pt>
                <c:pt idx="145">
                  <c:v>37084</c:v>
                </c:pt>
                <c:pt idx="146">
                  <c:v>37085</c:v>
                </c:pt>
                <c:pt idx="147">
                  <c:v>37088</c:v>
                </c:pt>
                <c:pt idx="148">
                  <c:v>37089</c:v>
                </c:pt>
                <c:pt idx="149">
                  <c:v>37090</c:v>
                </c:pt>
                <c:pt idx="150">
                  <c:v>37091</c:v>
                </c:pt>
                <c:pt idx="151">
                  <c:v>37092</c:v>
                </c:pt>
                <c:pt idx="152">
                  <c:v>37095</c:v>
                </c:pt>
                <c:pt idx="153">
                  <c:v>37096</c:v>
                </c:pt>
                <c:pt idx="154">
                  <c:v>37097</c:v>
                </c:pt>
                <c:pt idx="155">
                  <c:v>37098</c:v>
                </c:pt>
                <c:pt idx="156">
                  <c:v>37099</c:v>
                </c:pt>
                <c:pt idx="157">
                  <c:v>37102</c:v>
                </c:pt>
                <c:pt idx="158">
                  <c:v>37103</c:v>
                </c:pt>
                <c:pt idx="159">
                  <c:v>37104</c:v>
                </c:pt>
                <c:pt idx="160">
                  <c:v>37105</c:v>
                </c:pt>
                <c:pt idx="161">
                  <c:v>37106</c:v>
                </c:pt>
                <c:pt idx="162">
                  <c:v>37109</c:v>
                </c:pt>
                <c:pt idx="163">
                  <c:v>37110</c:v>
                </c:pt>
                <c:pt idx="164">
                  <c:v>37111</c:v>
                </c:pt>
                <c:pt idx="165">
                  <c:v>37112</c:v>
                </c:pt>
                <c:pt idx="166">
                  <c:v>37113</c:v>
                </c:pt>
                <c:pt idx="167">
                  <c:v>37116</c:v>
                </c:pt>
                <c:pt idx="168">
                  <c:v>37117</c:v>
                </c:pt>
                <c:pt idx="169">
                  <c:v>37118</c:v>
                </c:pt>
                <c:pt idx="170">
                  <c:v>37119</c:v>
                </c:pt>
                <c:pt idx="171">
                  <c:v>37120</c:v>
                </c:pt>
                <c:pt idx="172">
                  <c:v>37123</c:v>
                </c:pt>
                <c:pt idx="173">
                  <c:v>37124</c:v>
                </c:pt>
                <c:pt idx="174">
                  <c:v>37125</c:v>
                </c:pt>
                <c:pt idx="175">
                  <c:v>37126</c:v>
                </c:pt>
                <c:pt idx="176">
                  <c:v>37127</c:v>
                </c:pt>
                <c:pt idx="177">
                  <c:v>37130</c:v>
                </c:pt>
                <c:pt idx="178">
                  <c:v>37131</c:v>
                </c:pt>
                <c:pt idx="179">
                  <c:v>37132</c:v>
                </c:pt>
                <c:pt idx="180">
                  <c:v>37133</c:v>
                </c:pt>
                <c:pt idx="181">
                  <c:v>37137</c:v>
                </c:pt>
                <c:pt idx="182">
                  <c:v>37138</c:v>
                </c:pt>
                <c:pt idx="183">
                  <c:v>37139</c:v>
                </c:pt>
                <c:pt idx="184">
                  <c:v>37140</c:v>
                </c:pt>
                <c:pt idx="185">
                  <c:v>37141</c:v>
                </c:pt>
                <c:pt idx="186">
                  <c:v>37144</c:v>
                </c:pt>
                <c:pt idx="187">
                  <c:v>37145</c:v>
                </c:pt>
                <c:pt idx="188">
                  <c:v>37147</c:v>
                </c:pt>
                <c:pt idx="189">
                  <c:v>37148</c:v>
                </c:pt>
                <c:pt idx="190">
                  <c:v>37151</c:v>
                </c:pt>
                <c:pt idx="191">
                  <c:v>37152</c:v>
                </c:pt>
                <c:pt idx="192">
                  <c:v>37153</c:v>
                </c:pt>
                <c:pt idx="193">
                  <c:v>37154</c:v>
                </c:pt>
                <c:pt idx="194">
                  <c:v>37155</c:v>
                </c:pt>
                <c:pt idx="195">
                  <c:v>37158</c:v>
                </c:pt>
                <c:pt idx="196">
                  <c:v>37159</c:v>
                </c:pt>
                <c:pt idx="197">
                  <c:v>37160</c:v>
                </c:pt>
                <c:pt idx="198">
                  <c:v>37161</c:v>
                </c:pt>
                <c:pt idx="199">
                  <c:v>37162</c:v>
                </c:pt>
                <c:pt idx="200">
                  <c:v>37165</c:v>
                </c:pt>
                <c:pt idx="201">
                  <c:v>37166</c:v>
                </c:pt>
                <c:pt idx="202">
                  <c:v>37167</c:v>
                </c:pt>
                <c:pt idx="203">
                  <c:v>37168</c:v>
                </c:pt>
                <c:pt idx="204">
                  <c:v>37169</c:v>
                </c:pt>
                <c:pt idx="205">
                  <c:v>37172</c:v>
                </c:pt>
                <c:pt idx="206">
                  <c:v>37173</c:v>
                </c:pt>
                <c:pt idx="207">
                  <c:v>37174</c:v>
                </c:pt>
                <c:pt idx="208">
                  <c:v>37175</c:v>
                </c:pt>
                <c:pt idx="209">
                  <c:v>37176</c:v>
                </c:pt>
                <c:pt idx="210">
                  <c:v>37179</c:v>
                </c:pt>
                <c:pt idx="211">
                  <c:v>37180</c:v>
                </c:pt>
                <c:pt idx="212">
                  <c:v>37181</c:v>
                </c:pt>
                <c:pt idx="213">
                  <c:v>37182</c:v>
                </c:pt>
                <c:pt idx="214">
                  <c:v>37183</c:v>
                </c:pt>
                <c:pt idx="215">
                  <c:v>37186</c:v>
                </c:pt>
                <c:pt idx="216">
                  <c:v>37187</c:v>
                </c:pt>
                <c:pt idx="217">
                  <c:v>37188</c:v>
                </c:pt>
                <c:pt idx="218">
                  <c:v>37189</c:v>
                </c:pt>
                <c:pt idx="219">
                  <c:v>37190</c:v>
                </c:pt>
                <c:pt idx="220">
                  <c:v>37193</c:v>
                </c:pt>
                <c:pt idx="221">
                  <c:v>37194</c:v>
                </c:pt>
                <c:pt idx="222">
                  <c:v>37195</c:v>
                </c:pt>
                <c:pt idx="223">
                  <c:v>37196</c:v>
                </c:pt>
                <c:pt idx="224">
                  <c:v>37197</c:v>
                </c:pt>
                <c:pt idx="225">
                  <c:v>37200</c:v>
                </c:pt>
                <c:pt idx="226">
                  <c:v>37201</c:v>
                </c:pt>
                <c:pt idx="227">
                  <c:v>37202</c:v>
                </c:pt>
                <c:pt idx="228">
                  <c:v>37203</c:v>
                </c:pt>
                <c:pt idx="229">
                  <c:v>37204</c:v>
                </c:pt>
                <c:pt idx="230">
                  <c:v>37207</c:v>
                </c:pt>
                <c:pt idx="231">
                  <c:v>37208</c:v>
                </c:pt>
                <c:pt idx="232">
                  <c:v>37210</c:v>
                </c:pt>
                <c:pt idx="233">
                  <c:v>37211</c:v>
                </c:pt>
                <c:pt idx="234">
                  <c:v>37214</c:v>
                </c:pt>
                <c:pt idx="235">
                  <c:v>37215</c:v>
                </c:pt>
                <c:pt idx="236">
                  <c:v>37216</c:v>
                </c:pt>
                <c:pt idx="237">
                  <c:v>37218</c:v>
                </c:pt>
                <c:pt idx="238">
                  <c:v>37221</c:v>
                </c:pt>
                <c:pt idx="239">
                  <c:v>37222</c:v>
                </c:pt>
                <c:pt idx="240">
                  <c:v>37223</c:v>
                </c:pt>
                <c:pt idx="241">
                  <c:v>37224</c:v>
                </c:pt>
                <c:pt idx="242">
                  <c:v>37225</c:v>
                </c:pt>
                <c:pt idx="243">
                  <c:v>37228</c:v>
                </c:pt>
                <c:pt idx="244">
                  <c:v>37229</c:v>
                </c:pt>
                <c:pt idx="245">
                  <c:v>37230</c:v>
                </c:pt>
                <c:pt idx="246">
                  <c:v>37231</c:v>
                </c:pt>
                <c:pt idx="247">
                  <c:v>37232</c:v>
                </c:pt>
                <c:pt idx="248">
                  <c:v>37235</c:v>
                </c:pt>
                <c:pt idx="249">
                  <c:v>37236</c:v>
                </c:pt>
                <c:pt idx="250">
                  <c:v>37237</c:v>
                </c:pt>
                <c:pt idx="251">
                  <c:v>37238</c:v>
                </c:pt>
                <c:pt idx="252">
                  <c:v>37239</c:v>
                </c:pt>
                <c:pt idx="253">
                  <c:v>37245</c:v>
                </c:pt>
                <c:pt idx="254">
                  <c:v>37246</c:v>
                </c:pt>
                <c:pt idx="255">
                  <c:v>37249</c:v>
                </c:pt>
                <c:pt idx="256">
                  <c:v>37251</c:v>
                </c:pt>
                <c:pt idx="257">
                  <c:v>37252</c:v>
                </c:pt>
                <c:pt idx="258">
                  <c:v>37253</c:v>
                </c:pt>
                <c:pt idx="259">
                  <c:v>37256</c:v>
                </c:pt>
                <c:pt idx="260">
                  <c:v>37258</c:v>
                </c:pt>
                <c:pt idx="261">
                  <c:v>37259</c:v>
                </c:pt>
                <c:pt idx="262">
                  <c:v>37260</c:v>
                </c:pt>
                <c:pt idx="263">
                  <c:v>37263</c:v>
                </c:pt>
                <c:pt idx="264">
                  <c:v>37264</c:v>
                </c:pt>
                <c:pt idx="265">
                  <c:v>37265</c:v>
                </c:pt>
                <c:pt idx="266">
                  <c:v>37266</c:v>
                </c:pt>
                <c:pt idx="267">
                  <c:v>37267</c:v>
                </c:pt>
                <c:pt idx="268">
                  <c:v>37270</c:v>
                </c:pt>
                <c:pt idx="269">
                  <c:v>37271</c:v>
                </c:pt>
                <c:pt idx="270">
                  <c:v>37272</c:v>
                </c:pt>
                <c:pt idx="271">
                  <c:v>37273</c:v>
                </c:pt>
                <c:pt idx="272">
                  <c:v>37274</c:v>
                </c:pt>
                <c:pt idx="273">
                  <c:v>37277</c:v>
                </c:pt>
                <c:pt idx="274">
                  <c:v>37278</c:v>
                </c:pt>
                <c:pt idx="275">
                  <c:v>37279</c:v>
                </c:pt>
                <c:pt idx="276">
                  <c:v>37280</c:v>
                </c:pt>
                <c:pt idx="277">
                  <c:v>37281</c:v>
                </c:pt>
                <c:pt idx="278">
                  <c:v>37284</c:v>
                </c:pt>
                <c:pt idx="279">
                  <c:v>37285</c:v>
                </c:pt>
                <c:pt idx="280">
                  <c:v>37286</c:v>
                </c:pt>
                <c:pt idx="281">
                  <c:v>37287</c:v>
                </c:pt>
                <c:pt idx="282">
                  <c:v>37291</c:v>
                </c:pt>
                <c:pt idx="283">
                  <c:v>37292</c:v>
                </c:pt>
                <c:pt idx="284">
                  <c:v>37293</c:v>
                </c:pt>
                <c:pt idx="285">
                  <c:v>37294</c:v>
                </c:pt>
                <c:pt idx="286">
                  <c:v>37295</c:v>
                </c:pt>
                <c:pt idx="287">
                  <c:v>37301</c:v>
                </c:pt>
                <c:pt idx="288">
                  <c:v>37302</c:v>
                </c:pt>
                <c:pt idx="289">
                  <c:v>37305</c:v>
                </c:pt>
                <c:pt idx="290">
                  <c:v>37306</c:v>
                </c:pt>
                <c:pt idx="291">
                  <c:v>37307</c:v>
                </c:pt>
                <c:pt idx="292">
                  <c:v>37308</c:v>
                </c:pt>
                <c:pt idx="293">
                  <c:v>37309</c:v>
                </c:pt>
                <c:pt idx="294">
                  <c:v>37312</c:v>
                </c:pt>
                <c:pt idx="295">
                  <c:v>37313</c:v>
                </c:pt>
                <c:pt idx="296">
                  <c:v>37314</c:v>
                </c:pt>
                <c:pt idx="297">
                  <c:v>37315</c:v>
                </c:pt>
                <c:pt idx="298">
                  <c:v>37316</c:v>
                </c:pt>
                <c:pt idx="299">
                  <c:v>37319</c:v>
                </c:pt>
                <c:pt idx="300">
                  <c:v>37320</c:v>
                </c:pt>
                <c:pt idx="301">
                  <c:v>37321</c:v>
                </c:pt>
                <c:pt idx="302">
                  <c:v>37322</c:v>
                </c:pt>
                <c:pt idx="303">
                  <c:v>37323</c:v>
                </c:pt>
                <c:pt idx="304">
                  <c:v>37326</c:v>
                </c:pt>
                <c:pt idx="305">
                  <c:v>37327</c:v>
                </c:pt>
                <c:pt idx="306">
                  <c:v>37328</c:v>
                </c:pt>
                <c:pt idx="307">
                  <c:v>37329</c:v>
                </c:pt>
                <c:pt idx="308">
                  <c:v>37333</c:v>
                </c:pt>
                <c:pt idx="309">
                  <c:v>37334</c:v>
                </c:pt>
                <c:pt idx="310">
                  <c:v>37335</c:v>
                </c:pt>
                <c:pt idx="311">
                  <c:v>37336</c:v>
                </c:pt>
                <c:pt idx="312">
                  <c:v>37337</c:v>
                </c:pt>
                <c:pt idx="313">
                  <c:v>37340</c:v>
                </c:pt>
                <c:pt idx="314">
                  <c:v>37341</c:v>
                </c:pt>
                <c:pt idx="315">
                  <c:v>37342</c:v>
                </c:pt>
                <c:pt idx="316">
                  <c:v>37343</c:v>
                </c:pt>
                <c:pt idx="317">
                  <c:v>37344</c:v>
                </c:pt>
                <c:pt idx="318">
                  <c:v>37347</c:v>
                </c:pt>
                <c:pt idx="319">
                  <c:v>37348</c:v>
                </c:pt>
                <c:pt idx="320">
                  <c:v>37349</c:v>
                </c:pt>
                <c:pt idx="321">
                  <c:v>37350</c:v>
                </c:pt>
                <c:pt idx="322">
                  <c:v>37351</c:v>
                </c:pt>
                <c:pt idx="323">
                  <c:v>37354</c:v>
                </c:pt>
                <c:pt idx="324">
                  <c:v>37355</c:v>
                </c:pt>
                <c:pt idx="325">
                  <c:v>37356</c:v>
                </c:pt>
                <c:pt idx="326">
                  <c:v>37357</c:v>
                </c:pt>
                <c:pt idx="327">
                  <c:v>37358</c:v>
                </c:pt>
                <c:pt idx="328">
                  <c:v>37361</c:v>
                </c:pt>
                <c:pt idx="329">
                  <c:v>37362</c:v>
                </c:pt>
                <c:pt idx="330">
                  <c:v>37363</c:v>
                </c:pt>
                <c:pt idx="331">
                  <c:v>37364</c:v>
                </c:pt>
                <c:pt idx="332">
                  <c:v>37365</c:v>
                </c:pt>
                <c:pt idx="333">
                  <c:v>37368</c:v>
                </c:pt>
                <c:pt idx="334">
                  <c:v>37369</c:v>
                </c:pt>
                <c:pt idx="335">
                  <c:v>37370</c:v>
                </c:pt>
                <c:pt idx="336">
                  <c:v>37372</c:v>
                </c:pt>
                <c:pt idx="337">
                  <c:v>37375</c:v>
                </c:pt>
                <c:pt idx="338">
                  <c:v>37376</c:v>
                </c:pt>
                <c:pt idx="339">
                  <c:v>37378</c:v>
                </c:pt>
                <c:pt idx="340">
                  <c:v>37379</c:v>
                </c:pt>
                <c:pt idx="341">
                  <c:v>37382</c:v>
                </c:pt>
                <c:pt idx="342">
                  <c:v>37383</c:v>
                </c:pt>
                <c:pt idx="343">
                  <c:v>37384</c:v>
                </c:pt>
                <c:pt idx="344">
                  <c:v>37385</c:v>
                </c:pt>
                <c:pt idx="345">
                  <c:v>37386</c:v>
                </c:pt>
                <c:pt idx="346">
                  <c:v>37389</c:v>
                </c:pt>
                <c:pt idx="347">
                  <c:v>37390</c:v>
                </c:pt>
                <c:pt idx="348">
                  <c:v>37391</c:v>
                </c:pt>
                <c:pt idx="349">
                  <c:v>37392</c:v>
                </c:pt>
                <c:pt idx="350">
                  <c:v>37393</c:v>
                </c:pt>
                <c:pt idx="351">
                  <c:v>37396</c:v>
                </c:pt>
                <c:pt idx="352">
                  <c:v>37397</c:v>
                </c:pt>
                <c:pt idx="353">
                  <c:v>37398</c:v>
                </c:pt>
                <c:pt idx="354">
                  <c:v>37399</c:v>
                </c:pt>
                <c:pt idx="355">
                  <c:v>37400</c:v>
                </c:pt>
                <c:pt idx="356">
                  <c:v>37404</c:v>
                </c:pt>
                <c:pt idx="357">
                  <c:v>37405</c:v>
                </c:pt>
                <c:pt idx="358">
                  <c:v>37406</c:v>
                </c:pt>
                <c:pt idx="359">
                  <c:v>37407</c:v>
                </c:pt>
                <c:pt idx="360">
                  <c:v>37410</c:v>
                </c:pt>
                <c:pt idx="361">
                  <c:v>37411</c:v>
                </c:pt>
                <c:pt idx="362">
                  <c:v>37412</c:v>
                </c:pt>
                <c:pt idx="363">
                  <c:v>37413</c:v>
                </c:pt>
                <c:pt idx="364">
                  <c:v>37414</c:v>
                </c:pt>
                <c:pt idx="365">
                  <c:v>37417</c:v>
                </c:pt>
                <c:pt idx="366">
                  <c:v>37418</c:v>
                </c:pt>
                <c:pt idx="367">
                  <c:v>37419</c:v>
                </c:pt>
                <c:pt idx="368">
                  <c:v>37420</c:v>
                </c:pt>
                <c:pt idx="369">
                  <c:v>37421</c:v>
                </c:pt>
                <c:pt idx="370">
                  <c:v>37424</c:v>
                </c:pt>
                <c:pt idx="371">
                  <c:v>37425</c:v>
                </c:pt>
                <c:pt idx="372">
                  <c:v>37426</c:v>
                </c:pt>
                <c:pt idx="373">
                  <c:v>37427</c:v>
                </c:pt>
                <c:pt idx="374">
                  <c:v>37428</c:v>
                </c:pt>
                <c:pt idx="375">
                  <c:v>37431</c:v>
                </c:pt>
                <c:pt idx="376">
                  <c:v>37432</c:v>
                </c:pt>
                <c:pt idx="377">
                  <c:v>37433</c:v>
                </c:pt>
                <c:pt idx="378">
                  <c:v>37434</c:v>
                </c:pt>
                <c:pt idx="379">
                  <c:v>37435</c:v>
                </c:pt>
                <c:pt idx="380">
                  <c:v>37438</c:v>
                </c:pt>
                <c:pt idx="381">
                  <c:v>37439</c:v>
                </c:pt>
                <c:pt idx="382">
                  <c:v>37440</c:v>
                </c:pt>
                <c:pt idx="383">
                  <c:v>37441</c:v>
                </c:pt>
                <c:pt idx="384">
                  <c:v>37442</c:v>
                </c:pt>
                <c:pt idx="385">
                  <c:v>37445</c:v>
                </c:pt>
                <c:pt idx="386">
                  <c:v>37446</c:v>
                </c:pt>
                <c:pt idx="387">
                  <c:v>37447</c:v>
                </c:pt>
                <c:pt idx="388">
                  <c:v>37448</c:v>
                </c:pt>
                <c:pt idx="389">
                  <c:v>37449</c:v>
                </c:pt>
                <c:pt idx="390">
                  <c:v>37452</c:v>
                </c:pt>
                <c:pt idx="391">
                  <c:v>37453</c:v>
                </c:pt>
                <c:pt idx="392">
                  <c:v>37454</c:v>
                </c:pt>
                <c:pt idx="393">
                  <c:v>37455</c:v>
                </c:pt>
                <c:pt idx="394">
                  <c:v>37456</c:v>
                </c:pt>
                <c:pt idx="395">
                  <c:v>37459</c:v>
                </c:pt>
                <c:pt idx="396">
                  <c:v>37460</c:v>
                </c:pt>
                <c:pt idx="397">
                  <c:v>37461</c:v>
                </c:pt>
                <c:pt idx="398">
                  <c:v>37462</c:v>
                </c:pt>
                <c:pt idx="399">
                  <c:v>37463</c:v>
                </c:pt>
                <c:pt idx="400">
                  <c:v>37466</c:v>
                </c:pt>
                <c:pt idx="401">
                  <c:v>37467</c:v>
                </c:pt>
                <c:pt idx="402">
                  <c:v>37468</c:v>
                </c:pt>
                <c:pt idx="403">
                  <c:v>37469</c:v>
                </c:pt>
                <c:pt idx="404">
                  <c:v>37470</c:v>
                </c:pt>
                <c:pt idx="405">
                  <c:v>37473</c:v>
                </c:pt>
                <c:pt idx="406">
                  <c:v>37474</c:v>
                </c:pt>
                <c:pt idx="407">
                  <c:v>37475</c:v>
                </c:pt>
                <c:pt idx="408">
                  <c:v>37476</c:v>
                </c:pt>
                <c:pt idx="409">
                  <c:v>37477</c:v>
                </c:pt>
                <c:pt idx="410">
                  <c:v>37480</c:v>
                </c:pt>
                <c:pt idx="411">
                  <c:v>37481</c:v>
                </c:pt>
                <c:pt idx="412">
                  <c:v>37482</c:v>
                </c:pt>
                <c:pt idx="413">
                  <c:v>37483</c:v>
                </c:pt>
                <c:pt idx="414">
                  <c:v>37484</c:v>
                </c:pt>
                <c:pt idx="415">
                  <c:v>37487</c:v>
                </c:pt>
                <c:pt idx="416">
                  <c:v>37488</c:v>
                </c:pt>
                <c:pt idx="417">
                  <c:v>37489</c:v>
                </c:pt>
                <c:pt idx="418">
                  <c:v>37490</c:v>
                </c:pt>
                <c:pt idx="419">
                  <c:v>37491</c:v>
                </c:pt>
                <c:pt idx="420">
                  <c:v>37494</c:v>
                </c:pt>
                <c:pt idx="421">
                  <c:v>37495</c:v>
                </c:pt>
                <c:pt idx="422">
                  <c:v>37496</c:v>
                </c:pt>
                <c:pt idx="423">
                  <c:v>37497</c:v>
                </c:pt>
                <c:pt idx="424">
                  <c:v>37498</c:v>
                </c:pt>
                <c:pt idx="425">
                  <c:v>37501</c:v>
                </c:pt>
                <c:pt idx="426">
                  <c:v>37502</c:v>
                </c:pt>
                <c:pt idx="427">
                  <c:v>37503</c:v>
                </c:pt>
                <c:pt idx="428">
                  <c:v>37504</c:v>
                </c:pt>
                <c:pt idx="429">
                  <c:v>37505</c:v>
                </c:pt>
                <c:pt idx="430">
                  <c:v>37508</c:v>
                </c:pt>
                <c:pt idx="431">
                  <c:v>37509</c:v>
                </c:pt>
                <c:pt idx="432">
                  <c:v>37510</c:v>
                </c:pt>
                <c:pt idx="433">
                  <c:v>37511</c:v>
                </c:pt>
                <c:pt idx="434">
                  <c:v>37512</c:v>
                </c:pt>
                <c:pt idx="435">
                  <c:v>37515</c:v>
                </c:pt>
                <c:pt idx="436">
                  <c:v>37516</c:v>
                </c:pt>
                <c:pt idx="437">
                  <c:v>37517</c:v>
                </c:pt>
                <c:pt idx="438">
                  <c:v>37518</c:v>
                </c:pt>
                <c:pt idx="439">
                  <c:v>37519</c:v>
                </c:pt>
                <c:pt idx="440">
                  <c:v>37522</c:v>
                </c:pt>
                <c:pt idx="441">
                  <c:v>37523</c:v>
                </c:pt>
                <c:pt idx="442">
                  <c:v>37524</c:v>
                </c:pt>
                <c:pt idx="443">
                  <c:v>37525</c:v>
                </c:pt>
                <c:pt idx="444">
                  <c:v>37526</c:v>
                </c:pt>
                <c:pt idx="445">
                  <c:v>37529</c:v>
                </c:pt>
                <c:pt idx="446">
                  <c:v>37530</c:v>
                </c:pt>
                <c:pt idx="447">
                  <c:v>37531</c:v>
                </c:pt>
                <c:pt idx="448">
                  <c:v>37532</c:v>
                </c:pt>
                <c:pt idx="449">
                  <c:v>37533</c:v>
                </c:pt>
                <c:pt idx="450">
                  <c:v>37536</c:v>
                </c:pt>
                <c:pt idx="451">
                  <c:v>37537</c:v>
                </c:pt>
                <c:pt idx="452">
                  <c:v>37538</c:v>
                </c:pt>
                <c:pt idx="453">
                  <c:v>37539</c:v>
                </c:pt>
                <c:pt idx="454">
                  <c:v>37540</c:v>
                </c:pt>
                <c:pt idx="455">
                  <c:v>37543</c:v>
                </c:pt>
                <c:pt idx="456">
                  <c:v>37544</c:v>
                </c:pt>
                <c:pt idx="457">
                  <c:v>37545</c:v>
                </c:pt>
                <c:pt idx="458">
                  <c:v>37546</c:v>
                </c:pt>
                <c:pt idx="459">
                  <c:v>37547</c:v>
                </c:pt>
                <c:pt idx="460">
                  <c:v>37550</c:v>
                </c:pt>
                <c:pt idx="461">
                  <c:v>37551</c:v>
                </c:pt>
                <c:pt idx="462">
                  <c:v>37552</c:v>
                </c:pt>
                <c:pt idx="463">
                  <c:v>37553</c:v>
                </c:pt>
                <c:pt idx="464">
                  <c:v>37554</c:v>
                </c:pt>
                <c:pt idx="465">
                  <c:v>37557</c:v>
                </c:pt>
                <c:pt idx="466">
                  <c:v>37558</c:v>
                </c:pt>
                <c:pt idx="467">
                  <c:v>37559</c:v>
                </c:pt>
                <c:pt idx="468">
                  <c:v>37560</c:v>
                </c:pt>
                <c:pt idx="469">
                  <c:v>37561</c:v>
                </c:pt>
                <c:pt idx="470">
                  <c:v>37565</c:v>
                </c:pt>
                <c:pt idx="471">
                  <c:v>37566</c:v>
                </c:pt>
                <c:pt idx="472">
                  <c:v>37567</c:v>
                </c:pt>
                <c:pt idx="473">
                  <c:v>37568</c:v>
                </c:pt>
                <c:pt idx="474">
                  <c:v>37571</c:v>
                </c:pt>
                <c:pt idx="475">
                  <c:v>37572</c:v>
                </c:pt>
                <c:pt idx="476">
                  <c:v>37573</c:v>
                </c:pt>
                <c:pt idx="477">
                  <c:v>37574</c:v>
                </c:pt>
                <c:pt idx="478">
                  <c:v>37575</c:v>
                </c:pt>
                <c:pt idx="479">
                  <c:v>37578</c:v>
                </c:pt>
                <c:pt idx="480">
                  <c:v>37579</c:v>
                </c:pt>
                <c:pt idx="481">
                  <c:v>37580</c:v>
                </c:pt>
                <c:pt idx="482">
                  <c:v>37581</c:v>
                </c:pt>
                <c:pt idx="483">
                  <c:v>37582</c:v>
                </c:pt>
                <c:pt idx="484">
                  <c:v>37585</c:v>
                </c:pt>
                <c:pt idx="485">
                  <c:v>37586</c:v>
                </c:pt>
                <c:pt idx="486">
                  <c:v>37587</c:v>
                </c:pt>
                <c:pt idx="487">
                  <c:v>37588</c:v>
                </c:pt>
                <c:pt idx="488">
                  <c:v>37589</c:v>
                </c:pt>
                <c:pt idx="489">
                  <c:v>37592</c:v>
                </c:pt>
                <c:pt idx="490">
                  <c:v>37593</c:v>
                </c:pt>
                <c:pt idx="491">
                  <c:v>37594</c:v>
                </c:pt>
                <c:pt idx="492">
                  <c:v>37599</c:v>
                </c:pt>
                <c:pt idx="493">
                  <c:v>37600</c:v>
                </c:pt>
                <c:pt idx="494">
                  <c:v>37601</c:v>
                </c:pt>
                <c:pt idx="495">
                  <c:v>37602</c:v>
                </c:pt>
                <c:pt idx="496">
                  <c:v>37603</c:v>
                </c:pt>
                <c:pt idx="497">
                  <c:v>37606</c:v>
                </c:pt>
                <c:pt idx="498">
                  <c:v>37607</c:v>
                </c:pt>
                <c:pt idx="499">
                  <c:v>37608</c:v>
                </c:pt>
                <c:pt idx="500">
                  <c:v>37609</c:v>
                </c:pt>
                <c:pt idx="501">
                  <c:v>37610</c:v>
                </c:pt>
                <c:pt idx="502">
                  <c:v>37613</c:v>
                </c:pt>
                <c:pt idx="503">
                  <c:v>37614</c:v>
                </c:pt>
                <c:pt idx="504">
                  <c:v>37616</c:v>
                </c:pt>
                <c:pt idx="505">
                  <c:v>37617</c:v>
                </c:pt>
                <c:pt idx="506">
                  <c:v>37620</c:v>
                </c:pt>
                <c:pt idx="507">
                  <c:v>37621</c:v>
                </c:pt>
                <c:pt idx="508">
                  <c:v>37623</c:v>
                </c:pt>
                <c:pt idx="509">
                  <c:v>37624</c:v>
                </c:pt>
                <c:pt idx="510">
                  <c:v>37627</c:v>
                </c:pt>
                <c:pt idx="511">
                  <c:v>37628</c:v>
                </c:pt>
                <c:pt idx="512">
                  <c:v>37629</c:v>
                </c:pt>
                <c:pt idx="513">
                  <c:v>37630</c:v>
                </c:pt>
                <c:pt idx="514">
                  <c:v>37631</c:v>
                </c:pt>
                <c:pt idx="515">
                  <c:v>37634</c:v>
                </c:pt>
                <c:pt idx="516">
                  <c:v>37635</c:v>
                </c:pt>
                <c:pt idx="517">
                  <c:v>37636</c:v>
                </c:pt>
                <c:pt idx="518">
                  <c:v>37637</c:v>
                </c:pt>
                <c:pt idx="519">
                  <c:v>37638</c:v>
                </c:pt>
                <c:pt idx="520">
                  <c:v>37641</c:v>
                </c:pt>
                <c:pt idx="521">
                  <c:v>37642</c:v>
                </c:pt>
                <c:pt idx="522">
                  <c:v>37643</c:v>
                </c:pt>
                <c:pt idx="523">
                  <c:v>37644</c:v>
                </c:pt>
                <c:pt idx="524">
                  <c:v>37645</c:v>
                </c:pt>
                <c:pt idx="525">
                  <c:v>37648</c:v>
                </c:pt>
                <c:pt idx="526">
                  <c:v>37649</c:v>
                </c:pt>
                <c:pt idx="527">
                  <c:v>37650</c:v>
                </c:pt>
                <c:pt idx="528">
                  <c:v>37651</c:v>
                </c:pt>
                <c:pt idx="529">
                  <c:v>37657</c:v>
                </c:pt>
                <c:pt idx="530">
                  <c:v>37658</c:v>
                </c:pt>
                <c:pt idx="531">
                  <c:v>37659</c:v>
                </c:pt>
                <c:pt idx="532">
                  <c:v>37662</c:v>
                </c:pt>
                <c:pt idx="533">
                  <c:v>37663</c:v>
                </c:pt>
                <c:pt idx="534">
                  <c:v>37665</c:v>
                </c:pt>
                <c:pt idx="535">
                  <c:v>37666</c:v>
                </c:pt>
                <c:pt idx="536">
                  <c:v>37669</c:v>
                </c:pt>
                <c:pt idx="537">
                  <c:v>37670</c:v>
                </c:pt>
                <c:pt idx="538">
                  <c:v>37671</c:v>
                </c:pt>
                <c:pt idx="539">
                  <c:v>37672</c:v>
                </c:pt>
                <c:pt idx="540">
                  <c:v>37673</c:v>
                </c:pt>
                <c:pt idx="541">
                  <c:v>37676</c:v>
                </c:pt>
                <c:pt idx="542">
                  <c:v>37677</c:v>
                </c:pt>
                <c:pt idx="543">
                  <c:v>37678</c:v>
                </c:pt>
                <c:pt idx="544">
                  <c:v>37679</c:v>
                </c:pt>
                <c:pt idx="545">
                  <c:v>37680</c:v>
                </c:pt>
                <c:pt idx="546">
                  <c:v>37683</c:v>
                </c:pt>
                <c:pt idx="547">
                  <c:v>37685</c:v>
                </c:pt>
                <c:pt idx="548">
                  <c:v>37686</c:v>
                </c:pt>
                <c:pt idx="549">
                  <c:v>37687</c:v>
                </c:pt>
                <c:pt idx="550">
                  <c:v>37690</c:v>
                </c:pt>
                <c:pt idx="551">
                  <c:v>37691</c:v>
                </c:pt>
                <c:pt idx="552">
                  <c:v>37692</c:v>
                </c:pt>
                <c:pt idx="553">
                  <c:v>37693</c:v>
                </c:pt>
                <c:pt idx="554">
                  <c:v>37694</c:v>
                </c:pt>
                <c:pt idx="555">
                  <c:v>37697</c:v>
                </c:pt>
                <c:pt idx="556">
                  <c:v>37698</c:v>
                </c:pt>
                <c:pt idx="557">
                  <c:v>37699</c:v>
                </c:pt>
                <c:pt idx="558">
                  <c:v>37700</c:v>
                </c:pt>
                <c:pt idx="559">
                  <c:v>37701</c:v>
                </c:pt>
                <c:pt idx="560">
                  <c:v>37704</c:v>
                </c:pt>
                <c:pt idx="561">
                  <c:v>37705</c:v>
                </c:pt>
                <c:pt idx="562">
                  <c:v>37706</c:v>
                </c:pt>
                <c:pt idx="563">
                  <c:v>37707</c:v>
                </c:pt>
                <c:pt idx="564">
                  <c:v>37708</c:v>
                </c:pt>
                <c:pt idx="565">
                  <c:v>37711</c:v>
                </c:pt>
                <c:pt idx="566">
                  <c:v>37712</c:v>
                </c:pt>
                <c:pt idx="567">
                  <c:v>37713</c:v>
                </c:pt>
                <c:pt idx="568">
                  <c:v>37714</c:v>
                </c:pt>
                <c:pt idx="569">
                  <c:v>37715</c:v>
                </c:pt>
                <c:pt idx="570">
                  <c:v>37718</c:v>
                </c:pt>
                <c:pt idx="571">
                  <c:v>37719</c:v>
                </c:pt>
                <c:pt idx="572">
                  <c:v>37720</c:v>
                </c:pt>
                <c:pt idx="573">
                  <c:v>37721</c:v>
                </c:pt>
                <c:pt idx="574">
                  <c:v>37722</c:v>
                </c:pt>
                <c:pt idx="575">
                  <c:v>37725</c:v>
                </c:pt>
                <c:pt idx="576">
                  <c:v>37726</c:v>
                </c:pt>
                <c:pt idx="577">
                  <c:v>37727</c:v>
                </c:pt>
                <c:pt idx="578">
                  <c:v>37728</c:v>
                </c:pt>
                <c:pt idx="579">
                  <c:v>37729</c:v>
                </c:pt>
                <c:pt idx="580">
                  <c:v>37732</c:v>
                </c:pt>
                <c:pt idx="581">
                  <c:v>37733</c:v>
                </c:pt>
                <c:pt idx="582">
                  <c:v>37734</c:v>
                </c:pt>
                <c:pt idx="583">
                  <c:v>37735</c:v>
                </c:pt>
                <c:pt idx="584">
                  <c:v>37736</c:v>
                </c:pt>
                <c:pt idx="585">
                  <c:v>37739</c:v>
                </c:pt>
                <c:pt idx="586">
                  <c:v>37740</c:v>
                </c:pt>
                <c:pt idx="587">
                  <c:v>37743</c:v>
                </c:pt>
                <c:pt idx="588">
                  <c:v>37746</c:v>
                </c:pt>
                <c:pt idx="589">
                  <c:v>37747</c:v>
                </c:pt>
                <c:pt idx="590">
                  <c:v>37748</c:v>
                </c:pt>
                <c:pt idx="591">
                  <c:v>37749</c:v>
                </c:pt>
                <c:pt idx="592">
                  <c:v>37750</c:v>
                </c:pt>
                <c:pt idx="593">
                  <c:v>37753</c:v>
                </c:pt>
                <c:pt idx="594">
                  <c:v>37754</c:v>
                </c:pt>
                <c:pt idx="595">
                  <c:v>37757</c:v>
                </c:pt>
                <c:pt idx="596">
                  <c:v>37760</c:v>
                </c:pt>
                <c:pt idx="597">
                  <c:v>37761</c:v>
                </c:pt>
                <c:pt idx="598">
                  <c:v>37762</c:v>
                </c:pt>
                <c:pt idx="599">
                  <c:v>37763</c:v>
                </c:pt>
                <c:pt idx="600">
                  <c:v>37764</c:v>
                </c:pt>
                <c:pt idx="601">
                  <c:v>37767</c:v>
                </c:pt>
                <c:pt idx="602">
                  <c:v>37768</c:v>
                </c:pt>
                <c:pt idx="603">
                  <c:v>37769</c:v>
                </c:pt>
                <c:pt idx="604">
                  <c:v>37770</c:v>
                </c:pt>
                <c:pt idx="605">
                  <c:v>37771</c:v>
                </c:pt>
                <c:pt idx="606">
                  <c:v>37774</c:v>
                </c:pt>
                <c:pt idx="607">
                  <c:v>37775</c:v>
                </c:pt>
                <c:pt idx="608">
                  <c:v>37776</c:v>
                </c:pt>
                <c:pt idx="609">
                  <c:v>37777</c:v>
                </c:pt>
                <c:pt idx="610">
                  <c:v>37778</c:v>
                </c:pt>
                <c:pt idx="611">
                  <c:v>37781</c:v>
                </c:pt>
                <c:pt idx="612">
                  <c:v>37782</c:v>
                </c:pt>
                <c:pt idx="613">
                  <c:v>37783</c:v>
                </c:pt>
                <c:pt idx="614">
                  <c:v>37784</c:v>
                </c:pt>
                <c:pt idx="615">
                  <c:v>37785</c:v>
                </c:pt>
                <c:pt idx="616">
                  <c:v>37788</c:v>
                </c:pt>
                <c:pt idx="617">
                  <c:v>37789</c:v>
                </c:pt>
                <c:pt idx="618">
                  <c:v>37790</c:v>
                </c:pt>
                <c:pt idx="619">
                  <c:v>37791</c:v>
                </c:pt>
                <c:pt idx="620">
                  <c:v>37792</c:v>
                </c:pt>
                <c:pt idx="621">
                  <c:v>37795</c:v>
                </c:pt>
                <c:pt idx="622">
                  <c:v>37796</c:v>
                </c:pt>
                <c:pt idx="623">
                  <c:v>37797</c:v>
                </c:pt>
                <c:pt idx="624">
                  <c:v>37798</c:v>
                </c:pt>
                <c:pt idx="625">
                  <c:v>37799</c:v>
                </c:pt>
                <c:pt idx="626">
                  <c:v>37802</c:v>
                </c:pt>
                <c:pt idx="627">
                  <c:v>37803</c:v>
                </c:pt>
                <c:pt idx="628">
                  <c:v>37804</c:v>
                </c:pt>
                <c:pt idx="629">
                  <c:v>37805</c:v>
                </c:pt>
                <c:pt idx="630">
                  <c:v>37806</c:v>
                </c:pt>
                <c:pt idx="631">
                  <c:v>37809</c:v>
                </c:pt>
                <c:pt idx="632">
                  <c:v>37810</c:v>
                </c:pt>
                <c:pt idx="633">
                  <c:v>37811</c:v>
                </c:pt>
                <c:pt idx="634">
                  <c:v>37812</c:v>
                </c:pt>
                <c:pt idx="635">
                  <c:v>37813</c:v>
                </c:pt>
                <c:pt idx="636">
                  <c:v>37816</c:v>
                </c:pt>
                <c:pt idx="637">
                  <c:v>37817</c:v>
                </c:pt>
                <c:pt idx="638">
                  <c:v>37818</c:v>
                </c:pt>
                <c:pt idx="639">
                  <c:v>37819</c:v>
                </c:pt>
                <c:pt idx="640">
                  <c:v>37820</c:v>
                </c:pt>
                <c:pt idx="641">
                  <c:v>37823</c:v>
                </c:pt>
                <c:pt idx="642">
                  <c:v>37824</c:v>
                </c:pt>
                <c:pt idx="643">
                  <c:v>37825</c:v>
                </c:pt>
                <c:pt idx="644">
                  <c:v>37826</c:v>
                </c:pt>
                <c:pt idx="645">
                  <c:v>37827</c:v>
                </c:pt>
                <c:pt idx="646">
                  <c:v>37830</c:v>
                </c:pt>
                <c:pt idx="647">
                  <c:v>37831</c:v>
                </c:pt>
                <c:pt idx="648">
                  <c:v>37832</c:v>
                </c:pt>
                <c:pt idx="649">
                  <c:v>37833</c:v>
                </c:pt>
                <c:pt idx="650">
                  <c:v>37834</c:v>
                </c:pt>
                <c:pt idx="651">
                  <c:v>37837</c:v>
                </c:pt>
                <c:pt idx="652">
                  <c:v>37838</c:v>
                </c:pt>
                <c:pt idx="653">
                  <c:v>37839</c:v>
                </c:pt>
                <c:pt idx="654">
                  <c:v>37840</c:v>
                </c:pt>
                <c:pt idx="655">
                  <c:v>37841</c:v>
                </c:pt>
                <c:pt idx="656">
                  <c:v>37844</c:v>
                </c:pt>
                <c:pt idx="657">
                  <c:v>37845</c:v>
                </c:pt>
                <c:pt idx="658">
                  <c:v>37846</c:v>
                </c:pt>
                <c:pt idx="659">
                  <c:v>37847</c:v>
                </c:pt>
                <c:pt idx="660">
                  <c:v>37848</c:v>
                </c:pt>
                <c:pt idx="661">
                  <c:v>37851</c:v>
                </c:pt>
                <c:pt idx="662">
                  <c:v>37852</c:v>
                </c:pt>
                <c:pt idx="663">
                  <c:v>37853</c:v>
                </c:pt>
                <c:pt idx="664">
                  <c:v>37854</c:v>
                </c:pt>
                <c:pt idx="665">
                  <c:v>37855</c:v>
                </c:pt>
                <c:pt idx="666">
                  <c:v>37858</c:v>
                </c:pt>
                <c:pt idx="667">
                  <c:v>37859</c:v>
                </c:pt>
                <c:pt idx="668">
                  <c:v>37860</c:v>
                </c:pt>
                <c:pt idx="669">
                  <c:v>37861</c:v>
                </c:pt>
                <c:pt idx="670">
                  <c:v>37862</c:v>
                </c:pt>
                <c:pt idx="671">
                  <c:v>37866</c:v>
                </c:pt>
                <c:pt idx="672">
                  <c:v>37867</c:v>
                </c:pt>
                <c:pt idx="673">
                  <c:v>37868</c:v>
                </c:pt>
                <c:pt idx="674">
                  <c:v>37869</c:v>
                </c:pt>
                <c:pt idx="675">
                  <c:v>37872</c:v>
                </c:pt>
                <c:pt idx="676">
                  <c:v>37873</c:v>
                </c:pt>
                <c:pt idx="677">
                  <c:v>37874</c:v>
                </c:pt>
                <c:pt idx="678">
                  <c:v>37875</c:v>
                </c:pt>
                <c:pt idx="679">
                  <c:v>37876</c:v>
                </c:pt>
                <c:pt idx="680">
                  <c:v>37879</c:v>
                </c:pt>
                <c:pt idx="681">
                  <c:v>37880</c:v>
                </c:pt>
                <c:pt idx="682">
                  <c:v>37881</c:v>
                </c:pt>
                <c:pt idx="683">
                  <c:v>37882</c:v>
                </c:pt>
                <c:pt idx="684">
                  <c:v>37883</c:v>
                </c:pt>
                <c:pt idx="685">
                  <c:v>37886</c:v>
                </c:pt>
                <c:pt idx="686">
                  <c:v>37887</c:v>
                </c:pt>
                <c:pt idx="687">
                  <c:v>37888</c:v>
                </c:pt>
                <c:pt idx="688">
                  <c:v>37889</c:v>
                </c:pt>
                <c:pt idx="689">
                  <c:v>37890</c:v>
                </c:pt>
                <c:pt idx="690">
                  <c:v>37893</c:v>
                </c:pt>
                <c:pt idx="691">
                  <c:v>37894</c:v>
                </c:pt>
                <c:pt idx="692">
                  <c:v>37895</c:v>
                </c:pt>
                <c:pt idx="693">
                  <c:v>37896</c:v>
                </c:pt>
                <c:pt idx="694">
                  <c:v>37897</c:v>
                </c:pt>
                <c:pt idx="695">
                  <c:v>37900</c:v>
                </c:pt>
                <c:pt idx="696">
                  <c:v>37901</c:v>
                </c:pt>
                <c:pt idx="697">
                  <c:v>37902</c:v>
                </c:pt>
                <c:pt idx="698">
                  <c:v>37903</c:v>
                </c:pt>
                <c:pt idx="699">
                  <c:v>37904</c:v>
                </c:pt>
                <c:pt idx="700">
                  <c:v>37907</c:v>
                </c:pt>
                <c:pt idx="701">
                  <c:v>37908</c:v>
                </c:pt>
                <c:pt idx="702">
                  <c:v>37909</c:v>
                </c:pt>
                <c:pt idx="703">
                  <c:v>37910</c:v>
                </c:pt>
                <c:pt idx="704">
                  <c:v>37911</c:v>
                </c:pt>
                <c:pt idx="705">
                  <c:v>37914</c:v>
                </c:pt>
                <c:pt idx="706">
                  <c:v>37915</c:v>
                </c:pt>
                <c:pt idx="707">
                  <c:v>37916</c:v>
                </c:pt>
                <c:pt idx="708">
                  <c:v>37917</c:v>
                </c:pt>
                <c:pt idx="709">
                  <c:v>37921</c:v>
                </c:pt>
                <c:pt idx="710">
                  <c:v>37922</c:v>
                </c:pt>
                <c:pt idx="711">
                  <c:v>37923</c:v>
                </c:pt>
                <c:pt idx="712">
                  <c:v>37924</c:v>
                </c:pt>
                <c:pt idx="713">
                  <c:v>37925</c:v>
                </c:pt>
                <c:pt idx="714">
                  <c:v>37928</c:v>
                </c:pt>
                <c:pt idx="715">
                  <c:v>37929</c:v>
                </c:pt>
                <c:pt idx="716">
                  <c:v>37930</c:v>
                </c:pt>
                <c:pt idx="717">
                  <c:v>37931</c:v>
                </c:pt>
                <c:pt idx="718">
                  <c:v>37932</c:v>
                </c:pt>
                <c:pt idx="719">
                  <c:v>37935</c:v>
                </c:pt>
                <c:pt idx="720">
                  <c:v>37936</c:v>
                </c:pt>
                <c:pt idx="721">
                  <c:v>37937</c:v>
                </c:pt>
                <c:pt idx="722">
                  <c:v>37938</c:v>
                </c:pt>
                <c:pt idx="723">
                  <c:v>37939</c:v>
                </c:pt>
                <c:pt idx="724">
                  <c:v>37942</c:v>
                </c:pt>
                <c:pt idx="725">
                  <c:v>37943</c:v>
                </c:pt>
                <c:pt idx="726">
                  <c:v>37944</c:v>
                </c:pt>
                <c:pt idx="727">
                  <c:v>37945</c:v>
                </c:pt>
                <c:pt idx="728">
                  <c:v>37946</c:v>
                </c:pt>
                <c:pt idx="729">
                  <c:v>37952</c:v>
                </c:pt>
                <c:pt idx="730">
                  <c:v>37953</c:v>
                </c:pt>
                <c:pt idx="731">
                  <c:v>37956</c:v>
                </c:pt>
                <c:pt idx="732">
                  <c:v>37957</c:v>
                </c:pt>
                <c:pt idx="733">
                  <c:v>37958</c:v>
                </c:pt>
                <c:pt idx="734">
                  <c:v>37959</c:v>
                </c:pt>
                <c:pt idx="735">
                  <c:v>37960</c:v>
                </c:pt>
                <c:pt idx="736">
                  <c:v>37963</c:v>
                </c:pt>
                <c:pt idx="737">
                  <c:v>37964</c:v>
                </c:pt>
                <c:pt idx="738">
                  <c:v>37965</c:v>
                </c:pt>
                <c:pt idx="739">
                  <c:v>37966</c:v>
                </c:pt>
                <c:pt idx="740">
                  <c:v>37967</c:v>
                </c:pt>
                <c:pt idx="741">
                  <c:v>37970</c:v>
                </c:pt>
                <c:pt idx="742">
                  <c:v>37971</c:v>
                </c:pt>
                <c:pt idx="743">
                  <c:v>37972</c:v>
                </c:pt>
                <c:pt idx="744">
                  <c:v>37973</c:v>
                </c:pt>
                <c:pt idx="745">
                  <c:v>37974</c:v>
                </c:pt>
                <c:pt idx="746">
                  <c:v>37977</c:v>
                </c:pt>
                <c:pt idx="747">
                  <c:v>37978</c:v>
                </c:pt>
                <c:pt idx="748">
                  <c:v>37979</c:v>
                </c:pt>
                <c:pt idx="749">
                  <c:v>37981</c:v>
                </c:pt>
                <c:pt idx="750">
                  <c:v>37984</c:v>
                </c:pt>
                <c:pt idx="751">
                  <c:v>37985</c:v>
                </c:pt>
                <c:pt idx="752">
                  <c:v>37986</c:v>
                </c:pt>
                <c:pt idx="753">
                  <c:v>37988</c:v>
                </c:pt>
                <c:pt idx="754">
                  <c:v>37991</c:v>
                </c:pt>
                <c:pt idx="755">
                  <c:v>37992</c:v>
                </c:pt>
                <c:pt idx="756">
                  <c:v>37993</c:v>
                </c:pt>
                <c:pt idx="757">
                  <c:v>37994</c:v>
                </c:pt>
                <c:pt idx="758">
                  <c:v>37995</c:v>
                </c:pt>
                <c:pt idx="759">
                  <c:v>37998</c:v>
                </c:pt>
                <c:pt idx="760">
                  <c:v>37999</c:v>
                </c:pt>
                <c:pt idx="761">
                  <c:v>38000</c:v>
                </c:pt>
              </c:numCache>
            </c:numRef>
          </c:cat>
          <c:val>
            <c:numRef>
              <c:f>[1]OKLI!$B$2:$B$763</c:f>
              <c:numCache>
                <c:formatCode>General</c:formatCode>
                <c:ptCount val="762"/>
                <c:pt idx="0">
                  <c:v>105</c:v>
                </c:pt>
                <c:pt idx="1">
                  <c:v>17</c:v>
                </c:pt>
                <c:pt idx="2">
                  <c:v>3</c:v>
                </c:pt>
                <c:pt idx="3">
                  <c:v>35</c:v>
                </c:pt>
                <c:pt idx="4">
                  <c:v>5</c:v>
                </c:pt>
                <c:pt idx="5">
                  <c:v>18</c:v>
                </c:pt>
                <c:pt idx="6">
                  <c:v>3</c:v>
                </c:pt>
                <c:pt idx="7">
                  <c:v>4</c:v>
                </c:pt>
                <c:pt idx="8">
                  <c:v>12</c:v>
                </c:pt>
                <c:pt idx="9">
                  <c:v>7</c:v>
                </c:pt>
                <c:pt idx="10">
                  <c:v>63</c:v>
                </c:pt>
                <c:pt idx="11">
                  <c:v>28</c:v>
                </c:pt>
                <c:pt idx="12">
                  <c:v>12</c:v>
                </c:pt>
                <c:pt idx="13">
                  <c:v>14</c:v>
                </c:pt>
                <c:pt idx="14">
                  <c:v>2</c:v>
                </c:pt>
                <c:pt idx="15">
                  <c:v>11</c:v>
                </c:pt>
                <c:pt idx="16">
                  <c:v>10</c:v>
                </c:pt>
                <c:pt idx="17">
                  <c:v>32</c:v>
                </c:pt>
                <c:pt idx="18">
                  <c:v>4</c:v>
                </c:pt>
                <c:pt idx="19">
                  <c:v>2</c:v>
                </c:pt>
                <c:pt idx="20">
                  <c:v>11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0</c:v>
                </c:pt>
                <c:pt idx="30">
                  <c:v>1</c:v>
                </c:pt>
                <c:pt idx="31">
                  <c:v>10</c:v>
                </c:pt>
                <c:pt idx="32">
                  <c:v>0</c:v>
                </c:pt>
                <c:pt idx="33">
                  <c:v>2</c:v>
                </c:pt>
                <c:pt idx="34">
                  <c:v>7</c:v>
                </c:pt>
                <c:pt idx="35">
                  <c:v>2</c:v>
                </c:pt>
                <c:pt idx="36">
                  <c:v>10</c:v>
                </c:pt>
                <c:pt idx="37">
                  <c:v>14</c:v>
                </c:pt>
                <c:pt idx="38">
                  <c:v>3</c:v>
                </c:pt>
                <c:pt idx="39">
                  <c:v>5</c:v>
                </c:pt>
                <c:pt idx="40">
                  <c:v>28</c:v>
                </c:pt>
                <c:pt idx="41">
                  <c:v>34</c:v>
                </c:pt>
                <c:pt idx="42">
                  <c:v>21</c:v>
                </c:pt>
                <c:pt idx="43">
                  <c:v>11</c:v>
                </c:pt>
                <c:pt idx="44">
                  <c:v>14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5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24</c:v>
                </c:pt>
                <c:pt idx="56">
                  <c:v>19</c:v>
                </c:pt>
                <c:pt idx="57">
                  <c:v>13</c:v>
                </c:pt>
                <c:pt idx="58">
                  <c:v>5</c:v>
                </c:pt>
                <c:pt idx="59">
                  <c:v>5</c:v>
                </c:pt>
                <c:pt idx="60">
                  <c:v>15</c:v>
                </c:pt>
                <c:pt idx="61">
                  <c:v>8</c:v>
                </c:pt>
                <c:pt idx="62">
                  <c:v>6</c:v>
                </c:pt>
                <c:pt idx="63">
                  <c:v>5</c:v>
                </c:pt>
                <c:pt idx="64">
                  <c:v>11</c:v>
                </c:pt>
                <c:pt idx="65">
                  <c:v>6</c:v>
                </c:pt>
                <c:pt idx="66">
                  <c:v>8</c:v>
                </c:pt>
                <c:pt idx="67">
                  <c:v>12</c:v>
                </c:pt>
                <c:pt idx="68">
                  <c:v>0</c:v>
                </c:pt>
                <c:pt idx="69">
                  <c:v>1</c:v>
                </c:pt>
                <c:pt idx="70">
                  <c:v>7</c:v>
                </c:pt>
                <c:pt idx="71">
                  <c:v>13</c:v>
                </c:pt>
                <c:pt idx="72">
                  <c:v>3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1</c:v>
                </c:pt>
                <c:pt idx="78">
                  <c:v>0</c:v>
                </c:pt>
                <c:pt idx="79">
                  <c:v>9</c:v>
                </c:pt>
                <c:pt idx="80">
                  <c:v>13</c:v>
                </c:pt>
                <c:pt idx="81">
                  <c:v>11</c:v>
                </c:pt>
                <c:pt idx="82">
                  <c:v>2</c:v>
                </c:pt>
                <c:pt idx="83">
                  <c:v>3</c:v>
                </c:pt>
                <c:pt idx="84">
                  <c:v>2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1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1</c:v>
                </c:pt>
                <c:pt idx="93">
                  <c:v>0</c:v>
                </c:pt>
                <c:pt idx="94">
                  <c:v>2</c:v>
                </c:pt>
                <c:pt idx="95">
                  <c:v>2</c:v>
                </c:pt>
                <c:pt idx="96">
                  <c:v>5</c:v>
                </c:pt>
                <c:pt idx="97">
                  <c:v>3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3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</c:numCache>
            </c:numRef>
          </c:val>
        </c:ser>
        <c:gapWidth val="0"/>
        <c:axId val="134555904"/>
        <c:axId val="134565888"/>
      </c:barChart>
      <c:lineChart>
        <c:grouping val="standard"/>
        <c:ser>
          <c:idx val="0"/>
          <c:order val="1"/>
          <c:tx>
            <c:strRef>
              <c:f>[1]OKLI!$C$1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[1]OKLI!$A$2:$A$763</c:f>
              <c:numCache>
                <c:formatCode>General</c:formatCode>
                <c:ptCount val="762"/>
                <c:pt idx="0">
                  <c:v>36861</c:v>
                </c:pt>
                <c:pt idx="1">
                  <c:v>36864</c:v>
                </c:pt>
                <c:pt idx="2">
                  <c:v>36865</c:v>
                </c:pt>
                <c:pt idx="3">
                  <c:v>36866</c:v>
                </c:pt>
                <c:pt idx="4">
                  <c:v>36867</c:v>
                </c:pt>
                <c:pt idx="5">
                  <c:v>36868</c:v>
                </c:pt>
                <c:pt idx="6">
                  <c:v>36871</c:v>
                </c:pt>
                <c:pt idx="7">
                  <c:v>36872</c:v>
                </c:pt>
                <c:pt idx="8">
                  <c:v>36873</c:v>
                </c:pt>
                <c:pt idx="9">
                  <c:v>36874</c:v>
                </c:pt>
                <c:pt idx="10">
                  <c:v>36875</c:v>
                </c:pt>
                <c:pt idx="11">
                  <c:v>36878</c:v>
                </c:pt>
                <c:pt idx="12">
                  <c:v>36879</c:v>
                </c:pt>
                <c:pt idx="13">
                  <c:v>36880</c:v>
                </c:pt>
                <c:pt idx="14">
                  <c:v>36881</c:v>
                </c:pt>
                <c:pt idx="15">
                  <c:v>36882</c:v>
                </c:pt>
                <c:pt idx="16">
                  <c:v>36886</c:v>
                </c:pt>
                <c:pt idx="17">
                  <c:v>36893</c:v>
                </c:pt>
                <c:pt idx="18">
                  <c:v>36894</c:v>
                </c:pt>
                <c:pt idx="19">
                  <c:v>36895</c:v>
                </c:pt>
                <c:pt idx="20">
                  <c:v>36896</c:v>
                </c:pt>
                <c:pt idx="21">
                  <c:v>36899</c:v>
                </c:pt>
                <c:pt idx="22">
                  <c:v>36900</c:v>
                </c:pt>
                <c:pt idx="23">
                  <c:v>36901</c:v>
                </c:pt>
                <c:pt idx="24">
                  <c:v>36902</c:v>
                </c:pt>
                <c:pt idx="25">
                  <c:v>36903</c:v>
                </c:pt>
                <c:pt idx="26">
                  <c:v>36906</c:v>
                </c:pt>
                <c:pt idx="27">
                  <c:v>36907</c:v>
                </c:pt>
                <c:pt idx="28">
                  <c:v>36908</c:v>
                </c:pt>
                <c:pt idx="29">
                  <c:v>36909</c:v>
                </c:pt>
                <c:pt idx="30">
                  <c:v>36910</c:v>
                </c:pt>
                <c:pt idx="31">
                  <c:v>36913</c:v>
                </c:pt>
                <c:pt idx="32">
                  <c:v>36917</c:v>
                </c:pt>
                <c:pt idx="33">
                  <c:v>36920</c:v>
                </c:pt>
                <c:pt idx="34">
                  <c:v>36921</c:v>
                </c:pt>
                <c:pt idx="35">
                  <c:v>36922</c:v>
                </c:pt>
                <c:pt idx="36">
                  <c:v>36924</c:v>
                </c:pt>
                <c:pt idx="37">
                  <c:v>36927</c:v>
                </c:pt>
                <c:pt idx="38">
                  <c:v>36928</c:v>
                </c:pt>
                <c:pt idx="39">
                  <c:v>36929</c:v>
                </c:pt>
                <c:pt idx="40">
                  <c:v>36930</c:v>
                </c:pt>
                <c:pt idx="41">
                  <c:v>36931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36941</c:v>
                </c:pt>
                <c:pt idx="48">
                  <c:v>36942</c:v>
                </c:pt>
                <c:pt idx="49">
                  <c:v>36943</c:v>
                </c:pt>
                <c:pt idx="50">
                  <c:v>36944</c:v>
                </c:pt>
                <c:pt idx="51">
                  <c:v>36945</c:v>
                </c:pt>
                <c:pt idx="52">
                  <c:v>36948</c:v>
                </c:pt>
                <c:pt idx="53">
                  <c:v>36949</c:v>
                </c:pt>
                <c:pt idx="54">
                  <c:v>36950</c:v>
                </c:pt>
                <c:pt idx="55">
                  <c:v>36951</c:v>
                </c:pt>
                <c:pt idx="56">
                  <c:v>36952</c:v>
                </c:pt>
                <c:pt idx="57">
                  <c:v>36955</c:v>
                </c:pt>
                <c:pt idx="58">
                  <c:v>36957</c:v>
                </c:pt>
                <c:pt idx="59">
                  <c:v>36958</c:v>
                </c:pt>
                <c:pt idx="60">
                  <c:v>36959</c:v>
                </c:pt>
                <c:pt idx="61">
                  <c:v>36962</c:v>
                </c:pt>
                <c:pt idx="62">
                  <c:v>36963</c:v>
                </c:pt>
                <c:pt idx="63">
                  <c:v>36964</c:v>
                </c:pt>
                <c:pt idx="64">
                  <c:v>36965</c:v>
                </c:pt>
                <c:pt idx="65">
                  <c:v>36966</c:v>
                </c:pt>
                <c:pt idx="66">
                  <c:v>36969</c:v>
                </c:pt>
                <c:pt idx="67">
                  <c:v>36970</c:v>
                </c:pt>
                <c:pt idx="68">
                  <c:v>36971</c:v>
                </c:pt>
                <c:pt idx="69">
                  <c:v>36972</c:v>
                </c:pt>
                <c:pt idx="70">
                  <c:v>36973</c:v>
                </c:pt>
                <c:pt idx="71">
                  <c:v>36977</c:v>
                </c:pt>
                <c:pt idx="72">
                  <c:v>36978</c:v>
                </c:pt>
                <c:pt idx="73">
                  <c:v>36979</c:v>
                </c:pt>
                <c:pt idx="74">
                  <c:v>36980</c:v>
                </c:pt>
                <c:pt idx="75">
                  <c:v>36983</c:v>
                </c:pt>
                <c:pt idx="76">
                  <c:v>36984</c:v>
                </c:pt>
                <c:pt idx="77">
                  <c:v>36985</c:v>
                </c:pt>
                <c:pt idx="78">
                  <c:v>36986</c:v>
                </c:pt>
                <c:pt idx="79">
                  <c:v>36987</c:v>
                </c:pt>
                <c:pt idx="80">
                  <c:v>36990</c:v>
                </c:pt>
                <c:pt idx="81">
                  <c:v>36991</c:v>
                </c:pt>
                <c:pt idx="82">
                  <c:v>36992</c:v>
                </c:pt>
                <c:pt idx="83">
                  <c:v>36993</c:v>
                </c:pt>
                <c:pt idx="84">
                  <c:v>36994</c:v>
                </c:pt>
                <c:pt idx="85">
                  <c:v>36997</c:v>
                </c:pt>
                <c:pt idx="86">
                  <c:v>36998</c:v>
                </c:pt>
                <c:pt idx="87">
                  <c:v>36999</c:v>
                </c:pt>
                <c:pt idx="88">
                  <c:v>37000</c:v>
                </c:pt>
                <c:pt idx="89">
                  <c:v>37001</c:v>
                </c:pt>
                <c:pt idx="90">
                  <c:v>37004</c:v>
                </c:pt>
                <c:pt idx="91">
                  <c:v>37005</c:v>
                </c:pt>
                <c:pt idx="92">
                  <c:v>37006</c:v>
                </c:pt>
                <c:pt idx="93">
                  <c:v>37007</c:v>
                </c:pt>
                <c:pt idx="94">
                  <c:v>37008</c:v>
                </c:pt>
                <c:pt idx="95">
                  <c:v>37011</c:v>
                </c:pt>
                <c:pt idx="96">
                  <c:v>37013</c:v>
                </c:pt>
                <c:pt idx="97">
                  <c:v>37014</c:v>
                </c:pt>
                <c:pt idx="98">
                  <c:v>37015</c:v>
                </c:pt>
                <c:pt idx="99">
                  <c:v>37019</c:v>
                </c:pt>
                <c:pt idx="100">
                  <c:v>37020</c:v>
                </c:pt>
                <c:pt idx="101">
                  <c:v>37021</c:v>
                </c:pt>
                <c:pt idx="102">
                  <c:v>37022</c:v>
                </c:pt>
                <c:pt idx="103">
                  <c:v>37025</c:v>
                </c:pt>
                <c:pt idx="104">
                  <c:v>37026</c:v>
                </c:pt>
                <c:pt idx="105">
                  <c:v>37027</c:v>
                </c:pt>
                <c:pt idx="106">
                  <c:v>37028</c:v>
                </c:pt>
                <c:pt idx="107">
                  <c:v>37029</c:v>
                </c:pt>
                <c:pt idx="108">
                  <c:v>37032</c:v>
                </c:pt>
                <c:pt idx="109">
                  <c:v>37033</c:v>
                </c:pt>
                <c:pt idx="110">
                  <c:v>37034</c:v>
                </c:pt>
                <c:pt idx="111">
                  <c:v>37035</c:v>
                </c:pt>
                <c:pt idx="112">
                  <c:v>37036</c:v>
                </c:pt>
                <c:pt idx="113">
                  <c:v>37039</c:v>
                </c:pt>
                <c:pt idx="114">
                  <c:v>37040</c:v>
                </c:pt>
                <c:pt idx="115">
                  <c:v>37041</c:v>
                </c:pt>
                <c:pt idx="116">
                  <c:v>37042</c:v>
                </c:pt>
                <c:pt idx="117">
                  <c:v>37043</c:v>
                </c:pt>
                <c:pt idx="118">
                  <c:v>37047</c:v>
                </c:pt>
                <c:pt idx="119">
                  <c:v>37048</c:v>
                </c:pt>
                <c:pt idx="120">
                  <c:v>37049</c:v>
                </c:pt>
                <c:pt idx="121">
                  <c:v>37050</c:v>
                </c:pt>
                <c:pt idx="122">
                  <c:v>37053</c:v>
                </c:pt>
                <c:pt idx="123">
                  <c:v>37054</c:v>
                </c:pt>
                <c:pt idx="124">
                  <c:v>37055</c:v>
                </c:pt>
                <c:pt idx="125">
                  <c:v>37056</c:v>
                </c:pt>
                <c:pt idx="126">
                  <c:v>37057</c:v>
                </c:pt>
                <c:pt idx="127">
                  <c:v>37060</c:v>
                </c:pt>
                <c:pt idx="128">
                  <c:v>37061</c:v>
                </c:pt>
                <c:pt idx="129">
                  <c:v>37062</c:v>
                </c:pt>
                <c:pt idx="130">
                  <c:v>37063</c:v>
                </c:pt>
                <c:pt idx="131">
                  <c:v>37064</c:v>
                </c:pt>
                <c:pt idx="132">
                  <c:v>37067</c:v>
                </c:pt>
                <c:pt idx="133">
                  <c:v>37068</c:v>
                </c:pt>
                <c:pt idx="134">
                  <c:v>37069</c:v>
                </c:pt>
                <c:pt idx="135">
                  <c:v>37070</c:v>
                </c:pt>
                <c:pt idx="136">
                  <c:v>37071</c:v>
                </c:pt>
                <c:pt idx="137">
                  <c:v>37074</c:v>
                </c:pt>
                <c:pt idx="138">
                  <c:v>37075</c:v>
                </c:pt>
                <c:pt idx="139">
                  <c:v>37076</c:v>
                </c:pt>
                <c:pt idx="140">
                  <c:v>37077</c:v>
                </c:pt>
                <c:pt idx="141">
                  <c:v>37078</c:v>
                </c:pt>
                <c:pt idx="142">
                  <c:v>37081</c:v>
                </c:pt>
                <c:pt idx="143">
                  <c:v>37082</c:v>
                </c:pt>
                <c:pt idx="144">
                  <c:v>37083</c:v>
                </c:pt>
                <c:pt idx="145">
                  <c:v>37084</c:v>
                </c:pt>
                <c:pt idx="146">
                  <c:v>37085</c:v>
                </c:pt>
                <c:pt idx="147">
                  <c:v>37088</c:v>
                </c:pt>
                <c:pt idx="148">
                  <c:v>37089</c:v>
                </c:pt>
                <c:pt idx="149">
                  <c:v>37090</c:v>
                </c:pt>
                <c:pt idx="150">
                  <c:v>37091</c:v>
                </c:pt>
                <c:pt idx="151">
                  <c:v>37092</c:v>
                </c:pt>
                <c:pt idx="152">
                  <c:v>37095</c:v>
                </c:pt>
                <c:pt idx="153">
                  <c:v>37096</c:v>
                </c:pt>
                <c:pt idx="154">
                  <c:v>37097</c:v>
                </c:pt>
                <c:pt idx="155">
                  <c:v>37098</c:v>
                </c:pt>
                <c:pt idx="156">
                  <c:v>37099</c:v>
                </c:pt>
                <c:pt idx="157">
                  <c:v>37102</c:v>
                </c:pt>
                <c:pt idx="158">
                  <c:v>37103</c:v>
                </c:pt>
                <c:pt idx="159">
                  <c:v>37104</c:v>
                </c:pt>
                <c:pt idx="160">
                  <c:v>37105</c:v>
                </c:pt>
                <c:pt idx="161">
                  <c:v>37106</c:v>
                </c:pt>
                <c:pt idx="162">
                  <c:v>37109</c:v>
                </c:pt>
                <c:pt idx="163">
                  <c:v>37110</c:v>
                </c:pt>
                <c:pt idx="164">
                  <c:v>37111</c:v>
                </c:pt>
                <c:pt idx="165">
                  <c:v>37112</c:v>
                </c:pt>
                <c:pt idx="166">
                  <c:v>37113</c:v>
                </c:pt>
                <c:pt idx="167">
                  <c:v>37116</c:v>
                </c:pt>
                <c:pt idx="168">
                  <c:v>37117</c:v>
                </c:pt>
                <c:pt idx="169">
                  <c:v>37118</c:v>
                </c:pt>
                <c:pt idx="170">
                  <c:v>37119</c:v>
                </c:pt>
                <c:pt idx="171">
                  <c:v>37120</c:v>
                </c:pt>
                <c:pt idx="172">
                  <c:v>37123</c:v>
                </c:pt>
                <c:pt idx="173">
                  <c:v>37124</c:v>
                </c:pt>
                <c:pt idx="174">
                  <c:v>37125</c:v>
                </c:pt>
                <c:pt idx="175">
                  <c:v>37126</c:v>
                </c:pt>
                <c:pt idx="176">
                  <c:v>37127</c:v>
                </c:pt>
                <c:pt idx="177">
                  <c:v>37130</c:v>
                </c:pt>
                <c:pt idx="178">
                  <c:v>37131</c:v>
                </c:pt>
                <c:pt idx="179">
                  <c:v>37132</c:v>
                </c:pt>
                <c:pt idx="180">
                  <c:v>37133</c:v>
                </c:pt>
                <c:pt idx="181">
                  <c:v>37137</c:v>
                </c:pt>
                <c:pt idx="182">
                  <c:v>37138</c:v>
                </c:pt>
                <c:pt idx="183">
                  <c:v>37139</c:v>
                </c:pt>
                <c:pt idx="184">
                  <c:v>37140</c:v>
                </c:pt>
                <c:pt idx="185">
                  <c:v>37141</c:v>
                </c:pt>
                <c:pt idx="186">
                  <c:v>37144</c:v>
                </c:pt>
                <c:pt idx="187">
                  <c:v>37145</c:v>
                </c:pt>
                <c:pt idx="188">
                  <c:v>37147</c:v>
                </c:pt>
                <c:pt idx="189">
                  <c:v>37148</c:v>
                </c:pt>
                <c:pt idx="190">
                  <c:v>37151</c:v>
                </c:pt>
                <c:pt idx="191">
                  <c:v>37152</c:v>
                </c:pt>
                <c:pt idx="192">
                  <c:v>37153</c:v>
                </c:pt>
                <c:pt idx="193">
                  <c:v>37154</c:v>
                </c:pt>
                <c:pt idx="194">
                  <c:v>37155</c:v>
                </c:pt>
                <c:pt idx="195">
                  <c:v>37158</c:v>
                </c:pt>
                <c:pt idx="196">
                  <c:v>37159</c:v>
                </c:pt>
                <c:pt idx="197">
                  <c:v>37160</c:v>
                </c:pt>
                <c:pt idx="198">
                  <c:v>37161</c:v>
                </c:pt>
                <c:pt idx="199">
                  <c:v>37162</c:v>
                </c:pt>
                <c:pt idx="200">
                  <c:v>37165</c:v>
                </c:pt>
                <c:pt idx="201">
                  <c:v>37166</c:v>
                </c:pt>
                <c:pt idx="202">
                  <c:v>37167</c:v>
                </c:pt>
                <c:pt idx="203">
                  <c:v>37168</c:v>
                </c:pt>
                <c:pt idx="204">
                  <c:v>37169</c:v>
                </c:pt>
                <c:pt idx="205">
                  <c:v>37172</c:v>
                </c:pt>
                <c:pt idx="206">
                  <c:v>37173</c:v>
                </c:pt>
                <c:pt idx="207">
                  <c:v>37174</c:v>
                </c:pt>
                <c:pt idx="208">
                  <c:v>37175</c:v>
                </c:pt>
                <c:pt idx="209">
                  <c:v>37176</c:v>
                </c:pt>
                <c:pt idx="210">
                  <c:v>37179</c:v>
                </c:pt>
                <c:pt idx="211">
                  <c:v>37180</c:v>
                </c:pt>
                <c:pt idx="212">
                  <c:v>37181</c:v>
                </c:pt>
                <c:pt idx="213">
                  <c:v>37182</c:v>
                </c:pt>
                <c:pt idx="214">
                  <c:v>37183</c:v>
                </c:pt>
                <c:pt idx="215">
                  <c:v>37186</c:v>
                </c:pt>
                <c:pt idx="216">
                  <c:v>37187</c:v>
                </c:pt>
                <c:pt idx="217">
                  <c:v>37188</c:v>
                </c:pt>
                <c:pt idx="218">
                  <c:v>37189</c:v>
                </c:pt>
                <c:pt idx="219">
                  <c:v>37190</c:v>
                </c:pt>
                <c:pt idx="220">
                  <c:v>37193</c:v>
                </c:pt>
                <c:pt idx="221">
                  <c:v>37194</c:v>
                </c:pt>
                <c:pt idx="222">
                  <c:v>37195</c:v>
                </c:pt>
                <c:pt idx="223">
                  <c:v>37196</c:v>
                </c:pt>
                <c:pt idx="224">
                  <c:v>37197</c:v>
                </c:pt>
                <c:pt idx="225">
                  <c:v>37200</c:v>
                </c:pt>
                <c:pt idx="226">
                  <c:v>37201</c:v>
                </c:pt>
                <c:pt idx="227">
                  <c:v>37202</c:v>
                </c:pt>
                <c:pt idx="228">
                  <c:v>37203</c:v>
                </c:pt>
                <c:pt idx="229">
                  <c:v>37204</c:v>
                </c:pt>
                <c:pt idx="230">
                  <c:v>37207</c:v>
                </c:pt>
                <c:pt idx="231">
                  <c:v>37208</c:v>
                </c:pt>
                <c:pt idx="232">
                  <c:v>37210</c:v>
                </c:pt>
                <c:pt idx="233">
                  <c:v>37211</c:v>
                </c:pt>
                <c:pt idx="234">
                  <c:v>37214</c:v>
                </c:pt>
                <c:pt idx="235">
                  <c:v>37215</c:v>
                </c:pt>
                <c:pt idx="236">
                  <c:v>37216</c:v>
                </c:pt>
                <c:pt idx="237">
                  <c:v>37218</c:v>
                </c:pt>
                <c:pt idx="238">
                  <c:v>37221</c:v>
                </c:pt>
                <c:pt idx="239">
                  <c:v>37222</c:v>
                </c:pt>
                <c:pt idx="240">
                  <c:v>37223</c:v>
                </c:pt>
                <c:pt idx="241">
                  <c:v>37224</c:v>
                </c:pt>
                <c:pt idx="242">
                  <c:v>37225</c:v>
                </c:pt>
                <c:pt idx="243">
                  <c:v>37228</c:v>
                </c:pt>
                <c:pt idx="244">
                  <c:v>37229</c:v>
                </c:pt>
                <c:pt idx="245">
                  <c:v>37230</c:v>
                </c:pt>
                <c:pt idx="246">
                  <c:v>37231</c:v>
                </c:pt>
                <c:pt idx="247">
                  <c:v>37232</c:v>
                </c:pt>
                <c:pt idx="248">
                  <c:v>37235</c:v>
                </c:pt>
                <c:pt idx="249">
                  <c:v>37236</c:v>
                </c:pt>
                <c:pt idx="250">
                  <c:v>37237</c:v>
                </c:pt>
                <c:pt idx="251">
                  <c:v>37238</c:v>
                </c:pt>
                <c:pt idx="252">
                  <c:v>37239</c:v>
                </c:pt>
                <c:pt idx="253">
                  <c:v>37245</c:v>
                </c:pt>
                <c:pt idx="254">
                  <c:v>37246</c:v>
                </c:pt>
                <c:pt idx="255">
                  <c:v>37249</c:v>
                </c:pt>
                <c:pt idx="256">
                  <c:v>37251</c:v>
                </c:pt>
                <c:pt idx="257">
                  <c:v>37252</c:v>
                </c:pt>
                <c:pt idx="258">
                  <c:v>37253</c:v>
                </c:pt>
                <c:pt idx="259">
                  <c:v>37256</c:v>
                </c:pt>
                <c:pt idx="260">
                  <c:v>37258</c:v>
                </c:pt>
                <c:pt idx="261">
                  <c:v>37259</c:v>
                </c:pt>
                <c:pt idx="262">
                  <c:v>37260</c:v>
                </c:pt>
                <c:pt idx="263">
                  <c:v>37263</c:v>
                </c:pt>
                <c:pt idx="264">
                  <c:v>37264</c:v>
                </c:pt>
                <c:pt idx="265">
                  <c:v>37265</c:v>
                </c:pt>
                <c:pt idx="266">
                  <c:v>37266</c:v>
                </c:pt>
                <c:pt idx="267">
                  <c:v>37267</c:v>
                </c:pt>
                <c:pt idx="268">
                  <c:v>37270</c:v>
                </c:pt>
                <c:pt idx="269">
                  <c:v>37271</c:v>
                </c:pt>
                <c:pt idx="270">
                  <c:v>37272</c:v>
                </c:pt>
                <c:pt idx="271">
                  <c:v>37273</c:v>
                </c:pt>
                <c:pt idx="272">
                  <c:v>37274</c:v>
                </c:pt>
                <c:pt idx="273">
                  <c:v>37277</c:v>
                </c:pt>
                <c:pt idx="274">
                  <c:v>37278</c:v>
                </c:pt>
                <c:pt idx="275">
                  <c:v>37279</c:v>
                </c:pt>
                <c:pt idx="276">
                  <c:v>37280</c:v>
                </c:pt>
                <c:pt idx="277">
                  <c:v>37281</c:v>
                </c:pt>
                <c:pt idx="278">
                  <c:v>37284</c:v>
                </c:pt>
                <c:pt idx="279">
                  <c:v>37285</c:v>
                </c:pt>
                <c:pt idx="280">
                  <c:v>37286</c:v>
                </c:pt>
                <c:pt idx="281">
                  <c:v>37287</c:v>
                </c:pt>
                <c:pt idx="282">
                  <c:v>37291</c:v>
                </c:pt>
                <c:pt idx="283">
                  <c:v>37292</c:v>
                </c:pt>
                <c:pt idx="284">
                  <c:v>37293</c:v>
                </c:pt>
                <c:pt idx="285">
                  <c:v>37294</c:v>
                </c:pt>
                <c:pt idx="286">
                  <c:v>37295</c:v>
                </c:pt>
                <c:pt idx="287">
                  <c:v>37301</c:v>
                </c:pt>
                <c:pt idx="288">
                  <c:v>37302</c:v>
                </c:pt>
                <c:pt idx="289">
                  <c:v>37305</c:v>
                </c:pt>
                <c:pt idx="290">
                  <c:v>37306</c:v>
                </c:pt>
                <c:pt idx="291">
                  <c:v>37307</c:v>
                </c:pt>
                <c:pt idx="292">
                  <c:v>37308</c:v>
                </c:pt>
                <c:pt idx="293">
                  <c:v>37309</c:v>
                </c:pt>
                <c:pt idx="294">
                  <c:v>37312</c:v>
                </c:pt>
                <c:pt idx="295">
                  <c:v>37313</c:v>
                </c:pt>
                <c:pt idx="296">
                  <c:v>37314</c:v>
                </c:pt>
                <c:pt idx="297">
                  <c:v>37315</c:v>
                </c:pt>
                <c:pt idx="298">
                  <c:v>37316</c:v>
                </c:pt>
                <c:pt idx="299">
                  <c:v>37319</c:v>
                </c:pt>
                <c:pt idx="300">
                  <c:v>37320</c:v>
                </c:pt>
                <c:pt idx="301">
                  <c:v>37321</c:v>
                </c:pt>
                <c:pt idx="302">
                  <c:v>37322</c:v>
                </c:pt>
                <c:pt idx="303">
                  <c:v>37323</c:v>
                </c:pt>
                <c:pt idx="304">
                  <c:v>37326</c:v>
                </c:pt>
                <c:pt idx="305">
                  <c:v>37327</c:v>
                </c:pt>
                <c:pt idx="306">
                  <c:v>37328</c:v>
                </c:pt>
                <c:pt idx="307">
                  <c:v>37329</c:v>
                </c:pt>
                <c:pt idx="308">
                  <c:v>37333</c:v>
                </c:pt>
                <c:pt idx="309">
                  <c:v>37334</c:v>
                </c:pt>
                <c:pt idx="310">
                  <c:v>37335</c:v>
                </c:pt>
                <c:pt idx="311">
                  <c:v>37336</c:v>
                </c:pt>
                <c:pt idx="312">
                  <c:v>37337</c:v>
                </c:pt>
                <c:pt idx="313">
                  <c:v>37340</c:v>
                </c:pt>
                <c:pt idx="314">
                  <c:v>37341</c:v>
                </c:pt>
                <c:pt idx="315">
                  <c:v>37342</c:v>
                </c:pt>
                <c:pt idx="316">
                  <c:v>37343</c:v>
                </c:pt>
                <c:pt idx="317">
                  <c:v>37344</c:v>
                </c:pt>
                <c:pt idx="318">
                  <c:v>37347</c:v>
                </c:pt>
                <c:pt idx="319">
                  <c:v>37348</c:v>
                </c:pt>
                <c:pt idx="320">
                  <c:v>37349</c:v>
                </c:pt>
                <c:pt idx="321">
                  <c:v>37350</c:v>
                </c:pt>
                <c:pt idx="322">
                  <c:v>37351</c:v>
                </c:pt>
                <c:pt idx="323">
                  <c:v>37354</c:v>
                </c:pt>
                <c:pt idx="324">
                  <c:v>37355</c:v>
                </c:pt>
                <c:pt idx="325">
                  <c:v>37356</c:v>
                </c:pt>
                <c:pt idx="326">
                  <c:v>37357</c:v>
                </c:pt>
                <c:pt idx="327">
                  <c:v>37358</c:v>
                </c:pt>
                <c:pt idx="328">
                  <c:v>37361</c:v>
                </c:pt>
                <c:pt idx="329">
                  <c:v>37362</c:v>
                </c:pt>
                <c:pt idx="330">
                  <c:v>37363</c:v>
                </c:pt>
                <c:pt idx="331">
                  <c:v>37364</c:v>
                </c:pt>
                <c:pt idx="332">
                  <c:v>37365</c:v>
                </c:pt>
                <c:pt idx="333">
                  <c:v>37368</c:v>
                </c:pt>
                <c:pt idx="334">
                  <c:v>37369</c:v>
                </c:pt>
                <c:pt idx="335">
                  <c:v>37370</c:v>
                </c:pt>
                <c:pt idx="336">
                  <c:v>37372</c:v>
                </c:pt>
                <c:pt idx="337">
                  <c:v>37375</c:v>
                </c:pt>
                <c:pt idx="338">
                  <c:v>37376</c:v>
                </c:pt>
                <c:pt idx="339">
                  <c:v>37378</c:v>
                </c:pt>
                <c:pt idx="340">
                  <c:v>37379</c:v>
                </c:pt>
                <c:pt idx="341">
                  <c:v>37382</c:v>
                </c:pt>
                <c:pt idx="342">
                  <c:v>37383</c:v>
                </c:pt>
                <c:pt idx="343">
                  <c:v>37384</c:v>
                </c:pt>
                <c:pt idx="344">
                  <c:v>37385</c:v>
                </c:pt>
                <c:pt idx="345">
                  <c:v>37386</c:v>
                </c:pt>
                <c:pt idx="346">
                  <c:v>37389</c:v>
                </c:pt>
                <c:pt idx="347">
                  <c:v>37390</c:v>
                </c:pt>
                <c:pt idx="348">
                  <c:v>37391</c:v>
                </c:pt>
                <c:pt idx="349">
                  <c:v>37392</c:v>
                </c:pt>
                <c:pt idx="350">
                  <c:v>37393</c:v>
                </c:pt>
                <c:pt idx="351">
                  <c:v>37396</c:v>
                </c:pt>
                <c:pt idx="352">
                  <c:v>37397</c:v>
                </c:pt>
                <c:pt idx="353">
                  <c:v>37398</c:v>
                </c:pt>
                <c:pt idx="354">
                  <c:v>37399</c:v>
                </c:pt>
                <c:pt idx="355">
                  <c:v>37400</c:v>
                </c:pt>
                <c:pt idx="356">
                  <c:v>37404</c:v>
                </c:pt>
                <c:pt idx="357">
                  <c:v>37405</c:v>
                </c:pt>
                <c:pt idx="358">
                  <c:v>37406</c:v>
                </c:pt>
                <c:pt idx="359">
                  <c:v>37407</c:v>
                </c:pt>
                <c:pt idx="360">
                  <c:v>37410</c:v>
                </c:pt>
                <c:pt idx="361">
                  <c:v>37411</c:v>
                </c:pt>
                <c:pt idx="362">
                  <c:v>37412</c:v>
                </c:pt>
                <c:pt idx="363">
                  <c:v>37413</c:v>
                </c:pt>
                <c:pt idx="364">
                  <c:v>37414</c:v>
                </c:pt>
                <c:pt idx="365">
                  <c:v>37417</c:v>
                </c:pt>
                <c:pt idx="366">
                  <c:v>37418</c:v>
                </c:pt>
                <c:pt idx="367">
                  <c:v>37419</c:v>
                </c:pt>
                <c:pt idx="368">
                  <c:v>37420</c:v>
                </c:pt>
                <c:pt idx="369">
                  <c:v>37421</c:v>
                </c:pt>
                <c:pt idx="370">
                  <c:v>37424</c:v>
                </c:pt>
                <c:pt idx="371">
                  <c:v>37425</c:v>
                </c:pt>
                <c:pt idx="372">
                  <c:v>37426</c:v>
                </c:pt>
                <c:pt idx="373">
                  <c:v>37427</c:v>
                </c:pt>
                <c:pt idx="374">
                  <c:v>37428</c:v>
                </c:pt>
                <c:pt idx="375">
                  <c:v>37431</c:v>
                </c:pt>
                <c:pt idx="376">
                  <c:v>37432</c:v>
                </c:pt>
                <c:pt idx="377">
                  <c:v>37433</c:v>
                </c:pt>
                <c:pt idx="378">
                  <c:v>37434</c:v>
                </c:pt>
                <c:pt idx="379">
                  <c:v>37435</c:v>
                </c:pt>
                <c:pt idx="380">
                  <c:v>37438</c:v>
                </c:pt>
                <c:pt idx="381">
                  <c:v>37439</c:v>
                </c:pt>
                <c:pt idx="382">
                  <c:v>37440</c:v>
                </c:pt>
                <c:pt idx="383">
                  <c:v>37441</c:v>
                </c:pt>
                <c:pt idx="384">
                  <c:v>37442</c:v>
                </c:pt>
                <c:pt idx="385">
                  <c:v>37445</c:v>
                </c:pt>
                <c:pt idx="386">
                  <c:v>37446</c:v>
                </c:pt>
                <c:pt idx="387">
                  <c:v>37447</c:v>
                </c:pt>
                <c:pt idx="388">
                  <c:v>37448</c:v>
                </c:pt>
                <c:pt idx="389">
                  <c:v>37449</c:v>
                </c:pt>
                <c:pt idx="390">
                  <c:v>37452</c:v>
                </c:pt>
                <c:pt idx="391">
                  <c:v>37453</c:v>
                </c:pt>
                <c:pt idx="392">
                  <c:v>37454</c:v>
                </c:pt>
                <c:pt idx="393">
                  <c:v>37455</c:v>
                </c:pt>
                <c:pt idx="394">
                  <c:v>37456</c:v>
                </c:pt>
                <c:pt idx="395">
                  <c:v>37459</c:v>
                </c:pt>
                <c:pt idx="396">
                  <c:v>37460</c:v>
                </c:pt>
                <c:pt idx="397">
                  <c:v>37461</c:v>
                </c:pt>
                <c:pt idx="398">
                  <c:v>37462</c:v>
                </c:pt>
                <c:pt idx="399">
                  <c:v>37463</c:v>
                </c:pt>
                <c:pt idx="400">
                  <c:v>37466</c:v>
                </c:pt>
                <c:pt idx="401">
                  <c:v>37467</c:v>
                </c:pt>
                <c:pt idx="402">
                  <c:v>37468</c:v>
                </c:pt>
                <c:pt idx="403">
                  <c:v>37469</c:v>
                </c:pt>
                <c:pt idx="404">
                  <c:v>37470</c:v>
                </c:pt>
                <c:pt idx="405">
                  <c:v>37473</c:v>
                </c:pt>
                <c:pt idx="406">
                  <c:v>37474</c:v>
                </c:pt>
                <c:pt idx="407">
                  <c:v>37475</c:v>
                </c:pt>
                <c:pt idx="408">
                  <c:v>37476</c:v>
                </c:pt>
                <c:pt idx="409">
                  <c:v>37477</c:v>
                </c:pt>
                <c:pt idx="410">
                  <c:v>37480</c:v>
                </c:pt>
                <c:pt idx="411">
                  <c:v>37481</c:v>
                </c:pt>
                <c:pt idx="412">
                  <c:v>37482</c:v>
                </c:pt>
                <c:pt idx="413">
                  <c:v>37483</c:v>
                </c:pt>
                <c:pt idx="414">
                  <c:v>37484</c:v>
                </c:pt>
                <c:pt idx="415">
                  <c:v>37487</c:v>
                </c:pt>
                <c:pt idx="416">
                  <c:v>37488</c:v>
                </c:pt>
                <c:pt idx="417">
                  <c:v>37489</c:v>
                </c:pt>
                <c:pt idx="418">
                  <c:v>37490</c:v>
                </c:pt>
                <c:pt idx="419">
                  <c:v>37491</c:v>
                </c:pt>
                <c:pt idx="420">
                  <c:v>37494</c:v>
                </c:pt>
                <c:pt idx="421">
                  <c:v>37495</c:v>
                </c:pt>
                <c:pt idx="422">
                  <c:v>37496</c:v>
                </c:pt>
                <c:pt idx="423">
                  <c:v>37497</c:v>
                </c:pt>
                <c:pt idx="424">
                  <c:v>37498</c:v>
                </c:pt>
                <c:pt idx="425">
                  <c:v>37501</c:v>
                </c:pt>
                <c:pt idx="426">
                  <c:v>37502</c:v>
                </c:pt>
                <c:pt idx="427">
                  <c:v>37503</c:v>
                </c:pt>
                <c:pt idx="428">
                  <c:v>37504</c:v>
                </c:pt>
                <c:pt idx="429">
                  <c:v>37505</c:v>
                </c:pt>
                <c:pt idx="430">
                  <c:v>37508</c:v>
                </c:pt>
                <c:pt idx="431">
                  <c:v>37509</c:v>
                </c:pt>
                <c:pt idx="432">
                  <c:v>37510</c:v>
                </c:pt>
                <c:pt idx="433">
                  <c:v>37511</c:v>
                </c:pt>
                <c:pt idx="434">
                  <c:v>37512</c:v>
                </c:pt>
                <c:pt idx="435">
                  <c:v>37515</c:v>
                </c:pt>
                <c:pt idx="436">
                  <c:v>37516</c:v>
                </c:pt>
                <c:pt idx="437">
                  <c:v>37517</c:v>
                </c:pt>
                <c:pt idx="438">
                  <c:v>37518</c:v>
                </c:pt>
                <c:pt idx="439">
                  <c:v>37519</c:v>
                </c:pt>
                <c:pt idx="440">
                  <c:v>37522</c:v>
                </c:pt>
                <c:pt idx="441">
                  <c:v>37523</c:v>
                </c:pt>
                <c:pt idx="442">
                  <c:v>37524</c:v>
                </c:pt>
                <c:pt idx="443">
                  <c:v>37525</c:v>
                </c:pt>
                <c:pt idx="444">
                  <c:v>37526</c:v>
                </c:pt>
                <c:pt idx="445">
                  <c:v>37529</c:v>
                </c:pt>
                <c:pt idx="446">
                  <c:v>37530</c:v>
                </c:pt>
                <c:pt idx="447">
                  <c:v>37531</c:v>
                </c:pt>
                <c:pt idx="448">
                  <c:v>37532</c:v>
                </c:pt>
                <c:pt idx="449">
                  <c:v>37533</c:v>
                </c:pt>
                <c:pt idx="450">
                  <c:v>37536</c:v>
                </c:pt>
                <c:pt idx="451">
                  <c:v>37537</c:v>
                </c:pt>
                <c:pt idx="452">
                  <c:v>37538</c:v>
                </c:pt>
                <c:pt idx="453">
                  <c:v>37539</c:v>
                </c:pt>
                <c:pt idx="454">
                  <c:v>37540</c:v>
                </c:pt>
                <c:pt idx="455">
                  <c:v>37543</c:v>
                </c:pt>
                <c:pt idx="456">
                  <c:v>37544</c:v>
                </c:pt>
                <c:pt idx="457">
                  <c:v>37545</c:v>
                </c:pt>
                <c:pt idx="458">
                  <c:v>37546</c:v>
                </c:pt>
                <c:pt idx="459">
                  <c:v>37547</c:v>
                </c:pt>
                <c:pt idx="460">
                  <c:v>37550</c:v>
                </c:pt>
                <c:pt idx="461">
                  <c:v>37551</c:v>
                </c:pt>
                <c:pt idx="462">
                  <c:v>37552</c:v>
                </c:pt>
                <c:pt idx="463">
                  <c:v>37553</c:v>
                </c:pt>
                <c:pt idx="464">
                  <c:v>37554</c:v>
                </c:pt>
                <c:pt idx="465">
                  <c:v>37557</c:v>
                </c:pt>
                <c:pt idx="466">
                  <c:v>37558</c:v>
                </c:pt>
                <c:pt idx="467">
                  <c:v>37559</c:v>
                </c:pt>
                <c:pt idx="468">
                  <c:v>37560</c:v>
                </c:pt>
                <c:pt idx="469">
                  <c:v>37561</c:v>
                </c:pt>
                <c:pt idx="470">
                  <c:v>37565</c:v>
                </c:pt>
                <c:pt idx="471">
                  <c:v>37566</c:v>
                </c:pt>
                <c:pt idx="472">
                  <c:v>37567</c:v>
                </c:pt>
                <c:pt idx="473">
                  <c:v>37568</c:v>
                </c:pt>
                <c:pt idx="474">
                  <c:v>37571</c:v>
                </c:pt>
                <c:pt idx="475">
                  <c:v>37572</c:v>
                </c:pt>
                <c:pt idx="476">
                  <c:v>37573</c:v>
                </c:pt>
                <c:pt idx="477">
                  <c:v>37574</c:v>
                </c:pt>
                <c:pt idx="478">
                  <c:v>37575</c:v>
                </c:pt>
                <c:pt idx="479">
                  <c:v>37578</c:v>
                </c:pt>
                <c:pt idx="480">
                  <c:v>37579</c:v>
                </c:pt>
                <c:pt idx="481">
                  <c:v>37580</c:v>
                </c:pt>
                <c:pt idx="482">
                  <c:v>37581</c:v>
                </c:pt>
                <c:pt idx="483">
                  <c:v>37582</c:v>
                </c:pt>
                <c:pt idx="484">
                  <c:v>37585</c:v>
                </c:pt>
                <c:pt idx="485">
                  <c:v>37586</c:v>
                </c:pt>
                <c:pt idx="486">
                  <c:v>37587</c:v>
                </c:pt>
                <c:pt idx="487">
                  <c:v>37588</c:v>
                </c:pt>
                <c:pt idx="488">
                  <c:v>37589</c:v>
                </c:pt>
                <c:pt idx="489">
                  <c:v>37592</c:v>
                </c:pt>
                <c:pt idx="490">
                  <c:v>37593</c:v>
                </c:pt>
                <c:pt idx="491">
                  <c:v>37594</c:v>
                </c:pt>
                <c:pt idx="492">
                  <c:v>37599</c:v>
                </c:pt>
                <c:pt idx="493">
                  <c:v>37600</c:v>
                </c:pt>
                <c:pt idx="494">
                  <c:v>37601</c:v>
                </c:pt>
                <c:pt idx="495">
                  <c:v>37602</c:v>
                </c:pt>
                <c:pt idx="496">
                  <c:v>37603</c:v>
                </c:pt>
                <c:pt idx="497">
                  <c:v>37606</c:v>
                </c:pt>
                <c:pt idx="498">
                  <c:v>37607</c:v>
                </c:pt>
                <c:pt idx="499">
                  <c:v>37608</c:v>
                </c:pt>
                <c:pt idx="500">
                  <c:v>37609</c:v>
                </c:pt>
                <c:pt idx="501">
                  <c:v>37610</c:v>
                </c:pt>
                <c:pt idx="502">
                  <c:v>37613</c:v>
                </c:pt>
                <c:pt idx="503">
                  <c:v>37614</c:v>
                </c:pt>
                <c:pt idx="504">
                  <c:v>37616</c:v>
                </c:pt>
                <c:pt idx="505">
                  <c:v>37617</c:v>
                </c:pt>
                <c:pt idx="506">
                  <c:v>37620</c:v>
                </c:pt>
                <c:pt idx="507">
                  <c:v>37621</c:v>
                </c:pt>
                <c:pt idx="508">
                  <c:v>37623</c:v>
                </c:pt>
                <c:pt idx="509">
                  <c:v>37624</c:v>
                </c:pt>
                <c:pt idx="510">
                  <c:v>37627</c:v>
                </c:pt>
                <c:pt idx="511">
                  <c:v>37628</c:v>
                </c:pt>
                <c:pt idx="512">
                  <c:v>37629</c:v>
                </c:pt>
                <c:pt idx="513">
                  <c:v>37630</c:v>
                </c:pt>
                <c:pt idx="514">
                  <c:v>37631</c:v>
                </c:pt>
                <c:pt idx="515">
                  <c:v>37634</c:v>
                </c:pt>
                <c:pt idx="516">
                  <c:v>37635</c:v>
                </c:pt>
                <c:pt idx="517">
                  <c:v>37636</c:v>
                </c:pt>
                <c:pt idx="518">
                  <c:v>37637</c:v>
                </c:pt>
                <c:pt idx="519">
                  <c:v>37638</c:v>
                </c:pt>
                <c:pt idx="520">
                  <c:v>37641</c:v>
                </c:pt>
                <c:pt idx="521">
                  <c:v>37642</c:v>
                </c:pt>
                <c:pt idx="522">
                  <c:v>37643</c:v>
                </c:pt>
                <c:pt idx="523">
                  <c:v>37644</c:v>
                </c:pt>
                <c:pt idx="524">
                  <c:v>37645</c:v>
                </c:pt>
                <c:pt idx="525">
                  <c:v>37648</c:v>
                </c:pt>
                <c:pt idx="526">
                  <c:v>37649</c:v>
                </c:pt>
                <c:pt idx="527">
                  <c:v>37650</c:v>
                </c:pt>
                <c:pt idx="528">
                  <c:v>37651</c:v>
                </c:pt>
                <c:pt idx="529">
                  <c:v>37657</c:v>
                </c:pt>
                <c:pt idx="530">
                  <c:v>37658</c:v>
                </c:pt>
                <c:pt idx="531">
                  <c:v>37659</c:v>
                </c:pt>
                <c:pt idx="532">
                  <c:v>37662</c:v>
                </c:pt>
                <c:pt idx="533">
                  <c:v>37663</c:v>
                </c:pt>
                <c:pt idx="534">
                  <c:v>37665</c:v>
                </c:pt>
                <c:pt idx="535">
                  <c:v>37666</c:v>
                </c:pt>
                <c:pt idx="536">
                  <c:v>37669</c:v>
                </c:pt>
                <c:pt idx="537">
                  <c:v>37670</c:v>
                </c:pt>
                <c:pt idx="538">
                  <c:v>37671</c:v>
                </c:pt>
                <c:pt idx="539">
                  <c:v>37672</c:v>
                </c:pt>
                <c:pt idx="540">
                  <c:v>37673</c:v>
                </c:pt>
                <c:pt idx="541">
                  <c:v>37676</c:v>
                </c:pt>
                <c:pt idx="542">
                  <c:v>37677</c:v>
                </c:pt>
                <c:pt idx="543">
                  <c:v>37678</c:v>
                </c:pt>
                <c:pt idx="544">
                  <c:v>37679</c:v>
                </c:pt>
                <c:pt idx="545">
                  <c:v>37680</c:v>
                </c:pt>
                <c:pt idx="546">
                  <c:v>37683</c:v>
                </c:pt>
                <c:pt idx="547">
                  <c:v>37685</c:v>
                </c:pt>
                <c:pt idx="548">
                  <c:v>37686</c:v>
                </c:pt>
                <c:pt idx="549">
                  <c:v>37687</c:v>
                </c:pt>
                <c:pt idx="550">
                  <c:v>37690</c:v>
                </c:pt>
                <c:pt idx="551">
                  <c:v>37691</c:v>
                </c:pt>
                <c:pt idx="552">
                  <c:v>37692</c:v>
                </c:pt>
                <c:pt idx="553">
                  <c:v>37693</c:v>
                </c:pt>
                <c:pt idx="554">
                  <c:v>37694</c:v>
                </c:pt>
                <c:pt idx="555">
                  <c:v>37697</c:v>
                </c:pt>
                <c:pt idx="556">
                  <c:v>37698</c:v>
                </c:pt>
                <c:pt idx="557">
                  <c:v>37699</c:v>
                </c:pt>
                <c:pt idx="558">
                  <c:v>37700</c:v>
                </c:pt>
                <c:pt idx="559">
                  <c:v>37701</c:v>
                </c:pt>
                <c:pt idx="560">
                  <c:v>37704</c:v>
                </c:pt>
                <c:pt idx="561">
                  <c:v>37705</c:v>
                </c:pt>
                <c:pt idx="562">
                  <c:v>37706</c:v>
                </c:pt>
                <c:pt idx="563">
                  <c:v>37707</c:v>
                </c:pt>
                <c:pt idx="564">
                  <c:v>37708</c:v>
                </c:pt>
                <c:pt idx="565">
                  <c:v>37711</c:v>
                </c:pt>
                <c:pt idx="566">
                  <c:v>37712</c:v>
                </c:pt>
                <c:pt idx="567">
                  <c:v>37713</c:v>
                </c:pt>
                <c:pt idx="568">
                  <c:v>37714</c:v>
                </c:pt>
                <c:pt idx="569">
                  <c:v>37715</c:v>
                </c:pt>
                <c:pt idx="570">
                  <c:v>37718</c:v>
                </c:pt>
                <c:pt idx="571">
                  <c:v>37719</c:v>
                </c:pt>
                <c:pt idx="572">
                  <c:v>37720</c:v>
                </c:pt>
                <c:pt idx="573">
                  <c:v>37721</c:v>
                </c:pt>
                <c:pt idx="574">
                  <c:v>37722</c:v>
                </c:pt>
                <c:pt idx="575">
                  <c:v>37725</c:v>
                </c:pt>
                <c:pt idx="576">
                  <c:v>37726</c:v>
                </c:pt>
                <c:pt idx="577">
                  <c:v>37727</c:v>
                </c:pt>
                <c:pt idx="578">
                  <c:v>37728</c:v>
                </c:pt>
                <c:pt idx="579">
                  <c:v>37729</c:v>
                </c:pt>
                <c:pt idx="580">
                  <c:v>37732</c:v>
                </c:pt>
                <c:pt idx="581">
                  <c:v>37733</c:v>
                </c:pt>
                <c:pt idx="582">
                  <c:v>37734</c:v>
                </c:pt>
                <c:pt idx="583">
                  <c:v>37735</c:v>
                </c:pt>
                <c:pt idx="584">
                  <c:v>37736</c:v>
                </c:pt>
                <c:pt idx="585">
                  <c:v>37739</c:v>
                </c:pt>
                <c:pt idx="586">
                  <c:v>37740</c:v>
                </c:pt>
                <c:pt idx="587">
                  <c:v>37743</c:v>
                </c:pt>
                <c:pt idx="588">
                  <c:v>37746</c:v>
                </c:pt>
                <c:pt idx="589">
                  <c:v>37747</c:v>
                </c:pt>
                <c:pt idx="590">
                  <c:v>37748</c:v>
                </c:pt>
                <c:pt idx="591">
                  <c:v>37749</c:v>
                </c:pt>
                <c:pt idx="592">
                  <c:v>37750</c:v>
                </c:pt>
                <c:pt idx="593">
                  <c:v>37753</c:v>
                </c:pt>
                <c:pt idx="594">
                  <c:v>37754</c:v>
                </c:pt>
                <c:pt idx="595">
                  <c:v>37757</c:v>
                </c:pt>
                <c:pt idx="596">
                  <c:v>37760</c:v>
                </c:pt>
                <c:pt idx="597">
                  <c:v>37761</c:v>
                </c:pt>
                <c:pt idx="598">
                  <c:v>37762</c:v>
                </c:pt>
                <c:pt idx="599">
                  <c:v>37763</c:v>
                </c:pt>
                <c:pt idx="600">
                  <c:v>37764</c:v>
                </c:pt>
                <c:pt idx="601">
                  <c:v>37767</c:v>
                </c:pt>
                <c:pt idx="602">
                  <c:v>37768</c:v>
                </c:pt>
                <c:pt idx="603">
                  <c:v>37769</c:v>
                </c:pt>
                <c:pt idx="604">
                  <c:v>37770</c:v>
                </c:pt>
                <c:pt idx="605">
                  <c:v>37771</c:v>
                </c:pt>
                <c:pt idx="606">
                  <c:v>37774</c:v>
                </c:pt>
                <c:pt idx="607">
                  <c:v>37775</c:v>
                </c:pt>
                <c:pt idx="608">
                  <c:v>37776</c:v>
                </c:pt>
                <c:pt idx="609">
                  <c:v>37777</c:v>
                </c:pt>
                <c:pt idx="610">
                  <c:v>37778</c:v>
                </c:pt>
                <c:pt idx="611">
                  <c:v>37781</c:v>
                </c:pt>
                <c:pt idx="612">
                  <c:v>37782</c:v>
                </c:pt>
                <c:pt idx="613">
                  <c:v>37783</c:v>
                </c:pt>
                <c:pt idx="614">
                  <c:v>37784</c:v>
                </c:pt>
                <c:pt idx="615">
                  <c:v>37785</c:v>
                </c:pt>
                <c:pt idx="616">
                  <c:v>37788</c:v>
                </c:pt>
                <c:pt idx="617">
                  <c:v>37789</c:v>
                </c:pt>
                <c:pt idx="618">
                  <c:v>37790</c:v>
                </c:pt>
                <c:pt idx="619">
                  <c:v>37791</c:v>
                </c:pt>
                <c:pt idx="620">
                  <c:v>37792</c:v>
                </c:pt>
                <c:pt idx="621">
                  <c:v>37795</c:v>
                </c:pt>
                <c:pt idx="622">
                  <c:v>37796</c:v>
                </c:pt>
                <c:pt idx="623">
                  <c:v>37797</c:v>
                </c:pt>
                <c:pt idx="624">
                  <c:v>37798</c:v>
                </c:pt>
                <c:pt idx="625">
                  <c:v>37799</c:v>
                </c:pt>
                <c:pt idx="626">
                  <c:v>37802</c:v>
                </c:pt>
                <c:pt idx="627">
                  <c:v>37803</c:v>
                </c:pt>
                <c:pt idx="628">
                  <c:v>37804</c:v>
                </c:pt>
                <c:pt idx="629">
                  <c:v>37805</c:v>
                </c:pt>
                <c:pt idx="630">
                  <c:v>37806</c:v>
                </c:pt>
                <c:pt idx="631">
                  <c:v>37809</c:v>
                </c:pt>
                <c:pt idx="632">
                  <c:v>37810</c:v>
                </c:pt>
                <c:pt idx="633">
                  <c:v>37811</c:v>
                </c:pt>
                <c:pt idx="634">
                  <c:v>37812</c:v>
                </c:pt>
                <c:pt idx="635">
                  <c:v>37813</c:v>
                </c:pt>
                <c:pt idx="636">
                  <c:v>37816</c:v>
                </c:pt>
                <c:pt idx="637">
                  <c:v>37817</c:v>
                </c:pt>
                <c:pt idx="638">
                  <c:v>37818</c:v>
                </c:pt>
                <c:pt idx="639">
                  <c:v>37819</c:v>
                </c:pt>
                <c:pt idx="640">
                  <c:v>37820</c:v>
                </c:pt>
                <c:pt idx="641">
                  <c:v>37823</c:v>
                </c:pt>
                <c:pt idx="642">
                  <c:v>37824</c:v>
                </c:pt>
                <c:pt idx="643">
                  <c:v>37825</c:v>
                </c:pt>
                <c:pt idx="644">
                  <c:v>37826</c:v>
                </c:pt>
                <c:pt idx="645">
                  <c:v>37827</c:v>
                </c:pt>
                <c:pt idx="646">
                  <c:v>37830</c:v>
                </c:pt>
                <c:pt idx="647">
                  <c:v>37831</c:v>
                </c:pt>
                <c:pt idx="648">
                  <c:v>37832</c:v>
                </c:pt>
                <c:pt idx="649">
                  <c:v>37833</c:v>
                </c:pt>
                <c:pt idx="650">
                  <c:v>37834</c:v>
                </c:pt>
                <c:pt idx="651">
                  <c:v>37837</c:v>
                </c:pt>
                <c:pt idx="652">
                  <c:v>37838</c:v>
                </c:pt>
                <c:pt idx="653">
                  <c:v>37839</c:v>
                </c:pt>
                <c:pt idx="654">
                  <c:v>37840</c:v>
                </c:pt>
                <c:pt idx="655">
                  <c:v>37841</c:v>
                </c:pt>
                <c:pt idx="656">
                  <c:v>37844</c:v>
                </c:pt>
                <c:pt idx="657">
                  <c:v>37845</c:v>
                </c:pt>
                <c:pt idx="658">
                  <c:v>37846</c:v>
                </c:pt>
                <c:pt idx="659">
                  <c:v>37847</c:v>
                </c:pt>
                <c:pt idx="660">
                  <c:v>37848</c:v>
                </c:pt>
                <c:pt idx="661">
                  <c:v>37851</c:v>
                </c:pt>
                <c:pt idx="662">
                  <c:v>37852</c:v>
                </c:pt>
                <c:pt idx="663">
                  <c:v>37853</c:v>
                </c:pt>
                <c:pt idx="664">
                  <c:v>37854</c:v>
                </c:pt>
                <c:pt idx="665">
                  <c:v>37855</c:v>
                </c:pt>
                <c:pt idx="666">
                  <c:v>37858</c:v>
                </c:pt>
                <c:pt idx="667">
                  <c:v>37859</c:v>
                </c:pt>
                <c:pt idx="668">
                  <c:v>37860</c:v>
                </c:pt>
                <c:pt idx="669">
                  <c:v>37861</c:v>
                </c:pt>
                <c:pt idx="670">
                  <c:v>37862</c:v>
                </c:pt>
                <c:pt idx="671">
                  <c:v>37866</c:v>
                </c:pt>
                <c:pt idx="672">
                  <c:v>37867</c:v>
                </c:pt>
                <c:pt idx="673">
                  <c:v>37868</c:v>
                </c:pt>
                <c:pt idx="674">
                  <c:v>37869</c:v>
                </c:pt>
                <c:pt idx="675">
                  <c:v>37872</c:v>
                </c:pt>
                <c:pt idx="676">
                  <c:v>37873</c:v>
                </c:pt>
                <c:pt idx="677">
                  <c:v>37874</c:v>
                </c:pt>
                <c:pt idx="678">
                  <c:v>37875</c:v>
                </c:pt>
                <c:pt idx="679">
                  <c:v>37876</c:v>
                </c:pt>
                <c:pt idx="680">
                  <c:v>37879</c:v>
                </c:pt>
                <c:pt idx="681">
                  <c:v>37880</c:v>
                </c:pt>
                <c:pt idx="682">
                  <c:v>37881</c:v>
                </c:pt>
                <c:pt idx="683">
                  <c:v>37882</c:v>
                </c:pt>
                <c:pt idx="684">
                  <c:v>37883</c:v>
                </c:pt>
                <c:pt idx="685">
                  <c:v>37886</c:v>
                </c:pt>
                <c:pt idx="686">
                  <c:v>37887</c:v>
                </c:pt>
                <c:pt idx="687">
                  <c:v>37888</c:v>
                </c:pt>
                <c:pt idx="688">
                  <c:v>37889</c:v>
                </c:pt>
                <c:pt idx="689">
                  <c:v>37890</c:v>
                </c:pt>
                <c:pt idx="690">
                  <c:v>37893</c:v>
                </c:pt>
                <c:pt idx="691">
                  <c:v>37894</c:v>
                </c:pt>
                <c:pt idx="692">
                  <c:v>37895</c:v>
                </c:pt>
                <c:pt idx="693">
                  <c:v>37896</c:v>
                </c:pt>
                <c:pt idx="694">
                  <c:v>37897</c:v>
                </c:pt>
                <c:pt idx="695">
                  <c:v>37900</c:v>
                </c:pt>
                <c:pt idx="696">
                  <c:v>37901</c:v>
                </c:pt>
                <c:pt idx="697">
                  <c:v>37902</c:v>
                </c:pt>
                <c:pt idx="698">
                  <c:v>37903</c:v>
                </c:pt>
                <c:pt idx="699">
                  <c:v>37904</c:v>
                </c:pt>
                <c:pt idx="700">
                  <c:v>37907</c:v>
                </c:pt>
                <c:pt idx="701">
                  <c:v>37908</c:v>
                </c:pt>
                <c:pt idx="702">
                  <c:v>37909</c:v>
                </c:pt>
                <c:pt idx="703">
                  <c:v>37910</c:v>
                </c:pt>
                <c:pt idx="704">
                  <c:v>37911</c:v>
                </c:pt>
                <c:pt idx="705">
                  <c:v>37914</c:v>
                </c:pt>
                <c:pt idx="706">
                  <c:v>37915</c:v>
                </c:pt>
                <c:pt idx="707">
                  <c:v>37916</c:v>
                </c:pt>
                <c:pt idx="708">
                  <c:v>37917</c:v>
                </c:pt>
                <c:pt idx="709">
                  <c:v>37921</c:v>
                </c:pt>
                <c:pt idx="710">
                  <c:v>37922</c:v>
                </c:pt>
                <c:pt idx="711">
                  <c:v>37923</c:v>
                </c:pt>
                <c:pt idx="712">
                  <c:v>37924</c:v>
                </c:pt>
                <c:pt idx="713">
                  <c:v>37925</c:v>
                </c:pt>
                <c:pt idx="714">
                  <c:v>37928</c:v>
                </c:pt>
                <c:pt idx="715">
                  <c:v>37929</c:v>
                </c:pt>
                <c:pt idx="716">
                  <c:v>37930</c:v>
                </c:pt>
                <c:pt idx="717">
                  <c:v>37931</c:v>
                </c:pt>
                <c:pt idx="718">
                  <c:v>37932</c:v>
                </c:pt>
                <c:pt idx="719">
                  <c:v>37935</c:v>
                </c:pt>
                <c:pt idx="720">
                  <c:v>37936</c:v>
                </c:pt>
                <c:pt idx="721">
                  <c:v>37937</c:v>
                </c:pt>
                <c:pt idx="722">
                  <c:v>37938</c:v>
                </c:pt>
                <c:pt idx="723">
                  <c:v>37939</c:v>
                </c:pt>
                <c:pt idx="724">
                  <c:v>37942</c:v>
                </c:pt>
                <c:pt idx="725">
                  <c:v>37943</c:v>
                </c:pt>
                <c:pt idx="726">
                  <c:v>37944</c:v>
                </c:pt>
                <c:pt idx="727">
                  <c:v>37945</c:v>
                </c:pt>
                <c:pt idx="728">
                  <c:v>37946</c:v>
                </c:pt>
                <c:pt idx="729">
                  <c:v>37952</c:v>
                </c:pt>
                <c:pt idx="730">
                  <c:v>37953</c:v>
                </c:pt>
                <c:pt idx="731">
                  <c:v>37956</c:v>
                </c:pt>
                <c:pt idx="732">
                  <c:v>37957</c:v>
                </c:pt>
                <c:pt idx="733">
                  <c:v>37958</c:v>
                </c:pt>
                <c:pt idx="734">
                  <c:v>37959</c:v>
                </c:pt>
                <c:pt idx="735">
                  <c:v>37960</c:v>
                </c:pt>
                <c:pt idx="736">
                  <c:v>37963</c:v>
                </c:pt>
                <c:pt idx="737">
                  <c:v>37964</c:v>
                </c:pt>
                <c:pt idx="738">
                  <c:v>37965</c:v>
                </c:pt>
                <c:pt idx="739">
                  <c:v>37966</c:v>
                </c:pt>
                <c:pt idx="740">
                  <c:v>37967</c:v>
                </c:pt>
                <c:pt idx="741">
                  <c:v>37970</c:v>
                </c:pt>
                <c:pt idx="742">
                  <c:v>37971</c:v>
                </c:pt>
                <c:pt idx="743">
                  <c:v>37972</c:v>
                </c:pt>
                <c:pt idx="744">
                  <c:v>37973</c:v>
                </c:pt>
                <c:pt idx="745">
                  <c:v>37974</c:v>
                </c:pt>
                <c:pt idx="746">
                  <c:v>37977</c:v>
                </c:pt>
                <c:pt idx="747">
                  <c:v>37978</c:v>
                </c:pt>
                <c:pt idx="748">
                  <c:v>37979</c:v>
                </c:pt>
                <c:pt idx="749">
                  <c:v>37981</c:v>
                </c:pt>
                <c:pt idx="750">
                  <c:v>37984</c:v>
                </c:pt>
                <c:pt idx="751">
                  <c:v>37985</c:v>
                </c:pt>
                <c:pt idx="752">
                  <c:v>37986</c:v>
                </c:pt>
                <c:pt idx="753">
                  <c:v>37988</c:v>
                </c:pt>
                <c:pt idx="754">
                  <c:v>37991</c:v>
                </c:pt>
                <c:pt idx="755">
                  <c:v>37992</c:v>
                </c:pt>
                <c:pt idx="756">
                  <c:v>37993</c:v>
                </c:pt>
                <c:pt idx="757">
                  <c:v>37994</c:v>
                </c:pt>
                <c:pt idx="758">
                  <c:v>37995</c:v>
                </c:pt>
                <c:pt idx="759">
                  <c:v>37998</c:v>
                </c:pt>
                <c:pt idx="760">
                  <c:v>37999</c:v>
                </c:pt>
                <c:pt idx="761">
                  <c:v>38000</c:v>
                </c:pt>
              </c:numCache>
            </c:numRef>
          </c:cat>
          <c:val>
            <c:numRef>
              <c:f>[1]OKLI!$C$2:$C$763</c:f>
              <c:numCache>
                <c:formatCode>General</c:formatCode>
                <c:ptCount val="762"/>
                <c:pt idx="0">
                  <c:v>80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91</c:v>
                </c:pt>
                <c:pt idx="5">
                  <c:v>101</c:v>
                </c:pt>
                <c:pt idx="6">
                  <c:v>99</c:v>
                </c:pt>
                <c:pt idx="7">
                  <c:v>103</c:v>
                </c:pt>
                <c:pt idx="8">
                  <c:v>110</c:v>
                </c:pt>
                <c:pt idx="9">
                  <c:v>116</c:v>
                </c:pt>
                <c:pt idx="10">
                  <c:v>161</c:v>
                </c:pt>
                <c:pt idx="11">
                  <c:v>168</c:v>
                </c:pt>
                <c:pt idx="12">
                  <c:v>172</c:v>
                </c:pt>
                <c:pt idx="13">
                  <c:v>180</c:v>
                </c:pt>
                <c:pt idx="14">
                  <c:v>182</c:v>
                </c:pt>
                <c:pt idx="15">
                  <c:v>187</c:v>
                </c:pt>
                <c:pt idx="16">
                  <c:v>3</c:v>
                </c:pt>
                <c:pt idx="17">
                  <c:v>35</c:v>
                </c:pt>
                <c:pt idx="18">
                  <c:v>39</c:v>
                </c:pt>
                <c:pt idx="19">
                  <c:v>38</c:v>
                </c:pt>
                <c:pt idx="20">
                  <c:v>49</c:v>
                </c:pt>
                <c:pt idx="21">
                  <c:v>49</c:v>
                </c:pt>
                <c:pt idx="22">
                  <c:v>53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60</c:v>
                </c:pt>
                <c:pt idx="27">
                  <c:v>61</c:v>
                </c:pt>
                <c:pt idx="28">
                  <c:v>66</c:v>
                </c:pt>
                <c:pt idx="29">
                  <c:v>66</c:v>
                </c:pt>
                <c:pt idx="30">
                  <c:v>66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78</c:v>
                </c:pt>
                <c:pt idx="35">
                  <c:v>3</c:v>
                </c:pt>
                <c:pt idx="36">
                  <c:v>13</c:v>
                </c:pt>
                <c:pt idx="37">
                  <c:v>27</c:v>
                </c:pt>
                <c:pt idx="38">
                  <c:v>30</c:v>
                </c:pt>
                <c:pt idx="39">
                  <c:v>35</c:v>
                </c:pt>
                <c:pt idx="40">
                  <c:v>53</c:v>
                </c:pt>
                <c:pt idx="41">
                  <c:v>72</c:v>
                </c:pt>
                <c:pt idx="42">
                  <c:v>87</c:v>
                </c:pt>
                <c:pt idx="43">
                  <c:v>93</c:v>
                </c:pt>
                <c:pt idx="44">
                  <c:v>100</c:v>
                </c:pt>
                <c:pt idx="45">
                  <c:v>100</c:v>
                </c:pt>
                <c:pt idx="46">
                  <c:v>98</c:v>
                </c:pt>
                <c:pt idx="47">
                  <c:v>101</c:v>
                </c:pt>
                <c:pt idx="48">
                  <c:v>109</c:v>
                </c:pt>
                <c:pt idx="49">
                  <c:v>114</c:v>
                </c:pt>
                <c:pt idx="50">
                  <c:v>117</c:v>
                </c:pt>
                <c:pt idx="51">
                  <c:v>120</c:v>
                </c:pt>
                <c:pt idx="52">
                  <c:v>121</c:v>
                </c:pt>
                <c:pt idx="53">
                  <c:v>122</c:v>
                </c:pt>
                <c:pt idx="54">
                  <c:v>1</c:v>
                </c:pt>
                <c:pt idx="55">
                  <c:v>25</c:v>
                </c:pt>
                <c:pt idx="56">
                  <c:v>43</c:v>
                </c:pt>
                <c:pt idx="57">
                  <c:v>53</c:v>
                </c:pt>
                <c:pt idx="58">
                  <c:v>57</c:v>
                </c:pt>
                <c:pt idx="59">
                  <c:v>62</c:v>
                </c:pt>
                <c:pt idx="60">
                  <c:v>62</c:v>
                </c:pt>
                <c:pt idx="61">
                  <c:v>64</c:v>
                </c:pt>
                <c:pt idx="62">
                  <c:v>64</c:v>
                </c:pt>
                <c:pt idx="63">
                  <c:v>62</c:v>
                </c:pt>
                <c:pt idx="64">
                  <c:v>73</c:v>
                </c:pt>
                <c:pt idx="65">
                  <c:v>76</c:v>
                </c:pt>
                <c:pt idx="66">
                  <c:v>82</c:v>
                </c:pt>
                <c:pt idx="67">
                  <c:v>91</c:v>
                </c:pt>
                <c:pt idx="68">
                  <c:v>91</c:v>
                </c:pt>
                <c:pt idx="69">
                  <c:v>92</c:v>
                </c:pt>
                <c:pt idx="70">
                  <c:v>99</c:v>
                </c:pt>
                <c:pt idx="71">
                  <c:v>112</c:v>
                </c:pt>
                <c:pt idx="72">
                  <c:v>115</c:v>
                </c:pt>
                <c:pt idx="73">
                  <c:v>120</c:v>
                </c:pt>
                <c:pt idx="74">
                  <c:v>4</c:v>
                </c:pt>
                <c:pt idx="75">
                  <c:v>9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24</c:v>
                </c:pt>
                <c:pt idx="80">
                  <c:v>35</c:v>
                </c:pt>
                <c:pt idx="81">
                  <c:v>44</c:v>
                </c:pt>
                <c:pt idx="82">
                  <c:v>46</c:v>
                </c:pt>
                <c:pt idx="83">
                  <c:v>48</c:v>
                </c:pt>
                <c:pt idx="84">
                  <c:v>49</c:v>
                </c:pt>
                <c:pt idx="85">
                  <c:v>52</c:v>
                </c:pt>
                <c:pt idx="86">
                  <c:v>55</c:v>
                </c:pt>
                <c:pt idx="87">
                  <c:v>59</c:v>
                </c:pt>
                <c:pt idx="88">
                  <c:v>56</c:v>
                </c:pt>
                <c:pt idx="89">
                  <c:v>62</c:v>
                </c:pt>
                <c:pt idx="90">
                  <c:v>64</c:v>
                </c:pt>
                <c:pt idx="91">
                  <c:v>65</c:v>
                </c:pt>
                <c:pt idx="92">
                  <c:v>66</c:v>
                </c:pt>
                <c:pt idx="93">
                  <c:v>66</c:v>
                </c:pt>
                <c:pt idx="94">
                  <c:v>64</c:v>
                </c:pt>
                <c:pt idx="95">
                  <c:v>2</c:v>
                </c:pt>
                <c:pt idx="96">
                  <c:v>6</c:v>
                </c:pt>
                <c:pt idx="97">
                  <c:v>7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13</c:v>
                </c:pt>
                <c:pt idx="102">
                  <c:v>13</c:v>
                </c:pt>
                <c:pt idx="103">
                  <c:v>14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18</c:v>
                </c:pt>
                <c:pt idx="112">
                  <c:v>19</c:v>
                </c:pt>
                <c:pt idx="113">
                  <c:v>20</c:v>
                </c:pt>
                <c:pt idx="114">
                  <c:v>20</c:v>
                </c:pt>
                <c:pt idx="115">
                  <c:v>21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</c:numCache>
            </c:numRef>
          </c:val>
        </c:ser>
        <c:marker val="1"/>
        <c:axId val="134567808"/>
        <c:axId val="134569344"/>
      </c:lineChart>
      <c:catAx>
        <c:axId val="134555904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65888"/>
        <c:crossesAt val="0"/>
        <c:lblAlgn val="ctr"/>
        <c:lblOffset val="100"/>
        <c:tickLblSkip val="24"/>
        <c:tickMarkSkip val="1"/>
      </c:catAx>
      <c:valAx>
        <c:axId val="134565888"/>
        <c:scaling>
          <c:orientation val="minMax"/>
          <c:max val="11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7.1633237822349627E-3"/>
              <c:y val="0.256411326502931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55904"/>
        <c:crosses val="autoZero"/>
        <c:crossBetween val="between"/>
        <c:majorUnit val="10"/>
        <c:minorUnit val="10"/>
      </c:valAx>
      <c:catAx>
        <c:axId val="134567808"/>
        <c:scaling>
          <c:orientation val="minMax"/>
        </c:scaling>
        <c:delete val="1"/>
        <c:axPos val="b"/>
        <c:numFmt formatCode="General" sourceLinked="1"/>
        <c:tickLblPos val="nextTo"/>
        <c:crossAx val="134569344"/>
        <c:crosses val="autoZero"/>
        <c:lblAlgn val="ctr"/>
        <c:lblOffset val="100"/>
      </c:catAx>
      <c:valAx>
        <c:axId val="134569344"/>
        <c:scaling>
          <c:orientation val="minMax"/>
          <c:max val="2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0.96418338108882518"/>
              <c:y val="0.230770193852638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567808"/>
        <c:crosses val="max"/>
        <c:crossBetween val="between"/>
        <c:majorUnit val="2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699140401146126"/>
          <c:y val="9.401748638440835E-2"/>
          <c:w val="0.41117478510028677"/>
          <c:h val="5.128226530058636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275375446353383E-2"/>
          <c:y val="6.6964285714285712E-2"/>
          <c:w val="0.81449390638290642"/>
          <c:h val="0.6741071428571429"/>
        </c:manualLayout>
      </c:layout>
      <c:barChart>
        <c:barDir val="col"/>
        <c:grouping val="clustered"/>
        <c:ser>
          <c:idx val="0"/>
          <c:order val="0"/>
          <c:tx>
            <c:strRef>
              <c:f>[1]Ex_Total!$B$1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[1]Ex_Total!$A$5441:$A$5686</c:f>
              <c:numCache>
                <c:formatCode>General</c:formatCode>
                <c:ptCount val="246"/>
                <c:pt idx="0">
                  <c:v>37636</c:v>
                </c:pt>
                <c:pt idx="1">
                  <c:v>37637</c:v>
                </c:pt>
                <c:pt idx="2">
                  <c:v>37638</c:v>
                </c:pt>
                <c:pt idx="3">
                  <c:v>37641</c:v>
                </c:pt>
                <c:pt idx="4">
                  <c:v>37642</c:v>
                </c:pt>
                <c:pt idx="5">
                  <c:v>37643</c:v>
                </c:pt>
                <c:pt idx="6">
                  <c:v>37644</c:v>
                </c:pt>
                <c:pt idx="7">
                  <c:v>37645</c:v>
                </c:pt>
                <c:pt idx="8">
                  <c:v>37648</c:v>
                </c:pt>
                <c:pt idx="9">
                  <c:v>37649</c:v>
                </c:pt>
                <c:pt idx="10">
                  <c:v>37650</c:v>
                </c:pt>
                <c:pt idx="11">
                  <c:v>37651</c:v>
                </c:pt>
                <c:pt idx="12">
                  <c:v>37657</c:v>
                </c:pt>
                <c:pt idx="13">
                  <c:v>37658</c:v>
                </c:pt>
                <c:pt idx="14">
                  <c:v>37659</c:v>
                </c:pt>
                <c:pt idx="15">
                  <c:v>37662</c:v>
                </c:pt>
                <c:pt idx="16">
                  <c:v>37663</c:v>
                </c:pt>
                <c:pt idx="17">
                  <c:v>37665</c:v>
                </c:pt>
                <c:pt idx="18">
                  <c:v>37666</c:v>
                </c:pt>
                <c:pt idx="19">
                  <c:v>37669</c:v>
                </c:pt>
                <c:pt idx="20">
                  <c:v>37670</c:v>
                </c:pt>
                <c:pt idx="21">
                  <c:v>37671</c:v>
                </c:pt>
                <c:pt idx="22">
                  <c:v>37672</c:v>
                </c:pt>
                <c:pt idx="23">
                  <c:v>37673</c:v>
                </c:pt>
                <c:pt idx="24">
                  <c:v>37676</c:v>
                </c:pt>
                <c:pt idx="25">
                  <c:v>37677</c:v>
                </c:pt>
                <c:pt idx="26">
                  <c:v>37678</c:v>
                </c:pt>
                <c:pt idx="27">
                  <c:v>37679</c:v>
                </c:pt>
                <c:pt idx="28">
                  <c:v>37680</c:v>
                </c:pt>
                <c:pt idx="29">
                  <c:v>37683</c:v>
                </c:pt>
                <c:pt idx="30">
                  <c:v>37685</c:v>
                </c:pt>
                <c:pt idx="31">
                  <c:v>37686</c:v>
                </c:pt>
                <c:pt idx="32">
                  <c:v>37687</c:v>
                </c:pt>
                <c:pt idx="33">
                  <c:v>37690</c:v>
                </c:pt>
                <c:pt idx="34">
                  <c:v>37691</c:v>
                </c:pt>
                <c:pt idx="35">
                  <c:v>37692</c:v>
                </c:pt>
                <c:pt idx="36">
                  <c:v>37693</c:v>
                </c:pt>
                <c:pt idx="37">
                  <c:v>37694</c:v>
                </c:pt>
                <c:pt idx="38">
                  <c:v>37697</c:v>
                </c:pt>
                <c:pt idx="39">
                  <c:v>37698</c:v>
                </c:pt>
                <c:pt idx="40">
                  <c:v>37699</c:v>
                </c:pt>
                <c:pt idx="41">
                  <c:v>37700</c:v>
                </c:pt>
                <c:pt idx="42">
                  <c:v>37701</c:v>
                </c:pt>
                <c:pt idx="43">
                  <c:v>37704</c:v>
                </c:pt>
                <c:pt idx="44">
                  <c:v>37705</c:v>
                </c:pt>
                <c:pt idx="45">
                  <c:v>37706</c:v>
                </c:pt>
                <c:pt idx="46">
                  <c:v>37707</c:v>
                </c:pt>
                <c:pt idx="47">
                  <c:v>37708</c:v>
                </c:pt>
                <c:pt idx="48">
                  <c:v>37711</c:v>
                </c:pt>
                <c:pt idx="49">
                  <c:v>37712</c:v>
                </c:pt>
                <c:pt idx="50">
                  <c:v>37713</c:v>
                </c:pt>
                <c:pt idx="51">
                  <c:v>37714</c:v>
                </c:pt>
                <c:pt idx="52">
                  <c:v>37715</c:v>
                </c:pt>
                <c:pt idx="53">
                  <c:v>37718</c:v>
                </c:pt>
                <c:pt idx="54">
                  <c:v>37719</c:v>
                </c:pt>
                <c:pt idx="55">
                  <c:v>37720</c:v>
                </c:pt>
                <c:pt idx="56">
                  <c:v>37721</c:v>
                </c:pt>
                <c:pt idx="57">
                  <c:v>37722</c:v>
                </c:pt>
                <c:pt idx="58">
                  <c:v>37725</c:v>
                </c:pt>
                <c:pt idx="59">
                  <c:v>37726</c:v>
                </c:pt>
                <c:pt idx="60">
                  <c:v>37727</c:v>
                </c:pt>
                <c:pt idx="61">
                  <c:v>37728</c:v>
                </c:pt>
                <c:pt idx="62">
                  <c:v>37729</c:v>
                </c:pt>
                <c:pt idx="63">
                  <c:v>37732</c:v>
                </c:pt>
                <c:pt idx="64">
                  <c:v>37733</c:v>
                </c:pt>
                <c:pt idx="65">
                  <c:v>37734</c:v>
                </c:pt>
                <c:pt idx="66">
                  <c:v>37735</c:v>
                </c:pt>
                <c:pt idx="67">
                  <c:v>37736</c:v>
                </c:pt>
                <c:pt idx="68">
                  <c:v>37739</c:v>
                </c:pt>
                <c:pt idx="69">
                  <c:v>37740</c:v>
                </c:pt>
                <c:pt idx="70">
                  <c:v>37741</c:v>
                </c:pt>
                <c:pt idx="71">
                  <c:v>37743</c:v>
                </c:pt>
                <c:pt idx="72">
                  <c:v>37746</c:v>
                </c:pt>
                <c:pt idx="73">
                  <c:v>37747</c:v>
                </c:pt>
                <c:pt idx="74">
                  <c:v>37748</c:v>
                </c:pt>
                <c:pt idx="75">
                  <c:v>37749</c:v>
                </c:pt>
                <c:pt idx="76">
                  <c:v>37750</c:v>
                </c:pt>
                <c:pt idx="77">
                  <c:v>37753</c:v>
                </c:pt>
                <c:pt idx="78">
                  <c:v>37754</c:v>
                </c:pt>
                <c:pt idx="79">
                  <c:v>37757</c:v>
                </c:pt>
                <c:pt idx="80">
                  <c:v>37760</c:v>
                </c:pt>
                <c:pt idx="81">
                  <c:v>37761</c:v>
                </c:pt>
                <c:pt idx="82">
                  <c:v>37762</c:v>
                </c:pt>
                <c:pt idx="83">
                  <c:v>37763</c:v>
                </c:pt>
                <c:pt idx="84">
                  <c:v>37764</c:v>
                </c:pt>
                <c:pt idx="85">
                  <c:v>37767</c:v>
                </c:pt>
                <c:pt idx="86">
                  <c:v>37768</c:v>
                </c:pt>
                <c:pt idx="87">
                  <c:v>37769</c:v>
                </c:pt>
                <c:pt idx="88">
                  <c:v>37770</c:v>
                </c:pt>
                <c:pt idx="89">
                  <c:v>37771</c:v>
                </c:pt>
                <c:pt idx="90">
                  <c:v>37774</c:v>
                </c:pt>
                <c:pt idx="91">
                  <c:v>37775</c:v>
                </c:pt>
                <c:pt idx="92">
                  <c:v>37776</c:v>
                </c:pt>
                <c:pt idx="93">
                  <c:v>37777</c:v>
                </c:pt>
                <c:pt idx="94">
                  <c:v>37778</c:v>
                </c:pt>
                <c:pt idx="95">
                  <c:v>37781</c:v>
                </c:pt>
                <c:pt idx="96">
                  <c:v>37782</c:v>
                </c:pt>
                <c:pt idx="97">
                  <c:v>37783</c:v>
                </c:pt>
                <c:pt idx="98">
                  <c:v>37784</c:v>
                </c:pt>
                <c:pt idx="99">
                  <c:v>37785</c:v>
                </c:pt>
                <c:pt idx="100">
                  <c:v>37788</c:v>
                </c:pt>
                <c:pt idx="101">
                  <c:v>37789</c:v>
                </c:pt>
                <c:pt idx="102">
                  <c:v>37790</c:v>
                </c:pt>
                <c:pt idx="103">
                  <c:v>37791</c:v>
                </c:pt>
                <c:pt idx="104">
                  <c:v>37792</c:v>
                </c:pt>
                <c:pt idx="105">
                  <c:v>37795</c:v>
                </c:pt>
                <c:pt idx="106">
                  <c:v>37796</c:v>
                </c:pt>
                <c:pt idx="107">
                  <c:v>37797</c:v>
                </c:pt>
                <c:pt idx="108">
                  <c:v>37798</c:v>
                </c:pt>
                <c:pt idx="109">
                  <c:v>37799</c:v>
                </c:pt>
                <c:pt idx="110">
                  <c:v>37802</c:v>
                </c:pt>
                <c:pt idx="111">
                  <c:v>37803</c:v>
                </c:pt>
                <c:pt idx="112">
                  <c:v>37804</c:v>
                </c:pt>
                <c:pt idx="113">
                  <c:v>37805</c:v>
                </c:pt>
                <c:pt idx="114">
                  <c:v>37806</c:v>
                </c:pt>
                <c:pt idx="115">
                  <c:v>37809</c:v>
                </c:pt>
                <c:pt idx="116">
                  <c:v>37810</c:v>
                </c:pt>
                <c:pt idx="117">
                  <c:v>37811</c:v>
                </c:pt>
                <c:pt idx="118">
                  <c:v>37812</c:v>
                </c:pt>
                <c:pt idx="119">
                  <c:v>37813</c:v>
                </c:pt>
                <c:pt idx="120">
                  <c:v>37816</c:v>
                </c:pt>
                <c:pt idx="121">
                  <c:v>37817</c:v>
                </c:pt>
                <c:pt idx="122">
                  <c:v>37818</c:v>
                </c:pt>
                <c:pt idx="123">
                  <c:v>37819</c:v>
                </c:pt>
                <c:pt idx="124">
                  <c:v>37820</c:v>
                </c:pt>
                <c:pt idx="125">
                  <c:v>37823</c:v>
                </c:pt>
                <c:pt idx="126">
                  <c:v>37824</c:v>
                </c:pt>
                <c:pt idx="127">
                  <c:v>37825</c:v>
                </c:pt>
                <c:pt idx="128">
                  <c:v>37826</c:v>
                </c:pt>
                <c:pt idx="129">
                  <c:v>37827</c:v>
                </c:pt>
                <c:pt idx="130">
                  <c:v>37830</c:v>
                </c:pt>
                <c:pt idx="131">
                  <c:v>37831</c:v>
                </c:pt>
                <c:pt idx="132">
                  <c:v>37832</c:v>
                </c:pt>
                <c:pt idx="133">
                  <c:v>37833</c:v>
                </c:pt>
                <c:pt idx="134">
                  <c:v>37834</c:v>
                </c:pt>
                <c:pt idx="135">
                  <c:v>37837</c:v>
                </c:pt>
                <c:pt idx="136">
                  <c:v>37838</c:v>
                </c:pt>
                <c:pt idx="137">
                  <c:v>37839</c:v>
                </c:pt>
                <c:pt idx="138">
                  <c:v>37840</c:v>
                </c:pt>
                <c:pt idx="139">
                  <c:v>37841</c:v>
                </c:pt>
                <c:pt idx="140">
                  <c:v>37844</c:v>
                </c:pt>
                <c:pt idx="141">
                  <c:v>37845</c:v>
                </c:pt>
                <c:pt idx="142">
                  <c:v>37846</c:v>
                </c:pt>
                <c:pt idx="143">
                  <c:v>37847</c:v>
                </c:pt>
                <c:pt idx="144">
                  <c:v>37848</c:v>
                </c:pt>
                <c:pt idx="145">
                  <c:v>37851</c:v>
                </c:pt>
                <c:pt idx="146">
                  <c:v>37852</c:v>
                </c:pt>
                <c:pt idx="147">
                  <c:v>37853</c:v>
                </c:pt>
                <c:pt idx="148">
                  <c:v>37854</c:v>
                </c:pt>
                <c:pt idx="149">
                  <c:v>37855</c:v>
                </c:pt>
                <c:pt idx="150">
                  <c:v>37858</c:v>
                </c:pt>
                <c:pt idx="151">
                  <c:v>37859</c:v>
                </c:pt>
                <c:pt idx="152">
                  <c:v>37860</c:v>
                </c:pt>
                <c:pt idx="153">
                  <c:v>37861</c:v>
                </c:pt>
                <c:pt idx="154">
                  <c:v>37862</c:v>
                </c:pt>
                <c:pt idx="155">
                  <c:v>37866</c:v>
                </c:pt>
                <c:pt idx="156">
                  <c:v>37867</c:v>
                </c:pt>
                <c:pt idx="157">
                  <c:v>37868</c:v>
                </c:pt>
                <c:pt idx="158">
                  <c:v>37869</c:v>
                </c:pt>
                <c:pt idx="159">
                  <c:v>37872</c:v>
                </c:pt>
                <c:pt idx="160">
                  <c:v>37873</c:v>
                </c:pt>
                <c:pt idx="161">
                  <c:v>37874</c:v>
                </c:pt>
                <c:pt idx="162">
                  <c:v>37875</c:v>
                </c:pt>
                <c:pt idx="163">
                  <c:v>37876</c:v>
                </c:pt>
                <c:pt idx="164">
                  <c:v>37879</c:v>
                </c:pt>
                <c:pt idx="165">
                  <c:v>37880</c:v>
                </c:pt>
                <c:pt idx="166">
                  <c:v>37881</c:v>
                </c:pt>
                <c:pt idx="167">
                  <c:v>37882</c:v>
                </c:pt>
                <c:pt idx="168">
                  <c:v>37883</c:v>
                </c:pt>
                <c:pt idx="169">
                  <c:v>37886</c:v>
                </c:pt>
                <c:pt idx="170">
                  <c:v>37887</c:v>
                </c:pt>
                <c:pt idx="171">
                  <c:v>37888</c:v>
                </c:pt>
                <c:pt idx="172">
                  <c:v>37889</c:v>
                </c:pt>
                <c:pt idx="173">
                  <c:v>37890</c:v>
                </c:pt>
                <c:pt idx="174">
                  <c:v>37893</c:v>
                </c:pt>
                <c:pt idx="175">
                  <c:v>37894</c:v>
                </c:pt>
                <c:pt idx="176">
                  <c:v>37895</c:v>
                </c:pt>
                <c:pt idx="177">
                  <c:v>37896</c:v>
                </c:pt>
                <c:pt idx="178">
                  <c:v>37897</c:v>
                </c:pt>
                <c:pt idx="179">
                  <c:v>37900</c:v>
                </c:pt>
                <c:pt idx="180">
                  <c:v>37901</c:v>
                </c:pt>
                <c:pt idx="181">
                  <c:v>37902</c:v>
                </c:pt>
                <c:pt idx="182">
                  <c:v>37903</c:v>
                </c:pt>
                <c:pt idx="183">
                  <c:v>37904</c:v>
                </c:pt>
                <c:pt idx="184">
                  <c:v>37907</c:v>
                </c:pt>
                <c:pt idx="185">
                  <c:v>37908</c:v>
                </c:pt>
                <c:pt idx="186">
                  <c:v>37909</c:v>
                </c:pt>
                <c:pt idx="187">
                  <c:v>37910</c:v>
                </c:pt>
                <c:pt idx="188">
                  <c:v>37911</c:v>
                </c:pt>
                <c:pt idx="189">
                  <c:v>37914</c:v>
                </c:pt>
                <c:pt idx="190">
                  <c:v>37915</c:v>
                </c:pt>
                <c:pt idx="191">
                  <c:v>37916</c:v>
                </c:pt>
                <c:pt idx="192">
                  <c:v>37917</c:v>
                </c:pt>
                <c:pt idx="193">
                  <c:v>37921</c:v>
                </c:pt>
                <c:pt idx="194">
                  <c:v>37922</c:v>
                </c:pt>
                <c:pt idx="195">
                  <c:v>37923</c:v>
                </c:pt>
                <c:pt idx="196">
                  <c:v>37924</c:v>
                </c:pt>
                <c:pt idx="197">
                  <c:v>37925</c:v>
                </c:pt>
                <c:pt idx="198">
                  <c:v>37928</c:v>
                </c:pt>
                <c:pt idx="199">
                  <c:v>37929</c:v>
                </c:pt>
                <c:pt idx="200">
                  <c:v>37930</c:v>
                </c:pt>
                <c:pt idx="201">
                  <c:v>37931</c:v>
                </c:pt>
                <c:pt idx="202">
                  <c:v>37932</c:v>
                </c:pt>
                <c:pt idx="203">
                  <c:v>37935</c:v>
                </c:pt>
                <c:pt idx="204">
                  <c:v>37936</c:v>
                </c:pt>
                <c:pt idx="205">
                  <c:v>37937</c:v>
                </c:pt>
                <c:pt idx="206">
                  <c:v>37938</c:v>
                </c:pt>
                <c:pt idx="207">
                  <c:v>37939</c:v>
                </c:pt>
                <c:pt idx="208">
                  <c:v>37942</c:v>
                </c:pt>
                <c:pt idx="209">
                  <c:v>37943</c:v>
                </c:pt>
                <c:pt idx="210">
                  <c:v>37944</c:v>
                </c:pt>
                <c:pt idx="211">
                  <c:v>37945</c:v>
                </c:pt>
                <c:pt idx="212">
                  <c:v>37946</c:v>
                </c:pt>
                <c:pt idx="213">
                  <c:v>37952</c:v>
                </c:pt>
                <c:pt idx="214">
                  <c:v>37953</c:v>
                </c:pt>
                <c:pt idx="215">
                  <c:v>37956</c:v>
                </c:pt>
                <c:pt idx="216">
                  <c:v>37957</c:v>
                </c:pt>
                <c:pt idx="217">
                  <c:v>37958</c:v>
                </c:pt>
                <c:pt idx="218">
                  <c:v>37959</c:v>
                </c:pt>
                <c:pt idx="219">
                  <c:v>37960</c:v>
                </c:pt>
                <c:pt idx="220">
                  <c:v>37963</c:v>
                </c:pt>
                <c:pt idx="221">
                  <c:v>37964</c:v>
                </c:pt>
                <c:pt idx="222">
                  <c:v>37965</c:v>
                </c:pt>
                <c:pt idx="223">
                  <c:v>37966</c:v>
                </c:pt>
                <c:pt idx="224">
                  <c:v>37967</c:v>
                </c:pt>
                <c:pt idx="225">
                  <c:v>37970</c:v>
                </c:pt>
                <c:pt idx="226">
                  <c:v>37971</c:v>
                </c:pt>
                <c:pt idx="227">
                  <c:v>37972</c:v>
                </c:pt>
                <c:pt idx="228">
                  <c:v>37973</c:v>
                </c:pt>
                <c:pt idx="229">
                  <c:v>37974</c:v>
                </c:pt>
                <c:pt idx="230">
                  <c:v>37977</c:v>
                </c:pt>
                <c:pt idx="231">
                  <c:v>37978</c:v>
                </c:pt>
                <c:pt idx="232">
                  <c:v>37979</c:v>
                </c:pt>
                <c:pt idx="233">
                  <c:v>37981</c:v>
                </c:pt>
                <c:pt idx="234">
                  <c:v>37984</c:v>
                </c:pt>
                <c:pt idx="235">
                  <c:v>37985</c:v>
                </c:pt>
                <c:pt idx="236">
                  <c:v>37986</c:v>
                </c:pt>
                <c:pt idx="237">
                  <c:v>37988</c:v>
                </c:pt>
                <c:pt idx="238">
                  <c:v>37991</c:v>
                </c:pt>
                <c:pt idx="239">
                  <c:v>37992</c:v>
                </c:pt>
                <c:pt idx="240">
                  <c:v>37993</c:v>
                </c:pt>
                <c:pt idx="241">
                  <c:v>37994</c:v>
                </c:pt>
                <c:pt idx="242">
                  <c:v>37995</c:v>
                </c:pt>
                <c:pt idx="243">
                  <c:v>37998</c:v>
                </c:pt>
                <c:pt idx="244">
                  <c:v>37999</c:v>
                </c:pt>
                <c:pt idx="245">
                  <c:v>38000</c:v>
                </c:pt>
              </c:numCache>
            </c:numRef>
          </c:cat>
          <c:val>
            <c:numRef>
              <c:f>[1]Ex_Total!$B$5441:$B$5686</c:f>
              <c:numCache>
                <c:formatCode>General</c:formatCode>
                <c:ptCount val="246"/>
                <c:pt idx="0">
                  <c:v>7424</c:v>
                </c:pt>
                <c:pt idx="1">
                  <c:v>13565</c:v>
                </c:pt>
                <c:pt idx="2">
                  <c:v>4835</c:v>
                </c:pt>
                <c:pt idx="3">
                  <c:v>4517</c:v>
                </c:pt>
                <c:pt idx="4">
                  <c:v>10104</c:v>
                </c:pt>
                <c:pt idx="5">
                  <c:v>5686</c:v>
                </c:pt>
                <c:pt idx="6">
                  <c:v>9987</c:v>
                </c:pt>
                <c:pt idx="7">
                  <c:v>6372</c:v>
                </c:pt>
                <c:pt idx="8">
                  <c:v>8381</c:v>
                </c:pt>
                <c:pt idx="9">
                  <c:v>6491</c:v>
                </c:pt>
                <c:pt idx="10">
                  <c:v>5235</c:v>
                </c:pt>
                <c:pt idx="11">
                  <c:v>6842</c:v>
                </c:pt>
                <c:pt idx="12">
                  <c:v>3901</c:v>
                </c:pt>
                <c:pt idx="13">
                  <c:v>2075</c:v>
                </c:pt>
                <c:pt idx="14">
                  <c:v>6155</c:v>
                </c:pt>
                <c:pt idx="15">
                  <c:v>5725</c:v>
                </c:pt>
                <c:pt idx="16">
                  <c:v>6176</c:v>
                </c:pt>
                <c:pt idx="17">
                  <c:v>6392</c:v>
                </c:pt>
                <c:pt idx="18">
                  <c:v>4053</c:v>
                </c:pt>
                <c:pt idx="19">
                  <c:v>12310</c:v>
                </c:pt>
                <c:pt idx="20">
                  <c:v>7571</c:v>
                </c:pt>
                <c:pt idx="21">
                  <c:v>9201</c:v>
                </c:pt>
                <c:pt idx="22">
                  <c:v>4699</c:v>
                </c:pt>
                <c:pt idx="23">
                  <c:v>4309</c:v>
                </c:pt>
                <c:pt idx="24">
                  <c:v>3666</c:v>
                </c:pt>
                <c:pt idx="25">
                  <c:v>4710</c:v>
                </c:pt>
                <c:pt idx="26">
                  <c:v>3773</c:v>
                </c:pt>
                <c:pt idx="27">
                  <c:v>4759</c:v>
                </c:pt>
                <c:pt idx="28">
                  <c:v>9027</c:v>
                </c:pt>
                <c:pt idx="29">
                  <c:v>3650</c:v>
                </c:pt>
                <c:pt idx="30">
                  <c:v>15697</c:v>
                </c:pt>
                <c:pt idx="31">
                  <c:v>6006</c:v>
                </c:pt>
                <c:pt idx="32">
                  <c:v>7680</c:v>
                </c:pt>
                <c:pt idx="33">
                  <c:v>9142</c:v>
                </c:pt>
                <c:pt idx="34">
                  <c:v>8316</c:v>
                </c:pt>
                <c:pt idx="35">
                  <c:v>8170</c:v>
                </c:pt>
                <c:pt idx="36">
                  <c:v>5496</c:v>
                </c:pt>
                <c:pt idx="37">
                  <c:v>7509</c:v>
                </c:pt>
                <c:pt idx="38">
                  <c:v>11781</c:v>
                </c:pt>
                <c:pt idx="39">
                  <c:v>5681</c:v>
                </c:pt>
                <c:pt idx="40">
                  <c:v>8377</c:v>
                </c:pt>
                <c:pt idx="41">
                  <c:v>9523</c:v>
                </c:pt>
                <c:pt idx="42">
                  <c:v>7248</c:v>
                </c:pt>
                <c:pt idx="43">
                  <c:v>7789</c:v>
                </c:pt>
                <c:pt idx="44">
                  <c:v>14056</c:v>
                </c:pt>
                <c:pt idx="45">
                  <c:v>15380</c:v>
                </c:pt>
                <c:pt idx="46">
                  <c:v>13278</c:v>
                </c:pt>
                <c:pt idx="47">
                  <c:v>10086</c:v>
                </c:pt>
                <c:pt idx="48">
                  <c:v>7869</c:v>
                </c:pt>
                <c:pt idx="49">
                  <c:v>6830</c:v>
                </c:pt>
                <c:pt idx="50">
                  <c:v>7623</c:v>
                </c:pt>
                <c:pt idx="51">
                  <c:v>9665</c:v>
                </c:pt>
                <c:pt idx="52">
                  <c:v>8262</c:v>
                </c:pt>
                <c:pt idx="53">
                  <c:v>8406</c:v>
                </c:pt>
                <c:pt idx="54">
                  <c:v>11355</c:v>
                </c:pt>
                <c:pt idx="55">
                  <c:v>13463</c:v>
                </c:pt>
                <c:pt idx="56">
                  <c:v>8188</c:v>
                </c:pt>
                <c:pt idx="57">
                  <c:v>6264</c:v>
                </c:pt>
                <c:pt idx="58">
                  <c:v>7650</c:v>
                </c:pt>
                <c:pt idx="59">
                  <c:v>7133</c:v>
                </c:pt>
                <c:pt idx="60">
                  <c:v>8820</c:v>
                </c:pt>
                <c:pt idx="61">
                  <c:v>8063</c:v>
                </c:pt>
                <c:pt idx="62">
                  <c:v>4616</c:v>
                </c:pt>
                <c:pt idx="63">
                  <c:v>5479</c:v>
                </c:pt>
                <c:pt idx="64">
                  <c:v>7926</c:v>
                </c:pt>
                <c:pt idx="65">
                  <c:v>8453</c:v>
                </c:pt>
                <c:pt idx="66">
                  <c:v>5647</c:v>
                </c:pt>
                <c:pt idx="67">
                  <c:v>7678</c:v>
                </c:pt>
                <c:pt idx="68">
                  <c:v>6693</c:v>
                </c:pt>
                <c:pt idx="69">
                  <c:v>7769</c:v>
                </c:pt>
                <c:pt idx="70">
                  <c:v>7554</c:v>
                </c:pt>
                <c:pt idx="71">
                  <c:v>5446</c:v>
                </c:pt>
                <c:pt idx="72">
                  <c:v>4257</c:v>
                </c:pt>
                <c:pt idx="73">
                  <c:v>4316</c:v>
                </c:pt>
                <c:pt idx="74">
                  <c:v>5468</c:v>
                </c:pt>
                <c:pt idx="75">
                  <c:v>6144</c:v>
                </c:pt>
                <c:pt idx="76">
                  <c:v>7392</c:v>
                </c:pt>
                <c:pt idx="77">
                  <c:v>9025</c:v>
                </c:pt>
                <c:pt idx="78">
                  <c:v>6573</c:v>
                </c:pt>
                <c:pt idx="79">
                  <c:v>9045</c:v>
                </c:pt>
                <c:pt idx="80">
                  <c:v>9113</c:v>
                </c:pt>
                <c:pt idx="81">
                  <c:v>5415</c:v>
                </c:pt>
                <c:pt idx="82">
                  <c:v>7725</c:v>
                </c:pt>
                <c:pt idx="83">
                  <c:v>9541</c:v>
                </c:pt>
                <c:pt idx="84">
                  <c:v>8209</c:v>
                </c:pt>
                <c:pt idx="85">
                  <c:v>5607</c:v>
                </c:pt>
                <c:pt idx="86">
                  <c:v>8135</c:v>
                </c:pt>
                <c:pt idx="87">
                  <c:v>8409</c:v>
                </c:pt>
                <c:pt idx="88">
                  <c:v>8421</c:v>
                </c:pt>
                <c:pt idx="89">
                  <c:v>8873</c:v>
                </c:pt>
                <c:pt idx="90">
                  <c:v>4296</c:v>
                </c:pt>
                <c:pt idx="91">
                  <c:v>6174</c:v>
                </c:pt>
                <c:pt idx="92">
                  <c:v>7990</c:v>
                </c:pt>
                <c:pt idx="93">
                  <c:v>10272</c:v>
                </c:pt>
                <c:pt idx="94">
                  <c:v>8098</c:v>
                </c:pt>
                <c:pt idx="95">
                  <c:v>7289</c:v>
                </c:pt>
                <c:pt idx="96">
                  <c:v>9339</c:v>
                </c:pt>
                <c:pt idx="97">
                  <c:v>8947</c:v>
                </c:pt>
                <c:pt idx="98">
                  <c:v>7299</c:v>
                </c:pt>
                <c:pt idx="99">
                  <c:v>6451</c:v>
                </c:pt>
                <c:pt idx="100">
                  <c:v>6978</c:v>
                </c:pt>
                <c:pt idx="101">
                  <c:v>6750</c:v>
                </c:pt>
                <c:pt idx="102">
                  <c:v>7888</c:v>
                </c:pt>
                <c:pt idx="103">
                  <c:v>8783</c:v>
                </c:pt>
                <c:pt idx="104">
                  <c:v>4703</c:v>
                </c:pt>
                <c:pt idx="105">
                  <c:v>7145</c:v>
                </c:pt>
                <c:pt idx="106">
                  <c:v>8230</c:v>
                </c:pt>
                <c:pt idx="107">
                  <c:v>6670</c:v>
                </c:pt>
                <c:pt idx="108">
                  <c:v>9229</c:v>
                </c:pt>
                <c:pt idx="109">
                  <c:v>11493</c:v>
                </c:pt>
                <c:pt idx="110">
                  <c:v>4340</c:v>
                </c:pt>
                <c:pt idx="111">
                  <c:v>4591</c:v>
                </c:pt>
                <c:pt idx="112">
                  <c:v>7263</c:v>
                </c:pt>
                <c:pt idx="113">
                  <c:v>8741</c:v>
                </c:pt>
                <c:pt idx="114">
                  <c:v>6786</c:v>
                </c:pt>
                <c:pt idx="115">
                  <c:v>8013</c:v>
                </c:pt>
                <c:pt idx="116">
                  <c:v>6672</c:v>
                </c:pt>
                <c:pt idx="117">
                  <c:v>6154</c:v>
                </c:pt>
                <c:pt idx="118">
                  <c:v>5187</c:v>
                </c:pt>
                <c:pt idx="119">
                  <c:v>5449</c:v>
                </c:pt>
                <c:pt idx="120">
                  <c:v>4359</c:v>
                </c:pt>
                <c:pt idx="121">
                  <c:v>5639</c:v>
                </c:pt>
                <c:pt idx="122">
                  <c:v>8830</c:v>
                </c:pt>
                <c:pt idx="123">
                  <c:v>9169</c:v>
                </c:pt>
                <c:pt idx="124">
                  <c:v>9819</c:v>
                </c:pt>
                <c:pt idx="125">
                  <c:v>11929</c:v>
                </c:pt>
                <c:pt idx="126">
                  <c:v>10769</c:v>
                </c:pt>
                <c:pt idx="127">
                  <c:v>13789</c:v>
                </c:pt>
                <c:pt idx="128">
                  <c:v>6145</c:v>
                </c:pt>
                <c:pt idx="129">
                  <c:v>6899</c:v>
                </c:pt>
                <c:pt idx="130">
                  <c:v>11632</c:v>
                </c:pt>
                <c:pt idx="131">
                  <c:v>12908</c:v>
                </c:pt>
                <c:pt idx="132">
                  <c:v>9810</c:v>
                </c:pt>
                <c:pt idx="133">
                  <c:v>7246</c:v>
                </c:pt>
                <c:pt idx="134">
                  <c:v>8438</c:v>
                </c:pt>
                <c:pt idx="135">
                  <c:v>7005</c:v>
                </c:pt>
                <c:pt idx="136">
                  <c:v>6077</c:v>
                </c:pt>
                <c:pt idx="137">
                  <c:v>10290</c:v>
                </c:pt>
                <c:pt idx="138">
                  <c:v>9593</c:v>
                </c:pt>
                <c:pt idx="139">
                  <c:v>5942</c:v>
                </c:pt>
                <c:pt idx="140">
                  <c:v>4336</c:v>
                </c:pt>
                <c:pt idx="141">
                  <c:v>5295</c:v>
                </c:pt>
                <c:pt idx="142">
                  <c:v>7538</c:v>
                </c:pt>
                <c:pt idx="143">
                  <c:v>6223</c:v>
                </c:pt>
                <c:pt idx="144">
                  <c:v>6176</c:v>
                </c:pt>
                <c:pt idx="145">
                  <c:v>6498</c:v>
                </c:pt>
                <c:pt idx="146">
                  <c:v>7913</c:v>
                </c:pt>
                <c:pt idx="147">
                  <c:v>6327</c:v>
                </c:pt>
                <c:pt idx="148">
                  <c:v>13852</c:v>
                </c:pt>
                <c:pt idx="149">
                  <c:v>6384</c:v>
                </c:pt>
                <c:pt idx="150">
                  <c:v>4907</c:v>
                </c:pt>
                <c:pt idx="151">
                  <c:v>6534</c:v>
                </c:pt>
                <c:pt idx="152">
                  <c:v>7918</c:v>
                </c:pt>
                <c:pt idx="153">
                  <c:v>10242</c:v>
                </c:pt>
                <c:pt idx="154">
                  <c:v>8260</c:v>
                </c:pt>
                <c:pt idx="155">
                  <c:v>5938</c:v>
                </c:pt>
                <c:pt idx="156">
                  <c:v>8608</c:v>
                </c:pt>
                <c:pt idx="157">
                  <c:v>6502</c:v>
                </c:pt>
                <c:pt idx="158">
                  <c:v>3391</c:v>
                </c:pt>
                <c:pt idx="159">
                  <c:v>3673</c:v>
                </c:pt>
                <c:pt idx="160">
                  <c:v>7062</c:v>
                </c:pt>
                <c:pt idx="161">
                  <c:v>8140</c:v>
                </c:pt>
                <c:pt idx="162">
                  <c:v>6962</c:v>
                </c:pt>
                <c:pt idx="163">
                  <c:v>10568</c:v>
                </c:pt>
                <c:pt idx="164">
                  <c:v>5481</c:v>
                </c:pt>
                <c:pt idx="165">
                  <c:v>4924</c:v>
                </c:pt>
                <c:pt idx="166">
                  <c:v>12131</c:v>
                </c:pt>
                <c:pt idx="167">
                  <c:v>8692</c:v>
                </c:pt>
                <c:pt idx="168">
                  <c:v>9547</c:v>
                </c:pt>
                <c:pt idx="169">
                  <c:v>10090</c:v>
                </c:pt>
                <c:pt idx="170">
                  <c:v>9798</c:v>
                </c:pt>
                <c:pt idx="171">
                  <c:v>9170</c:v>
                </c:pt>
                <c:pt idx="172">
                  <c:v>11732</c:v>
                </c:pt>
                <c:pt idx="173">
                  <c:v>9456</c:v>
                </c:pt>
                <c:pt idx="174">
                  <c:v>14165</c:v>
                </c:pt>
                <c:pt idx="175">
                  <c:v>11464</c:v>
                </c:pt>
                <c:pt idx="176">
                  <c:v>8113</c:v>
                </c:pt>
                <c:pt idx="177">
                  <c:v>13825</c:v>
                </c:pt>
                <c:pt idx="178">
                  <c:v>7529</c:v>
                </c:pt>
                <c:pt idx="179">
                  <c:v>8031</c:v>
                </c:pt>
                <c:pt idx="180">
                  <c:v>7968</c:v>
                </c:pt>
                <c:pt idx="181">
                  <c:v>11064</c:v>
                </c:pt>
                <c:pt idx="182">
                  <c:v>9836</c:v>
                </c:pt>
                <c:pt idx="183">
                  <c:v>12905</c:v>
                </c:pt>
                <c:pt idx="184">
                  <c:v>8421</c:v>
                </c:pt>
                <c:pt idx="185">
                  <c:v>15040</c:v>
                </c:pt>
                <c:pt idx="186">
                  <c:v>10287</c:v>
                </c:pt>
                <c:pt idx="187">
                  <c:v>10539</c:v>
                </c:pt>
                <c:pt idx="188">
                  <c:v>12841</c:v>
                </c:pt>
                <c:pt idx="189">
                  <c:v>12170</c:v>
                </c:pt>
                <c:pt idx="190">
                  <c:v>16854</c:v>
                </c:pt>
                <c:pt idx="191">
                  <c:v>11350</c:v>
                </c:pt>
                <c:pt idx="192">
                  <c:v>12318</c:v>
                </c:pt>
                <c:pt idx="193">
                  <c:v>10457</c:v>
                </c:pt>
                <c:pt idx="194">
                  <c:v>12532</c:v>
                </c:pt>
                <c:pt idx="195">
                  <c:v>14706</c:v>
                </c:pt>
                <c:pt idx="196">
                  <c:v>9279</c:v>
                </c:pt>
                <c:pt idx="197">
                  <c:v>10489</c:v>
                </c:pt>
                <c:pt idx="198">
                  <c:v>8204</c:v>
                </c:pt>
                <c:pt idx="199">
                  <c:v>8876</c:v>
                </c:pt>
                <c:pt idx="200">
                  <c:v>8177</c:v>
                </c:pt>
                <c:pt idx="201">
                  <c:v>11357</c:v>
                </c:pt>
                <c:pt idx="202">
                  <c:v>9200</c:v>
                </c:pt>
                <c:pt idx="203">
                  <c:v>12157</c:v>
                </c:pt>
                <c:pt idx="204">
                  <c:v>10126</c:v>
                </c:pt>
                <c:pt idx="205">
                  <c:v>8256</c:v>
                </c:pt>
                <c:pt idx="206">
                  <c:v>12706</c:v>
                </c:pt>
                <c:pt idx="207">
                  <c:v>13365</c:v>
                </c:pt>
                <c:pt idx="208">
                  <c:v>10243</c:v>
                </c:pt>
                <c:pt idx="209">
                  <c:v>7632</c:v>
                </c:pt>
                <c:pt idx="210">
                  <c:v>11851</c:v>
                </c:pt>
                <c:pt idx="211">
                  <c:v>9796</c:v>
                </c:pt>
                <c:pt idx="212">
                  <c:v>9818</c:v>
                </c:pt>
                <c:pt idx="213">
                  <c:v>9830</c:v>
                </c:pt>
                <c:pt idx="214">
                  <c:v>6973</c:v>
                </c:pt>
                <c:pt idx="215">
                  <c:v>7443</c:v>
                </c:pt>
                <c:pt idx="216">
                  <c:v>9351</c:v>
                </c:pt>
                <c:pt idx="217">
                  <c:v>7968</c:v>
                </c:pt>
                <c:pt idx="218">
                  <c:v>6818</c:v>
                </c:pt>
                <c:pt idx="219">
                  <c:v>4957</c:v>
                </c:pt>
                <c:pt idx="220">
                  <c:v>6018</c:v>
                </c:pt>
                <c:pt idx="221">
                  <c:v>7718</c:v>
                </c:pt>
                <c:pt idx="222">
                  <c:v>6852</c:v>
                </c:pt>
                <c:pt idx="223">
                  <c:v>6576</c:v>
                </c:pt>
                <c:pt idx="224">
                  <c:v>7628</c:v>
                </c:pt>
                <c:pt idx="225">
                  <c:v>6411</c:v>
                </c:pt>
                <c:pt idx="226">
                  <c:v>5162</c:v>
                </c:pt>
                <c:pt idx="227">
                  <c:v>5995</c:v>
                </c:pt>
                <c:pt idx="228">
                  <c:v>6653</c:v>
                </c:pt>
                <c:pt idx="229">
                  <c:v>8285</c:v>
                </c:pt>
                <c:pt idx="230">
                  <c:v>8508</c:v>
                </c:pt>
                <c:pt idx="231">
                  <c:v>9998</c:v>
                </c:pt>
                <c:pt idx="232">
                  <c:v>11957</c:v>
                </c:pt>
                <c:pt idx="233">
                  <c:v>4958</c:v>
                </c:pt>
                <c:pt idx="234">
                  <c:v>10625</c:v>
                </c:pt>
                <c:pt idx="235">
                  <c:v>8853</c:v>
                </c:pt>
                <c:pt idx="236">
                  <c:v>2839</c:v>
                </c:pt>
                <c:pt idx="237">
                  <c:v>6097</c:v>
                </c:pt>
                <c:pt idx="238">
                  <c:v>6182</c:v>
                </c:pt>
                <c:pt idx="239">
                  <c:v>8920</c:v>
                </c:pt>
                <c:pt idx="240">
                  <c:v>10427</c:v>
                </c:pt>
                <c:pt idx="241">
                  <c:v>13327</c:v>
                </c:pt>
                <c:pt idx="242">
                  <c:v>12746</c:v>
                </c:pt>
                <c:pt idx="243">
                  <c:v>10133</c:v>
                </c:pt>
                <c:pt idx="244">
                  <c:v>10268</c:v>
                </c:pt>
                <c:pt idx="245">
                  <c:v>9239</c:v>
                </c:pt>
              </c:numCache>
            </c:numRef>
          </c:val>
        </c:ser>
        <c:gapWidth val="0"/>
        <c:axId val="134607616"/>
        <c:axId val="134609152"/>
      </c:barChart>
      <c:lineChart>
        <c:grouping val="standard"/>
        <c:ser>
          <c:idx val="1"/>
          <c:order val="1"/>
          <c:tx>
            <c:strRef>
              <c:f>[1]Ex_Total!$C$1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[1]Ex_Total!$A$5441:$A$5686</c:f>
              <c:numCache>
                <c:formatCode>General</c:formatCode>
                <c:ptCount val="246"/>
                <c:pt idx="0">
                  <c:v>37636</c:v>
                </c:pt>
                <c:pt idx="1">
                  <c:v>37637</c:v>
                </c:pt>
                <c:pt idx="2">
                  <c:v>37638</c:v>
                </c:pt>
                <c:pt idx="3">
                  <c:v>37641</c:v>
                </c:pt>
                <c:pt idx="4">
                  <c:v>37642</c:v>
                </c:pt>
                <c:pt idx="5">
                  <c:v>37643</c:v>
                </c:pt>
                <c:pt idx="6">
                  <c:v>37644</c:v>
                </c:pt>
                <c:pt idx="7">
                  <c:v>37645</c:v>
                </c:pt>
                <c:pt idx="8">
                  <c:v>37648</c:v>
                </c:pt>
                <c:pt idx="9">
                  <c:v>37649</c:v>
                </c:pt>
                <c:pt idx="10">
                  <c:v>37650</c:v>
                </c:pt>
                <c:pt idx="11">
                  <c:v>37651</c:v>
                </c:pt>
                <c:pt idx="12">
                  <c:v>37657</c:v>
                </c:pt>
                <c:pt idx="13">
                  <c:v>37658</c:v>
                </c:pt>
                <c:pt idx="14">
                  <c:v>37659</c:v>
                </c:pt>
                <c:pt idx="15">
                  <c:v>37662</c:v>
                </c:pt>
                <c:pt idx="16">
                  <c:v>37663</c:v>
                </c:pt>
                <c:pt idx="17">
                  <c:v>37665</c:v>
                </c:pt>
                <c:pt idx="18">
                  <c:v>37666</c:v>
                </c:pt>
                <c:pt idx="19">
                  <c:v>37669</c:v>
                </c:pt>
                <c:pt idx="20">
                  <c:v>37670</c:v>
                </c:pt>
                <c:pt idx="21">
                  <c:v>37671</c:v>
                </c:pt>
                <c:pt idx="22">
                  <c:v>37672</c:v>
                </c:pt>
                <c:pt idx="23">
                  <c:v>37673</c:v>
                </c:pt>
                <c:pt idx="24">
                  <c:v>37676</c:v>
                </c:pt>
                <c:pt idx="25">
                  <c:v>37677</c:v>
                </c:pt>
                <c:pt idx="26">
                  <c:v>37678</c:v>
                </c:pt>
                <c:pt idx="27">
                  <c:v>37679</c:v>
                </c:pt>
                <c:pt idx="28">
                  <c:v>37680</c:v>
                </c:pt>
                <c:pt idx="29">
                  <c:v>37683</c:v>
                </c:pt>
                <c:pt idx="30">
                  <c:v>37685</c:v>
                </c:pt>
                <c:pt idx="31">
                  <c:v>37686</c:v>
                </c:pt>
                <c:pt idx="32">
                  <c:v>37687</c:v>
                </c:pt>
                <c:pt idx="33">
                  <c:v>37690</c:v>
                </c:pt>
                <c:pt idx="34">
                  <c:v>37691</c:v>
                </c:pt>
                <c:pt idx="35">
                  <c:v>37692</c:v>
                </c:pt>
                <c:pt idx="36">
                  <c:v>37693</c:v>
                </c:pt>
                <c:pt idx="37">
                  <c:v>37694</c:v>
                </c:pt>
                <c:pt idx="38">
                  <c:v>37697</c:v>
                </c:pt>
                <c:pt idx="39">
                  <c:v>37698</c:v>
                </c:pt>
                <c:pt idx="40">
                  <c:v>37699</c:v>
                </c:pt>
                <c:pt idx="41">
                  <c:v>37700</c:v>
                </c:pt>
                <c:pt idx="42">
                  <c:v>37701</c:v>
                </c:pt>
                <c:pt idx="43">
                  <c:v>37704</c:v>
                </c:pt>
                <c:pt idx="44">
                  <c:v>37705</c:v>
                </c:pt>
                <c:pt idx="45">
                  <c:v>37706</c:v>
                </c:pt>
                <c:pt idx="46">
                  <c:v>37707</c:v>
                </c:pt>
                <c:pt idx="47">
                  <c:v>37708</c:v>
                </c:pt>
                <c:pt idx="48">
                  <c:v>37711</c:v>
                </c:pt>
                <c:pt idx="49">
                  <c:v>37712</c:v>
                </c:pt>
                <c:pt idx="50">
                  <c:v>37713</c:v>
                </c:pt>
                <c:pt idx="51">
                  <c:v>37714</c:v>
                </c:pt>
                <c:pt idx="52">
                  <c:v>37715</c:v>
                </c:pt>
                <c:pt idx="53">
                  <c:v>37718</c:v>
                </c:pt>
                <c:pt idx="54">
                  <c:v>37719</c:v>
                </c:pt>
                <c:pt idx="55">
                  <c:v>37720</c:v>
                </c:pt>
                <c:pt idx="56">
                  <c:v>37721</c:v>
                </c:pt>
                <c:pt idx="57">
                  <c:v>37722</c:v>
                </c:pt>
                <c:pt idx="58">
                  <c:v>37725</c:v>
                </c:pt>
                <c:pt idx="59">
                  <c:v>37726</c:v>
                </c:pt>
                <c:pt idx="60">
                  <c:v>37727</c:v>
                </c:pt>
                <c:pt idx="61">
                  <c:v>37728</c:v>
                </c:pt>
                <c:pt idx="62">
                  <c:v>37729</c:v>
                </c:pt>
                <c:pt idx="63">
                  <c:v>37732</c:v>
                </c:pt>
                <c:pt idx="64">
                  <c:v>37733</c:v>
                </c:pt>
                <c:pt idx="65">
                  <c:v>37734</c:v>
                </c:pt>
                <c:pt idx="66">
                  <c:v>37735</c:v>
                </c:pt>
                <c:pt idx="67">
                  <c:v>37736</c:v>
                </c:pt>
                <c:pt idx="68">
                  <c:v>37739</c:v>
                </c:pt>
                <c:pt idx="69">
                  <c:v>37740</c:v>
                </c:pt>
                <c:pt idx="70">
                  <c:v>37741</c:v>
                </c:pt>
                <c:pt idx="71">
                  <c:v>37743</c:v>
                </c:pt>
                <c:pt idx="72">
                  <c:v>37746</c:v>
                </c:pt>
                <c:pt idx="73">
                  <c:v>37747</c:v>
                </c:pt>
                <c:pt idx="74">
                  <c:v>37748</c:v>
                </c:pt>
                <c:pt idx="75">
                  <c:v>37749</c:v>
                </c:pt>
                <c:pt idx="76">
                  <c:v>37750</c:v>
                </c:pt>
                <c:pt idx="77">
                  <c:v>37753</c:v>
                </c:pt>
                <c:pt idx="78">
                  <c:v>37754</c:v>
                </c:pt>
                <c:pt idx="79">
                  <c:v>37757</c:v>
                </c:pt>
                <c:pt idx="80">
                  <c:v>37760</c:v>
                </c:pt>
                <c:pt idx="81">
                  <c:v>37761</c:v>
                </c:pt>
                <c:pt idx="82">
                  <c:v>37762</c:v>
                </c:pt>
                <c:pt idx="83">
                  <c:v>37763</c:v>
                </c:pt>
                <c:pt idx="84">
                  <c:v>37764</c:v>
                </c:pt>
                <c:pt idx="85">
                  <c:v>37767</c:v>
                </c:pt>
                <c:pt idx="86">
                  <c:v>37768</c:v>
                </c:pt>
                <c:pt idx="87">
                  <c:v>37769</c:v>
                </c:pt>
                <c:pt idx="88">
                  <c:v>37770</c:v>
                </c:pt>
                <c:pt idx="89">
                  <c:v>37771</c:v>
                </c:pt>
                <c:pt idx="90">
                  <c:v>37774</c:v>
                </c:pt>
                <c:pt idx="91">
                  <c:v>37775</c:v>
                </c:pt>
                <c:pt idx="92">
                  <c:v>37776</c:v>
                </c:pt>
                <c:pt idx="93">
                  <c:v>37777</c:v>
                </c:pt>
                <c:pt idx="94">
                  <c:v>37778</c:v>
                </c:pt>
                <c:pt idx="95">
                  <c:v>37781</c:v>
                </c:pt>
                <c:pt idx="96">
                  <c:v>37782</c:v>
                </c:pt>
                <c:pt idx="97">
                  <c:v>37783</c:v>
                </c:pt>
                <c:pt idx="98">
                  <c:v>37784</c:v>
                </c:pt>
                <c:pt idx="99">
                  <c:v>37785</c:v>
                </c:pt>
                <c:pt idx="100">
                  <c:v>37788</c:v>
                </c:pt>
                <c:pt idx="101">
                  <c:v>37789</c:v>
                </c:pt>
                <c:pt idx="102">
                  <c:v>37790</c:v>
                </c:pt>
                <c:pt idx="103">
                  <c:v>37791</c:v>
                </c:pt>
                <c:pt idx="104">
                  <c:v>37792</c:v>
                </c:pt>
                <c:pt idx="105">
                  <c:v>37795</c:v>
                </c:pt>
                <c:pt idx="106">
                  <c:v>37796</c:v>
                </c:pt>
                <c:pt idx="107">
                  <c:v>37797</c:v>
                </c:pt>
                <c:pt idx="108">
                  <c:v>37798</c:v>
                </c:pt>
                <c:pt idx="109">
                  <c:v>37799</c:v>
                </c:pt>
                <c:pt idx="110">
                  <c:v>37802</c:v>
                </c:pt>
                <c:pt idx="111">
                  <c:v>37803</c:v>
                </c:pt>
                <c:pt idx="112">
                  <c:v>37804</c:v>
                </c:pt>
                <c:pt idx="113">
                  <c:v>37805</c:v>
                </c:pt>
                <c:pt idx="114">
                  <c:v>37806</c:v>
                </c:pt>
                <c:pt idx="115">
                  <c:v>37809</c:v>
                </c:pt>
                <c:pt idx="116">
                  <c:v>37810</c:v>
                </c:pt>
                <c:pt idx="117">
                  <c:v>37811</c:v>
                </c:pt>
                <c:pt idx="118">
                  <c:v>37812</c:v>
                </c:pt>
                <c:pt idx="119">
                  <c:v>37813</c:v>
                </c:pt>
                <c:pt idx="120">
                  <c:v>37816</c:v>
                </c:pt>
                <c:pt idx="121">
                  <c:v>37817</c:v>
                </c:pt>
                <c:pt idx="122">
                  <c:v>37818</c:v>
                </c:pt>
                <c:pt idx="123">
                  <c:v>37819</c:v>
                </c:pt>
                <c:pt idx="124">
                  <c:v>37820</c:v>
                </c:pt>
                <c:pt idx="125">
                  <c:v>37823</c:v>
                </c:pt>
                <c:pt idx="126">
                  <c:v>37824</c:v>
                </c:pt>
                <c:pt idx="127">
                  <c:v>37825</c:v>
                </c:pt>
                <c:pt idx="128">
                  <c:v>37826</c:v>
                </c:pt>
                <c:pt idx="129">
                  <c:v>37827</c:v>
                </c:pt>
                <c:pt idx="130">
                  <c:v>37830</c:v>
                </c:pt>
                <c:pt idx="131">
                  <c:v>37831</c:v>
                </c:pt>
                <c:pt idx="132">
                  <c:v>37832</c:v>
                </c:pt>
                <c:pt idx="133">
                  <c:v>37833</c:v>
                </c:pt>
                <c:pt idx="134">
                  <c:v>37834</c:v>
                </c:pt>
                <c:pt idx="135">
                  <c:v>37837</c:v>
                </c:pt>
                <c:pt idx="136">
                  <c:v>37838</c:v>
                </c:pt>
                <c:pt idx="137">
                  <c:v>37839</c:v>
                </c:pt>
                <c:pt idx="138">
                  <c:v>37840</c:v>
                </c:pt>
                <c:pt idx="139">
                  <c:v>37841</c:v>
                </c:pt>
                <c:pt idx="140">
                  <c:v>37844</c:v>
                </c:pt>
                <c:pt idx="141">
                  <c:v>37845</c:v>
                </c:pt>
                <c:pt idx="142">
                  <c:v>37846</c:v>
                </c:pt>
                <c:pt idx="143">
                  <c:v>37847</c:v>
                </c:pt>
                <c:pt idx="144">
                  <c:v>37848</c:v>
                </c:pt>
                <c:pt idx="145">
                  <c:v>37851</c:v>
                </c:pt>
                <c:pt idx="146">
                  <c:v>37852</c:v>
                </c:pt>
                <c:pt idx="147">
                  <c:v>37853</c:v>
                </c:pt>
                <c:pt idx="148">
                  <c:v>37854</c:v>
                </c:pt>
                <c:pt idx="149">
                  <c:v>37855</c:v>
                </c:pt>
                <c:pt idx="150">
                  <c:v>37858</c:v>
                </c:pt>
                <c:pt idx="151">
                  <c:v>37859</c:v>
                </c:pt>
                <c:pt idx="152">
                  <c:v>37860</c:v>
                </c:pt>
                <c:pt idx="153">
                  <c:v>37861</c:v>
                </c:pt>
                <c:pt idx="154">
                  <c:v>37862</c:v>
                </c:pt>
                <c:pt idx="155">
                  <c:v>37866</c:v>
                </c:pt>
                <c:pt idx="156">
                  <c:v>37867</c:v>
                </c:pt>
                <c:pt idx="157">
                  <c:v>37868</c:v>
                </c:pt>
                <c:pt idx="158">
                  <c:v>37869</c:v>
                </c:pt>
                <c:pt idx="159">
                  <c:v>37872</c:v>
                </c:pt>
                <c:pt idx="160">
                  <c:v>37873</c:v>
                </c:pt>
                <c:pt idx="161">
                  <c:v>37874</c:v>
                </c:pt>
                <c:pt idx="162">
                  <c:v>37875</c:v>
                </c:pt>
                <c:pt idx="163">
                  <c:v>37876</c:v>
                </c:pt>
                <c:pt idx="164">
                  <c:v>37879</c:v>
                </c:pt>
                <c:pt idx="165">
                  <c:v>37880</c:v>
                </c:pt>
                <c:pt idx="166">
                  <c:v>37881</c:v>
                </c:pt>
                <c:pt idx="167">
                  <c:v>37882</c:v>
                </c:pt>
                <c:pt idx="168">
                  <c:v>37883</c:v>
                </c:pt>
                <c:pt idx="169">
                  <c:v>37886</c:v>
                </c:pt>
                <c:pt idx="170">
                  <c:v>37887</c:v>
                </c:pt>
                <c:pt idx="171">
                  <c:v>37888</c:v>
                </c:pt>
                <c:pt idx="172">
                  <c:v>37889</c:v>
                </c:pt>
                <c:pt idx="173">
                  <c:v>37890</c:v>
                </c:pt>
                <c:pt idx="174">
                  <c:v>37893</c:v>
                </c:pt>
                <c:pt idx="175">
                  <c:v>37894</c:v>
                </c:pt>
                <c:pt idx="176">
                  <c:v>37895</c:v>
                </c:pt>
                <c:pt idx="177">
                  <c:v>37896</c:v>
                </c:pt>
                <c:pt idx="178">
                  <c:v>37897</c:v>
                </c:pt>
                <c:pt idx="179">
                  <c:v>37900</c:v>
                </c:pt>
                <c:pt idx="180">
                  <c:v>37901</c:v>
                </c:pt>
                <c:pt idx="181">
                  <c:v>37902</c:v>
                </c:pt>
                <c:pt idx="182">
                  <c:v>37903</c:v>
                </c:pt>
                <c:pt idx="183">
                  <c:v>37904</c:v>
                </c:pt>
                <c:pt idx="184">
                  <c:v>37907</c:v>
                </c:pt>
                <c:pt idx="185">
                  <c:v>37908</c:v>
                </c:pt>
                <c:pt idx="186">
                  <c:v>37909</c:v>
                </c:pt>
                <c:pt idx="187">
                  <c:v>37910</c:v>
                </c:pt>
                <c:pt idx="188">
                  <c:v>37911</c:v>
                </c:pt>
                <c:pt idx="189">
                  <c:v>37914</c:v>
                </c:pt>
                <c:pt idx="190">
                  <c:v>37915</c:v>
                </c:pt>
                <c:pt idx="191">
                  <c:v>37916</c:v>
                </c:pt>
                <c:pt idx="192">
                  <c:v>37917</c:v>
                </c:pt>
                <c:pt idx="193">
                  <c:v>37921</c:v>
                </c:pt>
                <c:pt idx="194">
                  <c:v>37922</c:v>
                </c:pt>
                <c:pt idx="195">
                  <c:v>37923</c:v>
                </c:pt>
                <c:pt idx="196">
                  <c:v>37924</c:v>
                </c:pt>
                <c:pt idx="197">
                  <c:v>37925</c:v>
                </c:pt>
                <c:pt idx="198">
                  <c:v>37928</c:v>
                </c:pt>
                <c:pt idx="199">
                  <c:v>37929</c:v>
                </c:pt>
                <c:pt idx="200">
                  <c:v>37930</c:v>
                </c:pt>
                <c:pt idx="201">
                  <c:v>37931</c:v>
                </c:pt>
                <c:pt idx="202">
                  <c:v>37932</c:v>
                </c:pt>
                <c:pt idx="203">
                  <c:v>37935</c:v>
                </c:pt>
                <c:pt idx="204">
                  <c:v>37936</c:v>
                </c:pt>
                <c:pt idx="205">
                  <c:v>37937</c:v>
                </c:pt>
                <c:pt idx="206">
                  <c:v>37938</c:v>
                </c:pt>
                <c:pt idx="207">
                  <c:v>37939</c:v>
                </c:pt>
                <c:pt idx="208">
                  <c:v>37942</c:v>
                </c:pt>
                <c:pt idx="209">
                  <c:v>37943</c:v>
                </c:pt>
                <c:pt idx="210">
                  <c:v>37944</c:v>
                </c:pt>
                <c:pt idx="211">
                  <c:v>37945</c:v>
                </c:pt>
                <c:pt idx="212">
                  <c:v>37946</c:v>
                </c:pt>
                <c:pt idx="213">
                  <c:v>37952</c:v>
                </c:pt>
                <c:pt idx="214">
                  <c:v>37953</c:v>
                </c:pt>
                <c:pt idx="215">
                  <c:v>37956</c:v>
                </c:pt>
                <c:pt idx="216">
                  <c:v>37957</c:v>
                </c:pt>
                <c:pt idx="217">
                  <c:v>37958</c:v>
                </c:pt>
                <c:pt idx="218">
                  <c:v>37959</c:v>
                </c:pt>
                <c:pt idx="219">
                  <c:v>37960</c:v>
                </c:pt>
                <c:pt idx="220">
                  <c:v>37963</c:v>
                </c:pt>
                <c:pt idx="221">
                  <c:v>37964</c:v>
                </c:pt>
                <c:pt idx="222">
                  <c:v>37965</c:v>
                </c:pt>
                <c:pt idx="223">
                  <c:v>37966</c:v>
                </c:pt>
                <c:pt idx="224">
                  <c:v>37967</c:v>
                </c:pt>
                <c:pt idx="225">
                  <c:v>37970</c:v>
                </c:pt>
                <c:pt idx="226">
                  <c:v>37971</c:v>
                </c:pt>
                <c:pt idx="227">
                  <c:v>37972</c:v>
                </c:pt>
                <c:pt idx="228">
                  <c:v>37973</c:v>
                </c:pt>
                <c:pt idx="229">
                  <c:v>37974</c:v>
                </c:pt>
                <c:pt idx="230">
                  <c:v>37977</c:v>
                </c:pt>
                <c:pt idx="231">
                  <c:v>37978</c:v>
                </c:pt>
                <c:pt idx="232">
                  <c:v>37979</c:v>
                </c:pt>
                <c:pt idx="233">
                  <c:v>37981</c:v>
                </c:pt>
                <c:pt idx="234">
                  <c:v>37984</c:v>
                </c:pt>
                <c:pt idx="235">
                  <c:v>37985</c:v>
                </c:pt>
                <c:pt idx="236">
                  <c:v>37986</c:v>
                </c:pt>
                <c:pt idx="237">
                  <c:v>37988</c:v>
                </c:pt>
                <c:pt idx="238">
                  <c:v>37991</c:v>
                </c:pt>
                <c:pt idx="239">
                  <c:v>37992</c:v>
                </c:pt>
                <c:pt idx="240">
                  <c:v>37993</c:v>
                </c:pt>
                <c:pt idx="241">
                  <c:v>37994</c:v>
                </c:pt>
                <c:pt idx="242">
                  <c:v>37995</c:v>
                </c:pt>
                <c:pt idx="243">
                  <c:v>37998</c:v>
                </c:pt>
                <c:pt idx="244">
                  <c:v>37999</c:v>
                </c:pt>
                <c:pt idx="245">
                  <c:v>38000</c:v>
                </c:pt>
              </c:numCache>
            </c:numRef>
          </c:cat>
          <c:val>
            <c:numRef>
              <c:f>[1]Ex_Total!$C$5441:$C$5686</c:f>
              <c:numCache>
                <c:formatCode>General</c:formatCode>
                <c:ptCount val="246"/>
                <c:pt idx="0">
                  <c:v>49795</c:v>
                </c:pt>
                <c:pt idx="1">
                  <c:v>50232</c:v>
                </c:pt>
                <c:pt idx="2">
                  <c:v>49342</c:v>
                </c:pt>
                <c:pt idx="3">
                  <c:v>49220</c:v>
                </c:pt>
                <c:pt idx="4">
                  <c:v>50481</c:v>
                </c:pt>
                <c:pt idx="5">
                  <c:v>50617</c:v>
                </c:pt>
                <c:pt idx="6">
                  <c:v>51569</c:v>
                </c:pt>
                <c:pt idx="7">
                  <c:v>52230</c:v>
                </c:pt>
                <c:pt idx="8">
                  <c:v>52043</c:v>
                </c:pt>
                <c:pt idx="9">
                  <c:v>52988</c:v>
                </c:pt>
                <c:pt idx="10">
                  <c:v>52622</c:v>
                </c:pt>
                <c:pt idx="11">
                  <c:v>52724</c:v>
                </c:pt>
                <c:pt idx="12">
                  <c:v>52657</c:v>
                </c:pt>
                <c:pt idx="13">
                  <c:v>52718</c:v>
                </c:pt>
                <c:pt idx="14">
                  <c:v>52980</c:v>
                </c:pt>
                <c:pt idx="15">
                  <c:v>53131</c:v>
                </c:pt>
                <c:pt idx="16">
                  <c:v>53933</c:v>
                </c:pt>
                <c:pt idx="17">
                  <c:v>54874</c:v>
                </c:pt>
                <c:pt idx="18">
                  <c:v>54674</c:v>
                </c:pt>
                <c:pt idx="19">
                  <c:v>54222</c:v>
                </c:pt>
                <c:pt idx="20">
                  <c:v>54657</c:v>
                </c:pt>
                <c:pt idx="21">
                  <c:v>55118</c:v>
                </c:pt>
                <c:pt idx="22">
                  <c:v>55094</c:v>
                </c:pt>
                <c:pt idx="23">
                  <c:v>55469</c:v>
                </c:pt>
                <c:pt idx="24">
                  <c:v>56317</c:v>
                </c:pt>
                <c:pt idx="25">
                  <c:v>56211</c:v>
                </c:pt>
                <c:pt idx="26">
                  <c:v>56166</c:v>
                </c:pt>
                <c:pt idx="27">
                  <c:v>56335</c:v>
                </c:pt>
                <c:pt idx="28">
                  <c:v>56453</c:v>
                </c:pt>
                <c:pt idx="29">
                  <c:v>55727</c:v>
                </c:pt>
                <c:pt idx="30">
                  <c:v>52738</c:v>
                </c:pt>
                <c:pt idx="31">
                  <c:v>53519</c:v>
                </c:pt>
                <c:pt idx="32">
                  <c:v>54481</c:v>
                </c:pt>
                <c:pt idx="33">
                  <c:v>55284</c:v>
                </c:pt>
                <c:pt idx="34">
                  <c:v>54871</c:v>
                </c:pt>
                <c:pt idx="35">
                  <c:v>55206</c:v>
                </c:pt>
                <c:pt idx="36">
                  <c:v>54947</c:v>
                </c:pt>
                <c:pt idx="37">
                  <c:v>56541</c:v>
                </c:pt>
                <c:pt idx="38">
                  <c:v>56046</c:v>
                </c:pt>
                <c:pt idx="39">
                  <c:v>55230</c:v>
                </c:pt>
                <c:pt idx="40">
                  <c:v>50550</c:v>
                </c:pt>
                <c:pt idx="41">
                  <c:v>50407</c:v>
                </c:pt>
                <c:pt idx="42">
                  <c:v>51713</c:v>
                </c:pt>
                <c:pt idx="43">
                  <c:v>51948</c:v>
                </c:pt>
                <c:pt idx="44">
                  <c:v>51688</c:v>
                </c:pt>
                <c:pt idx="45">
                  <c:v>53688</c:v>
                </c:pt>
                <c:pt idx="46">
                  <c:v>55796</c:v>
                </c:pt>
                <c:pt idx="47">
                  <c:v>56165</c:v>
                </c:pt>
                <c:pt idx="48">
                  <c:v>54633</c:v>
                </c:pt>
                <c:pt idx="49">
                  <c:v>55264</c:v>
                </c:pt>
                <c:pt idx="50">
                  <c:v>55734</c:v>
                </c:pt>
                <c:pt idx="51">
                  <c:v>56118</c:v>
                </c:pt>
                <c:pt idx="52">
                  <c:v>56621</c:v>
                </c:pt>
                <c:pt idx="53">
                  <c:v>57628</c:v>
                </c:pt>
                <c:pt idx="54">
                  <c:v>57874</c:v>
                </c:pt>
                <c:pt idx="55">
                  <c:v>56443</c:v>
                </c:pt>
                <c:pt idx="56">
                  <c:v>56704</c:v>
                </c:pt>
                <c:pt idx="57">
                  <c:v>57170</c:v>
                </c:pt>
                <c:pt idx="58">
                  <c:v>58042</c:v>
                </c:pt>
                <c:pt idx="59">
                  <c:v>58720</c:v>
                </c:pt>
                <c:pt idx="60">
                  <c:v>59314</c:v>
                </c:pt>
                <c:pt idx="61">
                  <c:v>59428</c:v>
                </c:pt>
                <c:pt idx="62">
                  <c:v>60091</c:v>
                </c:pt>
                <c:pt idx="63">
                  <c:v>61213</c:v>
                </c:pt>
                <c:pt idx="64">
                  <c:v>61739</c:v>
                </c:pt>
                <c:pt idx="65">
                  <c:v>62624</c:v>
                </c:pt>
                <c:pt idx="66">
                  <c:v>63256</c:v>
                </c:pt>
                <c:pt idx="67">
                  <c:v>63790</c:v>
                </c:pt>
                <c:pt idx="68">
                  <c:v>64567</c:v>
                </c:pt>
                <c:pt idx="69">
                  <c:v>64596</c:v>
                </c:pt>
                <c:pt idx="70">
                  <c:v>65825</c:v>
                </c:pt>
                <c:pt idx="71">
                  <c:v>60194</c:v>
                </c:pt>
                <c:pt idx="72">
                  <c:v>66119</c:v>
                </c:pt>
                <c:pt idx="73">
                  <c:v>66725</c:v>
                </c:pt>
                <c:pt idx="74">
                  <c:v>66933</c:v>
                </c:pt>
                <c:pt idx="75">
                  <c:v>67572</c:v>
                </c:pt>
                <c:pt idx="76">
                  <c:v>67377</c:v>
                </c:pt>
                <c:pt idx="77">
                  <c:v>67525</c:v>
                </c:pt>
                <c:pt idx="78">
                  <c:v>67363</c:v>
                </c:pt>
                <c:pt idx="79">
                  <c:v>68220</c:v>
                </c:pt>
                <c:pt idx="80">
                  <c:v>68796</c:v>
                </c:pt>
                <c:pt idx="81">
                  <c:v>68222</c:v>
                </c:pt>
                <c:pt idx="82">
                  <c:v>69278</c:v>
                </c:pt>
                <c:pt idx="83">
                  <c:v>69165</c:v>
                </c:pt>
                <c:pt idx="84">
                  <c:v>70429</c:v>
                </c:pt>
                <c:pt idx="85">
                  <c:v>70458</c:v>
                </c:pt>
                <c:pt idx="86">
                  <c:v>69940</c:v>
                </c:pt>
                <c:pt idx="87">
                  <c:v>69647</c:v>
                </c:pt>
                <c:pt idx="88">
                  <c:v>69501</c:v>
                </c:pt>
                <c:pt idx="89">
                  <c:v>68238</c:v>
                </c:pt>
                <c:pt idx="90">
                  <c:v>68322</c:v>
                </c:pt>
                <c:pt idx="91">
                  <c:v>67491</c:v>
                </c:pt>
                <c:pt idx="92">
                  <c:v>68116</c:v>
                </c:pt>
                <c:pt idx="93">
                  <c:v>68290</c:v>
                </c:pt>
                <c:pt idx="94">
                  <c:v>69499</c:v>
                </c:pt>
                <c:pt idx="95">
                  <c:v>69421</c:v>
                </c:pt>
                <c:pt idx="96">
                  <c:v>69358</c:v>
                </c:pt>
                <c:pt idx="97">
                  <c:v>69113</c:v>
                </c:pt>
                <c:pt idx="98">
                  <c:v>68146</c:v>
                </c:pt>
                <c:pt idx="99">
                  <c:v>68097</c:v>
                </c:pt>
                <c:pt idx="100">
                  <c:v>68186</c:v>
                </c:pt>
                <c:pt idx="101">
                  <c:v>69114</c:v>
                </c:pt>
                <c:pt idx="102">
                  <c:v>62719</c:v>
                </c:pt>
                <c:pt idx="103">
                  <c:v>62520</c:v>
                </c:pt>
                <c:pt idx="104">
                  <c:v>63509</c:v>
                </c:pt>
                <c:pt idx="105">
                  <c:v>63461</c:v>
                </c:pt>
                <c:pt idx="106">
                  <c:v>62626</c:v>
                </c:pt>
                <c:pt idx="107">
                  <c:v>62065</c:v>
                </c:pt>
                <c:pt idx="108">
                  <c:v>51748</c:v>
                </c:pt>
                <c:pt idx="109">
                  <c:v>50548</c:v>
                </c:pt>
                <c:pt idx="110">
                  <c:v>49391</c:v>
                </c:pt>
                <c:pt idx="111">
                  <c:v>49618</c:v>
                </c:pt>
                <c:pt idx="112">
                  <c:v>49474</c:v>
                </c:pt>
                <c:pt idx="113">
                  <c:v>48823</c:v>
                </c:pt>
                <c:pt idx="114">
                  <c:v>48910</c:v>
                </c:pt>
                <c:pt idx="115">
                  <c:v>53421</c:v>
                </c:pt>
                <c:pt idx="116">
                  <c:v>49445</c:v>
                </c:pt>
                <c:pt idx="117">
                  <c:v>49220</c:v>
                </c:pt>
                <c:pt idx="118">
                  <c:v>49001</c:v>
                </c:pt>
                <c:pt idx="119">
                  <c:v>49730</c:v>
                </c:pt>
                <c:pt idx="120">
                  <c:v>50050</c:v>
                </c:pt>
                <c:pt idx="121">
                  <c:v>50619</c:v>
                </c:pt>
                <c:pt idx="122">
                  <c:v>52283</c:v>
                </c:pt>
                <c:pt idx="123">
                  <c:v>52325</c:v>
                </c:pt>
                <c:pt idx="124">
                  <c:v>54198</c:v>
                </c:pt>
                <c:pt idx="125">
                  <c:v>56972</c:v>
                </c:pt>
                <c:pt idx="126">
                  <c:v>57078</c:v>
                </c:pt>
                <c:pt idx="127">
                  <c:v>59044</c:v>
                </c:pt>
                <c:pt idx="128">
                  <c:v>59510</c:v>
                </c:pt>
                <c:pt idx="129">
                  <c:v>60147</c:v>
                </c:pt>
                <c:pt idx="130">
                  <c:v>61386</c:v>
                </c:pt>
                <c:pt idx="131">
                  <c:v>60247</c:v>
                </c:pt>
                <c:pt idx="132">
                  <c:v>59731</c:v>
                </c:pt>
                <c:pt idx="133">
                  <c:v>58951</c:v>
                </c:pt>
                <c:pt idx="134">
                  <c:v>60187</c:v>
                </c:pt>
                <c:pt idx="135">
                  <c:v>59939</c:v>
                </c:pt>
                <c:pt idx="136">
                  <c:v>59415</c:v>
                </c:pt>
                <c:pt idx="137">
                  <c:v>59405</c:v>
                </c:pt>
                <c:pt idx="138">
                  <c:v>59312</c:v>
                </c:pt>
                <c:pt idx="139">
                  <c:v>59187</c:v>
                </c:pt>
                <c:pt idx="140">
                  <c:v>59137</c:v>
                </c:pt>
                <c:pt idx="141">
                  <c:v>59282</c:v>
                </c:pt>
                <c:pt idx="142">
                  <c:v>60410</c:v>
                </c:pt>
                <c:pt idx="143">
                  <c:v>61226</c:v>
                </c:pt>
                <c:pt idx="144">
                  <c:v>60752</c:v>
                </c:pt>
                <c:pt idx="145">
                  <c:v>61633</c:v>
                </c:pt>
                <c:pt idx="146">
                  <c:v>60939</c:v>
                </c:pt>
                <c:pt idx="147">
                  <c:v>60657</c:v>
                </c:pt>
                <c:pt idx="148">
                  <c:v>57870</c:v>
                </c:pt>
                <c:pt idx="149">
                  <c:v>57216</c:v>
                </c:pt>
                <c:pt idx="150">
                  <c:v>57805</c:v>
                </c:pt>
                <c:pt idx="151">
                  <c:v>57588</c:v>
                </c:pt>
                <c:pt idx="152">
                  <c:v>58436</c:v>
                </c:pt>
                <c:pt idx="153">
                  <c:v>58449</c:v>
                </c:pt>
                <c:pt idx="154">
                  <c:v>57739</c:v>
                </c:pt>
                <c:pt idx="155">
                  <c:v>57005</c:v>
                </c:pt>
                <c:pt idx="156">
                  <c:v>58520</c:v>
                </c:pt>
                <c:pt idx="157">
                  <c:v>59509</c:v>
                </c:pt>
                <c:pt idx="158">
                  <c:v>59574</c:v>
                </c:pt>
                <c:pt idx="159">
                  <c:v>59240</c:v>
                </c:pt>
                <c:pt idx="160">
                  <c:v>59537</c:v>
                </c:pt>
                <c:pt idx="161">
                  <c:v>59574</c:v>
                </c:pt>
                <c:pt idx="162">
                  <c:v>59063</c:v>
                </c:pt>
                <c:pt idx="163">
                  <c:v>58189</c:v>
                </c:pt>
                <c:pt idx="164">
                  <c:v>57670</c:v>
                </c:pt>
                <c:pt idx="165">
                  <c:v>57007</c:v>
                </c:pt>
                <c:pt idx="166">
                  <c:v>54573</c:v>
                </c:pt>
                <c:pt idx="167">
                  <c:v>55844</c:v>
                </c:pt>
                <c:pt idx="168">
                  <c:v>55735</c:v>
                </c:pt>
                <c:pt idx="169">
                  <c:v>55098</c:v>
                </c:pt>
                <c:pt idx="170">
                  <c:v>54694</c:v>
                </c:pt>
                <c:pt idx="171">
                  <c:v>55505</c:v>
                </c:pt>
                <c:pt idx="172">
                  <c:v>55446</c:v>
                </c:pt>
                <c:pt idx="173">
                  <c:v>55783</c:v>
                </c:pt>
                <c:pt idx="174">
                  <c:v>55945</c:v>
                </c:pt>
                <c:pt idx="175">
                  <c:v>52265</c:v>
                </c:pt>
                <c:pt idx="176">
                  <c:v>52821</c:v>
                </c:pt>
                <c:pt idx="177">
                  <c:v>53247</c:v>
                </c:pt>
                <c:pt idx="178">
                  <c:v>52950</c:v>
                </c:pt>
                <c:pt idx="179">
                  <c:v>52513</c:v>
                </c:pt>
                <c:pt idx="180">
                  <c:v>52182</c:v>
                </c:pt>
                <c:pt idx="181">
                  <c:v>53380</c:v>
                </c:pt>
                <c:pt idx="182">
                  <c:v>53487</c:v>
                </c:pt>
                <c:pt idx="183">
                  <c:v>53397</c:v>
                </c:pt>
                <c:pt idx="184">
                  <c:v>54761</c:v>
                </c:pt>
                <c:pt idx="185">
                  <c:v>53788</c:v>
                </c:pt>
                <c:pt idx="186">
                  <c:v>53000</c:v>
                </c:pt>
                <c:pt idx="187">
                  <c:v>52611</c:v>
                </c:pt>
                <c:pt idx="188">
                  <c:v>53065</c:v>
                </c:pt>
                <c:pt idx="189">
                  <c:v>54998</c:v>
                </c:pt>
                <c:pt idx="190">
                  <c:v>55539</c:v>
                </c:pt>
                <c:pt idx="191">
                  <c:v>56014</c:v>
                </c:pt>
                <c:pt idx="192">
                  <c:v>56953</c:v>
                </c:pt>
                <c:pt idx="193">
                  <c:v>56561</c:v>
                </c:pt>
                <c:pt idx="194">
                  <c:v>56471</c:v>
                </c:pt>
                <c:pt idx="195">
                  <c:v>56265</c:v>
                </c:pt>
                <c:pt idx="196">
                  <c:v>55373</c:v>
                </c:pt>
                <c:pt idx="197">
                  <c:v>53834</c:v>
                </c:pt>
                <c:pt idx="198">
                  <c:v>54503</c:v>
                </c:pt>
                <c:pt idx="199">
                  <c:v>55660</c:v>
                </c:pt>
                <c:pt idx="200">
                  <c:v>55225</c:v>
                </c:pt>
                <c:pt idx="201">
                  <c:v>56530</c:v>
                </c:pt>
                <c:pt idx="202">
                  <c:v>56231</c:v>
                </c:pt>
                <c:pt idx="203">
                  <c:v>55040</c:v>
                </c:pt>
                <c:pt idx="204">
                  <c:v>53758</c:v>
                </c:pt>
                <c:pt idx="205">
                  <c:v>53887</c:v>
                </c:pt>
                <c:pt idx="206">
                  <c:v>55017</c:v>
                </c:pt>
                <c:pt idx="207">
                  <c:v>54425</c:v>
                </c:pt>
                <c:pt idx="208">
                  <c:v>55106</c:v>
                </c:pt>
                <c:pt idx="209">
                  <c:v>55852</c:v>
                </c:pt>
                <c:pt idx="210">
                  <c:v>56927</c:v>
                </c:pt>
                <c:pt idx="211">
                  <c:v>56521</c:v>
                </c:pt>
                <c:pt idx="212">
                  <c:v>56234</c:v>
                </c:pt>
                <c:pt idx="213">
                  <c:v>57137</c:v>
                </c:pt>
                <c:pt idx="214">
                  <c:v>53636</c:v>
                </c:pt>
                <c:pt idx="215">
                  <c:v>53084</c:v>
                </c:pt>
                <c:pt idx="216">
                  <c:v>53466</c:v>
                </c:pt>
                <c:pt idx="217">
                  <c:v>53411</c:v>
                </c:pt>
                <c:pt idx="218">
                  <c:v>53312</c:v>
                </c:pt>
                <c:pt idx="219">
                  <c:v>53486</c:v>
                </c:pt>
                <c:pt idx="220">
                  <c:v>53784</c:v>
                </c:pt>
                <c:pt idx="221">
                  <c:v>53858</c:v>
                </c:pt>
                <c:pt idx="222">
                  <c:v>54244</c:v>
                </c:pt>
                <c:pt idx="223">
                  <c:v>53804</c:v>
                </c:pt>
                <c:pt idx="224">
                  <c:v>53605</c:v>
                </c:pt>
                <c:pt idx="225">
                  <c:v>53403</c:v>
                </c:pt>
                <c:pt idx="226">
                  <c:v>53367</c:v>
                </c:pt>
                <c:pt idx="227">
                  <c:v>49618</c:v>
                </c:pt>
                <c:pt idx="228">
                  <c:v>49619</c:v>
                </c:pt>
                <c:pt idx="229">
                  <c:v>49752</c:v>
                </c:pt>
                <c:pt idx="230">
                  <c:v>50405</c:v>
                </c:pt>
                <c:pt idx="231">
                  <c:v>50766</c:v>
                </c:pt>
                <c:pt idx="232">
                  <c:v>50292</c:v>
                </c:pt>
                <c:pt idx="233">
                  <c:v>50607</c:v>
                </c:pt>
                <c:pt idx="234">
                  <c:v>50147</c:v>
                </c:pt>
                <c:pt idx="235">
                  <c:v>51431</c:v>
                </c:pt>
                <c:pt idx="236">
                  <c:v>49296</c:v>
                </c:pt>
                <c:pt idx="237">
                  <c:v>49784</c:v>
                </c:pt>
                <c:pt idx="238">
                  <c:v>50343</c:v>
                </c:pt>
                <c:pt idx="239">
                  <c:v>51864</c:v>
                </c:pt>
                <c:pt idx="240">
                  <c:v>52035</c:v>
                </c:pt>
                <c:pt idx="241">
                  <c:v>51053</c:v>
                </c:pt>
                <c:pt idx="242">
                  <c:v>54364</c:v>
                </c:pt>
                <c:pt idx="243">
                  <c:v>54823</c:v>
                </c:pt>
                <c:pt idx="244">
                  <c:v>55067</c:v>
                </c:pt>
                <c:pt idx="245">
                  <c:v>56832</c:v>
                </c:pt>
              </c:numCache>
            </c:numRef>
          </c:val>
        </c:ser>
        <c:marker val="1"/>
        <c:axId val="134689152"/>
        <c:axId val="134690688"/>
      </c:lineChart>
      <c:catAx>
        <c:axId val="134607616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09152"/>
        <c:crosses val="autoZero"/>
        <c:lblAlgn val="ctr"/>
        <c:lblOffset val="100"/>
        <c:tickLblSkip val="20"/>
        <c:tickMarkSkip val="20"/>
      </c:catAx>
      <c:valAx>
        <c:axId val="134609152"/>
        <c:scaling>
          <c:orientation val="minMax"/>
          <c:max val="18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376947997265616"/>
              <c:y val="0.258928571428571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07616"/>
        <c:crosses val="autoZero"/>
        <c:crossBetween val="between"/>
        <c:majorUnit val="2000"/>
        <c:minorUnit val="1000"/>
      </c:valAx>
      <c:catAx>
        <c:axId val="134689152"/>
        <c:scaling>
          <c:orientation val="minMax"/>
        </c:scaling>
        <c:delete val="1"/>
        <c:axPos val="b"/>
        <c:numFmt formatCode="General" sourceLinked="1"/>
        <c:tickLblPos val="nextTo"/>
        <c:crossAx val="134690688"/>
        <c:crosses val="autoZero"/>
        <c:lblAlgn val="ctr"/>
        <c:lblOffset val="100"/>
      </c:catAx>
      <c:valAx>
        <c:axId val="134690688"/>
        <c:scaling>
          <c:orientation val="minMax"/>
          <c:max val="80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 of contracts</a:t>
                </a:r>
              </a:p>
            </c:rich>
          </c:tx>
          <c:layout>
            <c:manualLayout>
              <c:xMode val="edge"/>
              <c:yMode val="edge"/>
              <c:x val="8.6956644809563013E-3"/>
              <c:y val="0.214285714285714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689152"/>
        <c:crosses val="max"/>
        <c:crossBetween val="between"/>
        <c:majorUnit val="10000"/>
        <c:minorUnit val="1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17426994773273"/>
          <c:y val="2.2321428571428579E-2"/>
          <c:w val="0.29130476011203615"/>
          <c:h val="7.142857142857142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7267646956096567E-2"/>
          <c:y val="6.3829919859374709E-2"/>
          <c:w val="0.82403548601166554"/>
          <c:h val="0.68936313448124653"/>
        </c:manualLayout>
      </c:layout>
      <c:barChart>
        <c:barDir val="col"/>
        <c:grouping val="clustered"/>
        <c:ser>
          <c:idx val="1"/>
          <c:order val="0"/>
          <c:tx>
            <c:strRef>
              <c:f>[1]FMG5!$N$2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85396A"/>
            </a:solidFill>
            <a:ln w="12700">
              <a:solidFill>
                <a:srgbClr val="85396A"/>
              </a:solidFill>
              <a:prstDash val="solid"/>
            </a:ln>
          </c:spPr>
          <c:cat>
            <c:numRef>
              <c:f>[1]FMG5!$A$200:$A$448</c:f>
              <c:numCache>
                <c:formatCode>General</c:formatCode>
                <c:ptCount val="249"/>
                <c:pt idx="0">
                  <c:v>37631</c:v>
                </c:pt>
                <c:pt idx="1">
                  <c:v>37634</c:v>
                </c:pt>
                <c:pt idx="2">
                  <c:v>37635</c:v>
                </c:pt>
                <c:pt idx="3">
                  <c:v>37636</c:v>
                </c:pt>
                <c:pt idx="4">
                  <c:v>37637</c:v>
                </c:pt>
                <c:pt idx="5">
                  <c:v>37638</c:v>
                </c:pt>
                <c:pt idx="6">
                  <c:v>37641</c:v>
                </c:pt>
                <c:pt idx="7">
                  <c:v>37642</c:v>
                </c:pt>
                <c:pt idx="8">
                  <c:v>37643</c:v>
                </c:pt>
                <c:pt idx="9">
                  <c:v>37644</c:v>
                </c:pt>
                <c:pt idx="10">
                  <c:v>37645</c:v>
                </c:pt>
                <c:pt idx="11">
                  <c:v>37648</c:v>
                </c:pt>
                <c:pt idx="12">
                  <c:v>37649</c:v>
                </c:pt>
                <c:pt idx="13">
                  <c:v>37650</c:v>
                </c:pt>
                <c:pt idx="14">
                  <c:v>37651</c:v>
                </c:pt>
                <c:pt idx="15">
                  <c:v>37657</c:v>
                </c:pt>
                <c:pt idx="16">
                  <c:v>37658</c:v>
                </c:pt>
                <c:pt idx="17">
                  <c:v>37659</c:v>
                </c:pt>
                <c:pt idx="18">
                  <c:v>37662</c:v>
                </c:pt>
                <c:pt idx="19">
                  <c:v>37663</c:v>
                </c:pt>
                <c:pt idx="20">
                  <c:v>37665</c:v>
                </c:pt>
                <c:pt idx="21">
                  <c:v>37666</c:v>
                </c:pt>
                <c:pt idx="22">
                  <c:v>37669</c:v>
                </c:pt>
                <c:pt idx="23">
                  <c:v>37670</c:v>
                </c:pt>
                <c:pt idx="24">
                  <c:v>37671</c:v>
                </c:pt>
                <c:pt idx="25">
                  <c:v>37672</c:v>
                </c:pt>
                <c:pt idx="26">
                  <c:v>37673</c:v>
                </c:pt>
                <c:pt idx="27">
                  <c:v>37676</c:v>
                </c:pt>
                <c:pt idx="28">
                  <c:v>37677</c:v>
                </c:pt>
                <c:pt idx="29">
                  <c:v>37678</c:v>
                </c:pt>
                <c:pt idx="30">
                  <c:v>37679</c:v>
                </c:pt>
                <c:pt idx="31">
                  <c:v>37680</c:v>
                </c:pt>
                <c:pt idx="32">
                  <c:v>37683</c:v>
                </c:pt>
                <c:pt idx="33">
                  <c:v>37685</c:v>
                </c:pt>
                <c:pt idx="34">
                  <c:v>37686</c:v>
                </c:pt>
                <c:pt idx="35">
                  <c:v>37687</c:v>
                </c:pt>
                <c:pt idx="36">
                  <c:v>37690</c:v>
                </c:pt>
                <c:pt idx="37">
                  <c:v>37691</c:v>
                </c:pt>
                <c:pt idx="38">
                  <c:v>37692</c:v>
                </c:pt>
                <c:pt idx="39">
                  <c:v>37693</c:v>
                </c:pt>
                <c:pt idx="40">
                  <c:v>37694</c:v>
                </c:pt>
                <c:pt idx="41">
                  <c:v>37697</c:v>
                </c:pt>
                <c:pt idx="42">
                  <c:v>37698</c:v>
                </c:pt>
                <c:pt idx="43">
                  <c:v>37699</c:v>
                </c:pt>
                <c:pt idx="44">
                  <c:v>37700</c:v>
                </c:pt>
                <c:pt idx="45">
                  <c:v>37701</c:v>
                </c:pt>
                <c:pt idx="46">
                  <c:v>37704</c:v>
                </c:pt>
                <c:pt idx="47">
                  <c:v>37705</c:v>
                </c:pt>
                <c:pt idx="48">
                  <c:v>37706</c:v>
                </c:pt>
                <c:pt idx="49">
                  <c:v>37707</c:v>
                </c:pt>
                <c:pt idx="50">
                  <c:v>37708</c:v>
                </c:pt>
                <c:pt idx="51">
                  <c:v>37711</c:v>
                </c:pt>
                <c:pt idx="52">
                  <c:v>37712</c:v>
                </c:pt>
                <c:pt idx="53">
                  <c:v>37713</c:v>
                </c:pt>
                <c:pt idx="54">
                  <c:v>37714</c:v>
                </c:pt>
                <c:pt idx="55">
                  <c:v>37715</c:v>
                </c:pt>
                <c:pt idx="56">
                  <c:v>37718</c:v>
                </c:pt>
                <c:pt idx="57">
                  <c:v>37719</c:v>
                </c:pt>
                <c:pt idx="58">
                  <c:v>37720</c:v>
                </c:pt>
                <c:pt idx="59">
                  <c:v>37721</c:v>
                </c:pt>
                <c:pt idx="60">
                  <c:v>37722</c:v>
                </c:pt>
                <c:pt idx="61">
                  <c:v>37725</c:v>
                </c:pt>
                <c:pt idx="62">
                  <c:v>37726</c:v>
                </c:pt>
                <c:pt idx="63">
                  <c:v>37727</c:v>
                </c:pt>
                <c:pt idx="64">
                  <c:v>37728</c:v>
                </c:pt>
                <c:pt idx="65">
                  <c:v>37729</c:v>
                </c:pt>
                <c:pt idx="66">
                  <c:v>37732</c:v>
                </c:pt>
                <c:pt idx="67">
                  <c:v>37733</c:v>
                </c:pt>
                <c:pt idx="68">
                  <c:v>37734</c:v>
                </c:pt>
                <c:pt idx="69">
                  <c:v>37735</c:v>
                </c:pt>
                <c:pt idx="70">
                  <c:v>37736</c:v>
                </c:pt>
                <c:pt idx="71">
                  <c:v>37739</c:v>
                </c:pt>
                <c:pt idx="72">
                  <c:v>37740</c:v>
                </c:pt>
                <c:pt idx="73">
                  <c:v>37741</c:v>
                </c:pt>
                <c:pt idx="74">
                  <c:v>37743</c:v>
                </c:pt>
                <c:pt idx="75">
                  <c:v>37746</c:v>
                </c:pt>
                <c:pt idx="76">
                  <c:v>37747</c:v>
                </c:pt>
                <c:pt idx="77">
                  <c:v>37748</c:v>
                </c:pt>
                <c:pt idx="78">
                  <c:v>37749</c:v>
                </c:pt>
                <c:pt idx="79">
                  <c:v>37750</c:v>
                </c:pt>
                <c:pt idx="80">
                  <c:v>37753</c:v>
                </c:pt>
                <c:pt idx="81">
                  <c:v>37754</c:v>
                </c:pt>
                <c:pt idx="82">
                  <c:v>37757</c:v>
                </c:pt>
                <c:pt idx="83">
                  <c:v>37760</c:v>
                </c:pt>
                <c:pt idx="84">
                  <c:v>37761</c:v>
                </c:pt>
                <c:pt idx="85">
                  <c:v>37762</c:v>
                </c:pt>
                <c:pt idx="86">
                  <c:v>37763</c:v>
                </c:pt>
                <c:pt idx="87">
                  <c:v>37764</c:v>
                </c:pt>
                <c:pt idx="88">
                  <c:v>37767</c:v>
                </c:pt>
                <c:pt idx="89">
                  <c:v>37768</c:v>
                </c:pt>
                <c:pt idx="90">
                  <c:v>37769</c:v>
                </c:pt>
                <c:pt idx="91">
                  <c:v>37770</c:v>
                </c:pt>
                <c:pt idx="92">
                  <c:v>37771</c:v>
                </c:pt>
                <c:pt idx="93">
                  <c:v>37774</c:v>
                </c:pt>
                <c:pt idx="94">
                  <c:v>37775</c:v>
                </c:pt>
                <c:pt idx="95">
                  <c:v>37776</c:v>
                </c:pt>
                <c:pt idx="96">
                  <c:v>37777</c:v>
                </c:pt>
                <c:pt idx="97">
                  <c:v>37778</c:v>
                </c:pt>
                <c:pt idx="98">
                  <c:v>37781</c:v>
                </c:pt>
                <c:pt idx="99">
                  <c:v>37782</c:v>
                </c:pt>
                <c:pt idx="100">
                  <c:v>37783</c:v>
                </c:pt>
                <c:pt idx="101">
                  <c:v>37784</c:v>
                </c:pt>
                <c:pt idx="102">
                  <c:v>37785</c:v>
                </c:pt>
                <c:pt idx="103">
                  <c:v>37788</c:v>
                </c:pt>
                <c:pt idx="104">
                  <c:v>37789</c:v>
                </c:pt>
                <c:pt idx="105">
                  <c:v>37790</c:v>
                </c:pt>
                <c:pt idx="106">
                  <c:v>37791</c:v>
                </c:pt>
                <c:pt idx="107">
                  <c:v>37792</c:v>
                </c:pt>
                <c:pt idx="108">
                  <c:v>37795</c:v>
                </c:pt>
                <c:pt idx="109">
                  <c:v>37796</c:v>
                </c:pt>
                <c:pt idx="110">
                  <c:v>37797</c:v>
                </c:pt>
                <c:pt idx="111">
                  <c:v>37798</c:v>
                </c:pt>
                <c:pt idx="112">
                  <c:v>37799</c:v>
                </c:pt>
                <c:pt idx="113">
                  <c:v>37802</c:v>
                </c:pt>
                <c:pt idx="114">
                  <c:v>37803</c:v>
                </c:pt>
                <c:pt idx="115">
                  <c:v>37804</c:v>
                </c:pt>
                <c:pt idx="116">
                  <c:v>37805</c:v>
                </c:pt>
                <c:pt idx="117">
                  <c:v>37806</c:v>
                </c:pt>
                <c:pt idx="118">
                  <c:v>37809</c:v>
                </c:pt>
                <c:pt idx="119">
                  <c:v>37810</c:v>
                </c:pt>
                <c:pt idx="120">
                  <c:v>37811</c:v>
                </c:pt>
                <c:pt idx="121">
                  <c:v>37812</c:v>
                </c:pt>
                <c:pt idx="122">
                  <c:v>37813</c:v>
                </c:pt>
                <c:pt idx="123">
                  <c:v>37816</c:v>
                </c:pt>
                <c:pt idx="124">
                  <c:v>37817</c:v>
                </c:pt>
                <c:pt idx="125">
                  <c:v>37818</c:v>
                </c:pt>
                <c:pt idx="126">
                  <c:v>37819</c:v>
                </c:pt>
                <c:pt idx="127">
                  <c:v>37820</c:v>
                </c:pt>
                <c:pt idx="128">
                  <c:v>37823</c:v>
                </c:pt>
                <c:pt idx="129">
                  <c:v>37824</c:v>
                </c:pt>
                <c:pt idx="130">
                  <c:v>37825</c:v>
                </c:pt>
                <c:pt idx="131">
                  <c:v>37826</c:v>
                </c:pt>
                <c:pt idx="132">
                  <c:v>37827</c:v>
                </c:pt>
                <c:pt idx="133">
                  <c:v>37830</c:v>
                </c:pt>
                <c:pt idx="134">
                  <c:v>37831</c:v>
                </c:pt>
                <c:pt idx="135">
                  <c:v>37832</c:v>
                </c:pt>
                <c:pt idx="136">
                  <c:v>37833</c:v>
                </c:pt>
                <c:pt idx="137">
                  <c:v>37834</c:v>
                </c:pt>
                <c:pt idx="138">
                  <c:v>37837</c:v>
                </c:pt>
                <c:pt idx="139">
                  <c:v>37838</c:v>
                </c:pt>
                <c:pt idx="140">
                  <c:v>37839</c:v>
                </c:pt>
                <c:pt idx="141">
                  <c:v>37840</c:v>
                </c:pt>
                <c:pt idx="142">
                  <c:v>37841</c:v>
                </c:pt>
                <c:pt idx="143">
                  <c:v>37844</c:v>
                </c:pt>
                <c:pt idx="144">
                  <c:v>37845</c:v>
                </c:pt>
                <c:pt idx="145">
                  <c:v>37846</c:v>
                </c:pt>
                <c:pt idx="146">
                  <c:v>37847</c:v>
                </c:pt>
                <c:pt idx="147">
                  <c:v>37848</c:v>
                </c:pt>
                <c:pt idx="148">
                  <c:v>37851</c:v>
                </c:pt>
                <c:pt idx="149">
                  <c:v>37852</c:v>
                </c:pt>
                <c:pt idx="150">
                  <c:v>37853</c:v>
                </c:pt>
                <c:pt idx="151">
                  <c:v>37854</c:v>
                </c:pt>
                <c:pt idx="152">
                  <c:v>37855</c:v>
                </c:pt>
                <c:pt idx="153">
                  <c:v>37858</c:v>
                </c:pt>
                <c:pt idx="154">
                  <c:v>37859</c:v>
                </c:pt>
                <c:pt idx="155">
                  <c:v>37860</c:v>
                </c:pt>
                <c:pt idx="156">
                  <c:v>37861</c:v>
                </c:pt>
                <c:pt idx="157">
                  <c:v>37862</c:v>
                </c:pt>
                <c:pt idx="158">
                  <c:v>37866</c:v>
                </c:pt>
                <c:pt idx="159">
                  <c:v>37867</c:v>
                </c:pt>
                <c:pt idx="160">
                  <c:v>37868</c:v>
                </c:pt>
                <c:pt idx="161">
                  <c:v>37869</c:v>
                </c:pt>
                <c:pt idx="162">
                  <c:v>37872</c:v>
                </c:pt>
                <c:pt idx="163">
                  <c:v>37873</c:v>
                </c:pt>
                <c:pt idx="164">
                  <c:v>37874</c:v>
                </c:pt>
                <c:pt idx="165">
                  <c:v>37875</c:v>
                </c:pt>
                <c:pt idx="166">
                  <c:v>37876</c:v>
                </c:pt>
                <c:pt idx="167">
                  <c:v>37879</c:v>
                </c:pt>
                <c:pt idx="168">
                  <c:v>37880</c:v>
                </c:pt>
                <c:pt idx="169">
                  <c:v>37881</c:v>
                </c:pt>
                <c:pt idx="170">
                  <c:v>37882</c:v>
                </c:pt>
                <c:pt idx="171">
                  <c:v>37883</c:v>
                </c:pt>
                <c:pt idx="172">
                  <c:v>37886</c:v>
                </c:pt>
                <c:pt idx="173">
                  <c:v>37887</c:v>
                </c:pt>
                <c:pt idx="174">
                  <c:v>37888</c:v>
                </c:pt>
                <c:pt idx="175">
                  <c:v>37889</c:v>
                </c:pt>
                <c:pt idx="176">
                  <c:v>37890</c:v>
                </c:pt>
                <c:pt idx="177">
                  <c:v>37893</c:v>
                </c:pt>
                <c:pt idx="178">
                  <c:v>37894</c:v>
                </c:pt>
                <c:pt idx="179">
                  <c:v>37895</c:v>
                </c:pt>
                <c:pt idx="180">
                  <c:v>37896</c:v>
                </c:pt>
                <c:pt idx="181">
                  <c:v>37897</c:v>
                </c:pt>
                <c:pt idx="182">
                  <c:v>37900</c:v>
                </c:pt>
                <c:pt idx="183">
                  <c:v>37901</c:v>
                </c:pt>
                <c:pt idx="184">
                  <c:v>37902</c:v>
                </c:pt>
                <c:pt idx="185">
                  <c:v>37903</c:v>
                </c:pt>
                <c:pt idx="186">
                  <c:v>37904</c:v>
                </c:pt>
                <c:pt idx="187">
                  <c:v>37907</c:v>
                </c:pt>
                <c:pt idx="188">
                  <c:v>37908</c:v>
                </c:pt>
                <c:pt idx="189">
                  <c:v>37909</c:v>
                </c:pt>
                <c:pt idx="190">
                  <c:v>37910</c:v>
                </c:pt>
                <c:pt idx="191">
                  <c:v>37911</c:v>
                </c:pt>
                <c:pt idx="192">
                  <c:v>37914</c:v>
                </c:pt>
                <c:pt idx="193">
                  <c:v>37915</c:v>
                </c:pt>
                <c:pt idx="194">
                  <c:v>37916</c:v>
                </c:pt>
                <c:pt idx="195">
                  <c:v>37917</c:v>
                </c:pt>
                <c:pt idx="196">
                  <c:v>37921</c:v>
                </c:pt>
                <c:pt idx="197">
                  <c:v>37922</c:v>
                </c:pt>
                <c:pt idx="198">
                  <c:v>37923</c:v>
                </c:pt>
                <c:pt idx="199">
                  <c:v>37924</c:v>
                </c:pt>
                <c:pt idx="200">
                  <c:v>37925</c:v>
                </c:pt>
                <c:pt idx="201">
                  <c:v>37928</c:v>
                </c:pt>
                <c:pt idx="202">
                  <c:v>37929</c:v>
                </c:pt>
                <c:pt idx="203">
                  <c:v>37930</c:v>
                </c:pt>
                <c:pt idx="204">
                  <c:v>37931</c:v>
                </c:pt>
                <c:pt idx="205">
                  <c:v>37932</c:v>
                </c:pt>
                <c:pt idx="206">
                  <c:v>37935</c:v>
                </c:pt>
                <c:pt idx="207">
                  <c:v>37936</c:v>
                </c:pt>
                <c:pt idx="208">
                  <c:v>37937</c:v>
                </c:pt>
                <c:pt idx="209">
                  <c:v>37938</c:v>
                </c:pt>
                <c:pt idx="210">
                  <c:v>37939</c:v>
                </c:pt>
                <c:pt idx="211">
                  <c:v>37942</c:v>
                </c:pt>
                <c:pt idx="212">
                  <c:v>37943</c:v>
                </c:pt>
                <c:pt idx="213">
                  <c:v>37944</c:v>
                </c:pt>
                <c:pt idx="214">
                  <c:v>37945</c:v>
                </c:pt>
                <c:pt idx="215">
                  <c:v>37946</c:v>
                </c:pt>
                <c:pt idx="216">
                  <c:v>37952</c:v>
                </c:pt>
                <c:pt idx="217">
                  <c:v>37953</c:v>
                </c:pt>
                <c:pt idx="218">
                  <c:v>37956</c:v>
                </c:pt>
                <c:pt idx="219">
                  <c:v>37957</c:v>
                </c:pt>
                <c:pt idx="220">
                  <c:v>37958</c:v>
                </c:pt>
                <c:pt idx="221">
                  <c:v>37959</c:v>
                </c:pt>
                <c:pt idx="222">
                  <c:v>37960</c:v>
                </c:pt>
                <c:pt idx="223">
                  <c:v>37963</c:v>
                </c:pt>
                <c:pt idx="224">
                  <c:v>37964</c:v>
                </c:pt>
                <c:pt idx="225">
                  <c:v>37965</c:v>
                </c:pt>
                <c:pt idx="226">
                  <c:v>37966</c:v>
                </c:pt>
                <c:pt idx="227">
                  <c:v>37967</c:v>
                </c:pt>
                <c:pt idx="228">
                  <c:v>37970</c:v>
                </c:pt>
                <c:pt idx="229">
                  <c:v>37971</c:v>
                </c:pt>
                <c:pt idx="230">
                  <c:v>37972</c:v>
                </c:pt>
                <c:pt idx="231">
                  <c:v>37973</c:v>
                </c:pt>
                <c:pt idx="232">
                  <c:v>37974</c:v>
                </c:pt>
                <c:pt idx="233">
                  <c:v>37977</c:v>
                </c:pt>
                <c:pt idx="234">
                  <c:v>37978</c:v>
                </c:pt>
                <c:pt idx="235">
                  <c:v>37979</c:v>
                </c:pt>
                <c:pt idx="236">
                  <c:v>37981</c:v>
                </c:pt>
                <c:pt idx="237">
                  <c:v>37984</c:v>
                </c:pt>
                <c:pt idx="238">
                  <c:v>37985</c:v>
                </c:pt>
                <c:pt idx="239">
                  <c:v>37986</c:v>
                </c:pt>
                <c:pt idx="240">
                  <c:v>37988</c:v>
                </c:pt>
                <c:pt idx="241">
                  <c:v>37991</c:v>
                </c:pt>
                <c:pt idx="242">
                  <c:v>37992</c:v>
                </c:pt>
                <c:pt idx="243">
                  <c:v>37993</c:v>
                </c:pt>
                <c:pt idx="244">
                  <c:v>37994</c:v>
                </c:pt>
                <c:pt idx="245">
                  <c:v>37995</c:v>
                </c:pt>
                <c:pt idx="246">
                  <c:v>37998</c:v>
                </c:pt>
                <c:pt idx="247">
                  <c:v>37999</c:v>
                </c:pt>
                <c:pt idx="248">
                  <c:v>38000</c:v>
                </c:pt>
              </c:numCache>
            </c:numRef>
          </c:cat>
          <c:val>
            <c:numRef>
              <c:f>[1]FMG5!$N$200:$N$448</c:f>
              <c:numCache>
                <c:formatCode>General</c:formatCode>
                <c:ptCount val="249"/>
                <c:pt idx="0">
                  <c:v>472</c:v>
                </c:pt>
                <c:pt idx="1">
                  <c:v>805</c:v>
                </c:pt>
                <c:pt idx="2">
                  <c:v>170</c:v>
                </c:pt>
                <c:pt idx="3">
                  <c:v>70</c:v>
                </c:pt>
                <c:pt idx="4">
                  <c:v>635</c:v>
                </c:pt>
                <c:pt idx="5">
                  <c:v>1150</c:v>
                </c:pt>
                <c:pt idx="6">
                  <c:v>350</c:v>
                </c:pt>
                <c:pt idx="7">
                  <c:v>370</c:v>
                </c:pt>
                <c:pt idx="8">
                  <c:v>0</c:v>
                </c:pt>
                <c:pt idx="9">
                  <c:v>585</c:v>
                </c:pt>
                <c:pt idx="10">
                  <c:v>2245</c:v>
                </c:pt>
                <c:pt idx="11">
                  <c:v>1790</c:v>
                </c:pt>
                <c:pt idx="12">
                  <c:v>555</c:v>
                </c:pt>
                <c:pt idx="13">
                  <c:v>590</c:v>
                </c:pt>
                <c:pt idx="14">
                  <c:v>1332</c:v>
                </c:pt>
                <c:pt idx="15">
                  <c:v>520</c:v>
                </c:pt>
                <c:pt idx="16">
                  <c:v>0</c:v>
                </c:pt>
                <c:pt idx="17">
                  <c:v>0</c:v>
                </c:pt>
                <c:pt idx="18">
                  <c:v>150</c:v>
                </c:pt>
                <c:pt idx="19">
                  <c:v>260</c:v>
                </c:pt>
                <c:pt idx="20">
                  <c:v>2070</c:v>
                </c:pt>
                <c:pt idx="21">
                  <c:v>150</c:v>
                </c:pt>
                <c:pt idx="22">
                  <c:v>600</c:v>
                </c:pt>
                <c:pt idx="23">
                  <c:v>52</c:v>
                </c:pt>
                <c:pt idx="24">
                  <c:v>1780</c:v>
                </c:pt>
                <c:pt idx="25">
                  <c:v>1070</c:v>
                </c:pt>
                <c:pt idx="26">
                  <c:v>750</c:v>
                </c:pt>
                <c:pt idx="27">
                  <c:v>300</c:v>
                </c:pt>
                <c:pt idx="28">
                  <c:v>350</c:v>
                </c:pt>
                <c:pt idx="29">
                  <c:v>485</c:v>
                </c:pt>
                <c:pt idx="30">
                  <c:v>1350</c:v>
                </c:pt>
                <c:pt idx="31">
                  <c:v>2000</c:v>
                </c:pt>
                <c:pt idx="32">
                  <c:v>350</c:v>
                </c:pt>
                <c:pt idx="33">
                  <c:v>820</c:v>
                </c:pt>
                <c:pt idx="34">
                  <c:v>110</c:v>
                </c:pt>
                <c:pt idx="35">
                  <c:v>110</c:v>
                </c:pt>
                <c:pt idx="36">
                  <c:v>100</c:v>
                </c:pt>
                <c:pt idx="37">
                  <c:v>530</c:v>
                </c:pt>
                <c:pt idx="38">
                  <c:v>22</c:v>
                </c:pt>
                <c:pt idx="39">
                  <c:v>974</c:v>
                </c:pt>
                <c:pt idx="40">
                  <c:v>1267</c:v>
                </c:pt>
                <c:pt idx="41">
                  <c:v>815</c:v>
                </c:pt>
                <c:pt idx="42">
                  <c:v>170</c:v>
                </c:pt>
                <c:pt idx="43">
                  <c:v>450</c:v>
                </c:pt>
                <c:pt idx="44">
                  <c:v>550</c:v>
                </c:pt>
                <c:pt idx="45">
                  <c:v>170</c:v>
                </c:pt>
                <c:pt idx="46">
                  <c:v>520</c:v>
                </c:pt>
                <c:pt idx="47">
                  <c:v>1140</c:v>
                </c:pt>
                <c:pt idx="48">
                  <c:v>2870</c:v>
                </c:pt>
                <c:pt idx="49">
                  <c:v>295</c:v>
                </c:pt>
                <c:pt idx="50">
                  <c:v>150</c:v>
                </c:pt>
                <c:pt idx="51">
                  <c:v>1110</c:v>
                </c:pt>
                <c:pt idx="52">
                  <c:v>772</c:v>
                </c:pt>
                <c:pt idx="53">
                  <c:v>940</c:v>
                </c:pt>
                <c:pt idx="54">
                  <c:v>950</c:v>
                </c:pt>
                <c:pt idx="55">
                  <c:v>290</c:v>
                </c:pt>
                <c:pt idx="56">
                  <c:v>570</c:v>
                </c:pt>
                <c:pt idx="57">
                  <c:v>1740</c:v>
                </c:pt>
                <c:pt idx="58">
                  <c:v>220</c:v>
                </c:pt>
                <c:pt idx="59">
                  <c:v>1430</c:v>
                </c:pt>
                <c:pt idx="60">
                  <c:v>820</c:v>
                </c:pt>
                <c:pt idx="61">
                  <c:v>100</c:v>
                </c:pt>
                <c:pt idx="62">
                  <c:v>500</c:v>
                </c:pt>
                <c:pt idx="63">
                  <c:v>200</c:v>
                </c:pt>
                <c:pt idx="64">
                  <c:v>670</c:v>
                </c:pt>
                <c:pt idx="65">
                  <c:v>390</c:v>
                </c:pt>
                <c:pt idx="66">
                  <c:v>310</c:v>
                </c:pt>
                <c:pt idx="67">
                  <c:v>660</c:v>
                </c:pt>
                <c:pt idx="68">
                  <c:v>210</c:v>
                </c:pt>
                <c:pt idx="69">
                  <c:v>50</c:v>
                </c:pt>
                <c:pt idx="70">
                  <c:v>1055</c:v>
                </c:pt>
                <c:pt idx="71">
                  <c:v>190</c:v>
                </c:pt>
                <c:pt idx="72">
                  <c:v>1520</c:v>
                </c:pt>
                <c:pt idx="73">
                  <c:v>1350</c:v>
                </c:pt>
                <c:pt idx="74">
                  <c:v>90</c:v>
                </c:pt>
                <c:pt idx="75">
                  <c:v>850</c:v>
                </c:pt>
                <c:pt idx="76">
                  <c:v>500</c:v>
                </c:pt>
                <c:pt idx="77">
                  <c:v>290</c:v>
                </c:pt>
                <c:pt idx="78">
                  <c:v>1145</c:v>
                </c:pt>
                <c:pt idx="79">
                  <c:v>210</c:v>
                </c:pt>
                <c:pt idx="80">
                  <c:v>50</c:v>
                </c:pt>
                <c:pt idx="81">
                  <c:v>40</c:v>
                </c:pt>
                <c:pt idx="82">
                  <c:v>50</c:v>
                </c:pt>
                <c:pt idx="83">
                  <c:v>230</c:v>
                </c:pt>
                <c:pt idx="84">
                  <c:v>457</c:v>
                </c:pt>
                <c:pt idx="85">
                  <c:v>938</c:v>
                </c:pt>
                <c:pt idx="86">
                  <c:v>1665</c:v>
                </c:pt>
                <c:pt idx="87">
                  <c:v>1421</c:v>
                </c:pt>
                <c:pt idx="88">
                  <c:v>80</c:v>
                </c:pt>
                <c:pt idx="89">
                  <c:v>710</c:v>
                </c:pt>
                <c:pt idx="90">
                  <c:v>300</c:v>
                </c:pt>
                <c:pt idx="91">
                  <c:v>100</c:v>
                </c:pt>
                <c:pt idx="92">
                  <c:v>1085</c:v>
                </c:pt>
                <c:pt idx="93">
                  <c:v>50</c:v>
                </c:pt>
                <c:pt idx="94">
                  <c:v>70</c:v>
                </c:pt>
                <c:pt idx="95">
                  <c:v>1290</c:v>
                </c:pt>
                <c:pt idx="96">
                  <c:v>2280</c:v>
                </c:pt>
                <c:pt idx="97">
                  <c:v>360</c:v>
                </c:pt>
                <c:pt idx="98">
                  <c:v>621</c:v>
                </c:pt>
                <c:pt idx="99">
                  <c:v>1510</c:v>
                </c:pt>
                <c:pt idx="100">
                  <c:v>750</c:v>
                </c:pt>
                <c:pt idx="101">
                  <c:v>0</c:v>
                </c:pt>
                <c:pt idx="102">
                  <c:v>1245</c:v>
                </c:pt>
                <c:pt idx="103">
                  <c:v>350</c:v>
                </c:pt>
                <c:pt idx="104">
                  <c:v>455</c:v>
                </c:pt>
                <c:pt idx="105">
                  <c:v>130</c:v>
                </c:pt>
                <c:pt idx="106">
                  <c:v>1130</c:v>
                </c:pt>
                <c:pt idx="107">
                  <c:v>754</c:v>
                </c:pt>
                <c:pt idx="108">
                  <c:v>690</c:v>
                </c:pt>
                <c:pt idx="109">
                  <c:v>100</c:v>
                </c:pt>
                <c:pt idx="110">
                  <c:v>600</c:v>
                </c:pt>
                <c:pt idx="111">
                  <c:v>225</c:v>
                </c:pt>
                <c:pt idx="112">
                  <c:v>980</c:v>
                </c:pt>
                <c:pt idx="113">
                  <c:v>400</c:v>
                </c:pt>
                <c:pt idx="114">
                  <c:v>1680</c:v>
                </c:pt>
                <c:pt idx="115">
                  <c:v>1240</c:v>
                </c:pt>
                <c:pt idx="116">
                  <c:v>1310</c:v>
                </c:pt>
                <c:pt idx="117">
                  <c:v>1080</c:v>
                </c:pt>
                <c:pt idx="118">
                  <c:v>100</c:v>
                </c:pt>
                <c:pt idx="119">
                  <c:v>650</c:v>
                </c:pt>
                <c:pt idx="120">
                  <c:v>250</c:v>
                </c:pt>
                <c:pt idx="121">
                  <c:v>750</c:v>
                </c:pt>
                <c:pt idx="122">
                  <c:v>200</c:v>
                </c:pt>
                <c:pt idx="123">
                  <c:v>435</c:v>
                </c:pt>
                <c:pt idx="124">
                  <c:v>450</c:v>
                </c:pt>
                <c:pt idx="125">
                  <c:v>3215</c:v>
                </c:pt>
                <c:pt idx="126">
                  <c:v>920</c:v>
                </c:pt>
                <c:pt idx="127">
                  <c:v>400</c:v>
                </c:pt>
                <c:pt idx="128">
                  <c:v>155</c:v>
                </c:pt>
                <c:pt idx="129">
                  <c:v>1201</c:v>
                </c:pt>
                <c:pt idx="130">
                  <c:v>1100</c:v>
                </c:pt>
                <c:pt idx="131">
                  <c:v>530</c:v>
                </c:pt>
                <c:pt idx="132">
                  <c:v>445</c:v>
                </c:pt>
                <c:pt idx="133">
                  <c:v>1623</c:v>
                </c:pt>
                <c:pt idx="134">
                  <c:v>2712</c:v>
                </c:pt>
                <c:pt idx="135">
                  <c:v>384</c:v>
                </c:pt>
                <c:pt idx="136">
                  <c:v>905</c:v>
                </c:pt>
                <c:pt idx="137">
                  <c:v>1462</c:v>
                </c:pt>
                <c:pt idx="138">
                  <c:v>1</c:v>
                </c:pt>
                <c:pt idx="139">
                  <c:v>50</c:v>
                </c:pt>
                <c:pt idx="140">
                  <c:v>615</c:v>
                </c:pt>
                <c:pt idx="141">
                  <c:v>105</c:v>
                </c:pt>
                <c:pt idx="142">
                  <c:v>0</c:v>
                </c:pt>
                <c:pt idx="143">
                  <c:v>0</c:v>
                </c:pt>
                <c:pt idx="144">
                  <c:v>550</c:v>
                </c:pt>
                <c:pt idx="145">
                  <c:v>200</c:v>
                </c:pt>
                <c:pt idx="146">
                  <c:v>10</c:v>
                </c:pt>
                <c:pt idx="147">
                  <c:v>250</c:v>
                </c:pt>
                <c:pt idx="148">
                  <c:v>0</c:v>
                </c:pt>
                <c:pt idx="149">
                  <c:v>795</c:v>
                </c:pt>
                <c:pt idx="150">
                  <c:v>150</c:v>
                </c:pt>
                <c:pt idx="151">
                  <c:v>800</c:v>
                </c:pt>
                <c:pt idx="152">
                  <c:v>1141</c:v>
                </c:pt>
                <c:pt idx="153">
                  <c:v>20</c:v>
                </c:pt>
                <c:pt idx="154">
                  <c:v>186</c:v>
                </c:pt>
                <c:pt idx="155">
                  <c:v>0</c:v>
                </c:pt>
                <c:pt idx="156">
                  <c:v>209</c:v>
                </c:pt>
                <c:pt idx="157">
                  <c:v>406</c:v>
                </c:pt>
                <c:pt idx="158">
                  <c:v>230</c:v>
                </c:pt>
                <c:pt idx="159">
                  <c:v>0</c:v>
                </c:pt>
                <c:pt idx="160">
                  <c:v>50</c:v>
                </c:pt>
                <c:pt idx="161">
                  <c:v>50</c:v>
                </c:pt>
                <c:pt idx="162">
                  <c:v>0</c:v>
                </c:pt>
                <c:pt idx="163">
                  <c:v>250</c:v>
                </c:pt>
                <c:pt idx="164">
                  <c:v>205</c:v>
                </c:pt>
                <c:pt idx="165">
                  <c:v>200</c:v>
                </c:pt>
                <c:pt idx="166">
                  <c:v>0</c:v>
                </c:pt>
                <c:pt idx="167">
                  <c:v>120</c:v>
                </c:pt>
                <c:pt idx="168">
                  <c:v>570</c:v>
                </c:pt>
                <c:pt idx="169">
                  <c:v>610</c:v>
                </c:pt>
                <c:pt idx="170">
                  <c:v>365</c:v>
                </c:pt>
                <c:pt idx="171">
                  <c:v>100</c:v>
                </c:pt>
                <c:pt idx="172">
                  <c:v>220</c:v>
                </c:pt>
                <c:pt idx="173">
                  <c:v>352</c:v>
                </c:pt>
                <c:pt idx="174">
                  <c:v>250</c:v>
                </c:pt>
                <c:pt idx="175">
                  <c:v>410</c:v>
                </c:pt>
                <c:pt idx="176">
                  <c:v>0</c:v>
                </c:pt>
                <c:pt idx="177">
                  <c:v>255</c:v>
                </c:pt>
                <c:pt idx="178">
                  <c:v>790</c:v>
                </c:pt>
                <c:pt idx="179">
                  <c:v>60</c:v>
                </c:pt>
                <c:pt idx="180">
                  <c:v>150</c:v>
                </c:pt>
                <c:pt idx="181">
                  <c:v>210</c:v>
                </c:pt>
                <c:pt idx="182">
                  <c:v>450</c:v>
                </c:pt>
                <c:pt idx="183">
                  <c:v>370</c:v>
                </c:pt>
                <c:pt idx="184">
                  <c:v>727</c:v>
                </c:pt>
                <c:pt idx="185">
                  <c:v>930</c:v>
                </c:pt>
                <c:pt idx="186">
                  <c:v>1060</c:v>
                </c:pt>
                <c:pt idx="187">
                  <c:v>150</c:v>
                </c:pt>
                <c:pt idx="188">
                  <c:v>222</c:v>
                </c:pt>
                <c:pt idx="189">
                  <c:v>55</c:v>
                </c:pt>
                <c:pt idx="190">
                  <c:v>176</c:v>
                </c:pt>
                <c:pt idx="191">
                  <c:v>25</c:v>
                </c:pt>
                <c:pt idx="192">
                  <c:v>394</c:v>
                </c:pt>
                <c:pt idx="193">
                  <c:v>170</c:v>
                </c:pt>
                <c:pt idx="194">
                  <c:v>465</c:v>
                </c:pt>
                <c:pt idx="195">
                  <c:v>0</c:v>
                </c:pt>
                <c:pt idx="196">
                  <c:v>20</c:v>
                </c:pt>
                <c:pt idx="197">
                  <c:v>10</c:v>
                </c:pt>
                <c:pt idx="198">
                  <c:v>90</c:v>
                </c:pt>
                <c:pt idx="199">
                  <c:v>0</c:v>
                </c:pt>
                <c:pt idx="200">
                  <c:v>210</c:v>
                </c:pt>
                <c:pt idx="201">
                  <c:v>0</c:v>
                </c:pt>
                <c:pt idx="202">
                  <c:v>470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100</c:v>
                </c:pt>
                <c:pt idx="209">
                  <c:v>150</c:v>
                </c:pt>
                <c:pt idx="210">
                  <c:v>218</c:v>
                </c:pt>
                <c:pt idx="211">
                  <c:v>0</c:v>
                </c:pt>
                <c:pt idx="212">
                  <c:v>0</c:v>
                </c:pt>
                <c:pt idx="213">
                  <c:v>250</c:v>
                </c:pt>
                <c:pt idx="214">
                  <c:v>0</c:v>
                </c:pt>
                <c:pt idx="215">
                  <c:v>10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50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220</c:v>
                </c:pt>
                <c:pt idx="241">
                  <c:v>0</c:v>
                </c:pt>
                <c:pt idx="242">
                  <c:v>330</c:v>
                </c:pt>
                <c:pt idx="243">
                  <c:v>101</c:v>
                </c:pt>
                <c:pt idx="244">
                  <c:v>387</c:v>
                </c:pt>
                <c:pt idx="245">
                  <c:v>0</c:v>
                </c:pt>
                <c:pt idx="246">
                  <c:v>20</c:v>
                </c:pt>
                <c:pt idx="247">
                  <c:v>200</c:v>
                </c:pt>
                <c:pt idx="248">
                  <c:v>52</c:v>
                </c:pt>
              </c:numCache>
            </c:numRef>
          </c:val>
        </c:ser>
        <c:gapWidth val="0"/>
        <c:axId val="134724992"/>
        <c:axId val="134763648"/>
      </c:barChart>
      <c:lineChart>
        <c:grouping val="standard"/>
        <c:ser>
          <c:idx val="0"/>
          <c:order val="1"/>
          <c:tx>
            <c:strRef>
              <c:f>[1]FMG5!$O$2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2A6FF9"/>
              </a:solidFill>
              <a:prstDash val="solid"/>
            </a:ln>
          </c:spPr>
          <c:marker>
            <c:symbol val="none"/>
          </c:marker>
          <c:cat>
            <c:numRef>
              <c:f>[1]FMG5!$A$200:$A$448</c:f>
              <c:numCache>
                <c:formatCode>General</c:formatCode>
                <c:ptCount val="249"/>
                <c:pt idx="0">
                  <c:v>37631</c:v>
                </c:pt>
                <c:pt idx="1">
                  <c:v>37634</c:v>
                </c:pt>
                <c:pt idx="2">
                  <c:v>37635</c:v>
                </c:pt>
                <c:pt idx="3">
                  <c:v>37636</c:v>
                </c:pt>
                <c:pt idx="4">
                  <c:v>37637</c:v>
                </c:pt>
                <c:pt idx="5">
                  <c:v>37638</c:v>
                </c:pt>
                <c:pt idx="6">
                  <c:v>37641</c:v>
                </c:pt>
                <c:pt idx="7">
                  <c:v>37642</c:v>
                </c:pt>
                <c:pt idx="8">
                  <c:v>37643</c:v>
                </c:pt>
                <c:pt idx="9">
                  <c:v>37644</c:v>
                </c:pt>
                <c:pt idx="10">
                  <c:v>37645</c:v>
                </c:pt>
                <c:pt idx="11">
                  <c:v>37648</c:v>
                </c:pt>
                <c:pt idx="12">
                  <c:v>37649</c:v>
                </c:pt>
                <c:pt idx="13">
                  <c:v>37650</c:v>
                </c:pt>
                <c:pt idx="14">
                  <c:v>37651</c:v>
                </c:pt>
                <c:pt idx="15">
                  <c:v>37657</c:v>
                </c:pt>
                <c:pt idx="16">
                  <c:v>37658</c:v>
                </c:pt>
                <c:pt idx="17">
                  <c:v>37659</c:v>
                </c:pt>
                <c:pt idx="18">
                  <c:v>37662</c:v>
                </c:pt>
                <c:pt idx="19">
                  <c:v>37663</c:v>
                </c:pt>
                <c:pt idx="20">
                  <c:v>37665</c:v>
                </c:pt>
                <c:pt idx="21">
                  <c:v>37666</c:v>
                </c:pt>
                <c:pt idx="22">
                  <c:v>37669</c:v>
                </c:pt>
                <c:pt idx="23">
                  <c:v>37670</c:v>
                </c:pt>
                <c:pt idx="24">
                  <c:v>37671</c:v>
                </c:pt>
                <c:pt idx="25">
                  <c:v>37672</c:v>
                </c:pt>
                <c:pt idx="26">
                  <c:v>37673</c:v>
                </c:pt>
                <c:pt idx="27">
                  <c:v>37676</c:v>
                </c:pt>
                <c:pt idx="28">
                  <c:v>37677</c:v>
                </c:pt>
                <c:pt idx="29">
                  <c:v>37678</c:v>
                </c:pt>
                <c:pt idx="30">
                  <c:v>37679</c:v>
                </c:pt>
                <c:pt idx="31">
                  <c:v>37680</c:v>
                </c:pt>
                <c:pt idx="32">
                  <c:v>37683</c:v>
                </c:pt>
                <c:pt idx="33">
                  <c:v>37685</c:v>
                </c:pt>
                <c:pt idx="34">
                  <c:v>37686</c:v>
                </c:pt>
                <c:pt idx="35">
                  <c:v>37687</c:v>
                </c:pt>
                <c:pt idx="36">
                  <c:v>37690</c:v>
                </c:pt>
                <c:pt idx="37">
                  <c:v>37691</c:v>
                </c:pt>
                <c:pt idx="38">
                  <c:v>37692</c:v>
                </c:pt>
                <c:pt idx="39">
                  <c:v>37693</c:v>
                </c:pt>
                <c:pt idx="40">
                  <c:v>37694</c:v>
                </c:pt>
                <c:pt idx="41">
                  <c:v>37697</c:v>
                </c:pt>
                <c:pt idx="42">
                  <c:v>37698</c:v>
                </c:pt>
                <c:pt idx="43">
                  <c:v>37699</c:v>
                </c:pt>
                <c:pt idx="44">
                  <c:v>37700</c:v>
                </c:pt>
                <c:pt idx="45">
                  <c:v>37701</c:v>
                </c:pt>
                <c:pt idx="46">
                  <c:v>37704</c:v>
                </c:pt>
                <c:pt idx="47">
                  <c:v>37705</c:v>
                </c:pt>
                <c:pt idx="48">
                  <c:v>37706</c:v>
                </c:pt>
                <c:pt idx="49">
                  <c:v>37707</c:v>
                </c:pt>
                <c:pt idx="50">
                  <c:v>37708</c:v>
                </c:pt>
                <c:pt idx="51">
                  <c:v>37711</c:v>
                </c:pt>
                <c:pt idx="52">
                  <c:v>37712</c:v>
                </c:pt>
                <c:pt idx="53">
                  <c:v>37713</c:v>
                </c:pt>
                <c:pt idx="54">
                  <c:v>37714</c:v>
                </c:pt>
                <c:pt idx="55">
                  <c:v>37715</c:v>
                </c:pt>
                <c:pt idx="56">
                  <c:v>37718</c:v>
                </c:pt>
                <c:pt idx="57">
                  <c:v>37719</c:v>
                </c:pt>
                <c:pt idx="58">
                  <c:v>37720</c:v>
                </c:pt>
                <c:pt idx="59">
                  <c:v>37721</c:v>
                </c:pt>
                <c:pt idx="60">
                  <c:v>37722</c:v>
                </c:pt>
                <c:pt idx="61">
                  <c:v>37725</c:v>
                </c:pt>
                <c:pt idx="62">
                  <c:v>37726</c:v>
                </c:pt>
                <c:pt idx="63">
                  <c:v>37727</c:v>
                </c:pt>
                <c:pt idx="64">
                  <c:v>37728</c:v>
                </c:pt>
                <c:pt idx="65">
                  <c:v>37729</c:v>
                </c:pt>
                <c:pt idx="66">
                  <c:v>37732</c:v>
                </c:pt>
                <c:pt idx="67">
                  <c:v>37733</c:v>
                </c:pt>
                <c:pt idx="68">
                  <c:v>37734</c:v>
                </c:pt>
                <c:pt idx="69">
                  <c:v>37735</c:v>
                </c:pt>
                <c:pt idx="70">
                  <c:v>37736</c:v>
                </c:pt>
                <c:pt idx="71">
                  <c:v>37739</c:v>
                </c:pt>
                <c:pt idx="72">
                  <c:v>37740</c:v>
                </c:pt>
                <c:pt idx="73">
                  <c:v>37741</c:v>
                </c:pt>
                <c:pt idx="74">
                  <c:v>37743</c:v>
                </c:pt>
                <c:pt idx="75">
                  <c:v>37746</c:v>
                </c:pt>
                <c:pt idx="76">
                  <c:v>37747</c:v>
                </c:pt>
                <c:pt idx="77">
                  <c:v>37748</c:v>
                </c:pt>
                <c:pt idx="78">
                  <c:v>37749</c:v>
                </c:pt>
                <c:pt idx="79">
                  <c:v>37750</c:v>
                </c:pt>
                <c:pt idx="80">
                  <c:v>37753</c:v>
                </c:pt>
                <c:pt idx="81">
                  <c:v>37754</c:v>
                </c:pt>
                <c:pt idx="82">
                  <c:v>37757</c:v>
                </c:pt>
                <c:pt idx="83">
                  <c:v>37760</c:v>
                </c:pt>
                <c:pt idx="84">
                  <c:v>37761</c:v>
                </c:pt>
                <c:pt idx="85">
                  <c:v>37762</c:v>
                </c:pt>
                <c:pt idx="86">
                  <c:v>37763</c:v>
                </c:pt>
                <c:pt idx="87">
                  <c:v>37764</c:v>
                </c:pt>
                <c:pt idx="88">
                  <c:v>37767</c:v>
                </c:pt>
                <c:pt idx="89">
                  <c:v>37768</c:v>
                </c:pt>
                <c:pt idx="90">
                  <c:v>37769</c:v>
                </c:pt>
                <c:pt idx="91">
                  <c:v>37770</c:v>
                </c:pt>
                <c:pt idx="92">
                  <c:v>37771</c:v>
                </c:pt>
                <c:pt idx="93">
                  <c:v>37774</c:v>
                </c:pt>
                <c:pt idx="94">
                  <c:v>37775</c:v>
                </c:pt>
                <c:pt idx="95">
                  <c:v>37776</c:v>
                </c:pt>
                <c:pt idx="96">
                  <c:v>37777</c:v>
                </c:pt>
                <c:pt idx="97">
                  <c:v>37778</c:v>
                </c:pt>
                <c:pt idx="98">
                  <c:v>37781</c:v>
                </c:pt>
                <c:pt idx="99">
                  <c:v>37782</c:v>
                </c:pt>
                <c:pt idx="100">
                  <c:v>37783</c:v>
                </c:pt>
                <c:pt idx="101">
                  <c:v>37784</c:v>
                </c:pt>
                <c:pt idx="102">
                  <c:v>37785</c:v>
                </c:pt>
                <c:pt idx="103">
                  <c:v>37788</c:v>
                </c:pt>
                <c:pt idx="104">
                  <c:v>37789</c:v>
                </c:pt>
                <c:pt idx="105">
                  <c:v>37790</c:v>
                </c:pt>
                <c:pt idx="106">
                  <c:v>37791</c:v>
                </c:pt>
                <c:pt idx="107">
                  <c:v>37792</c:v>
                </c:pt>
                <c:pt idx="108">
                  <c:v>37795</c:v>
                </c:pt>
                <c:pt idx="109">
                  <c:v>37796</c:v>
                </c:pt>
                <c:pt idx="110">
                  <c:v>37797</c:v>
                </c:pt>
                <c:pt idx="111">
                  <c:v>37798</c:v>
                </c:pt>
                <c:pt idx="112">
                  <c:v>37799</c:v>
                </c:pt>
                <c:pt idx="113">
                  <c:v>37802</c:v>
                </c:pt>
                <c:pt idx="114">
                  <c:v>37803</c:v>
                </c:pt>
                <c:pt idx="115">
                  <c:v>37804</c:v>
                </c:pt>
                <c:pt idx="116">
                  <c:v>37805</c:v>
                </c:pt>
                <c:pt idx="117">
                  <c:v>37806</c:v>
                </c:pt>
                <c:pt idx="118">
                  <c:v>37809</c:v>
                </c:pt>
                <c:pt idx="119">
                  <c:v>37810</c:v>
                </c:pt>
                <c:pt idx="120">
                  <c:v>37811</c:v>
                </c:pt>
                <c:pt idx="121">
                  <c:v>37812</c:v>
                </c:pt>
                <c:pt idx="122">
                  <c:v>37813</c:v>
                </c:pt>
                <c:pt idx="123">
                  <c:v>37816</c:v>
                </c:pt>
                <c:pt idx="124">
                  <c:v>37817</c:v>
                </c:pt>
                <c:pt idx="125">
                  <c:v>37818</c:v>
                </c:pt>
                <c:pt idx="126">
                  <c:v>37819</c:v>
                </c:pt>
                <c:pt idx="127">
                  <c:v>37820</c:v>
                </c:pt>
                <c:pt idx="128">
                  <c:v>37823</c:v>
                </c:pt>
                <c:pt idx="129">
                  <c:v>37824</c:v>
                </c:pt>
                <c:pt idx="130">
                  <c:v>37825</c:v>
                </c:pt>
                <c:pt idx="131">
                  <c:v>37826</c:v>
                </c:pt>
                <c:pt idx="132">
                  <c:v>37827</c:v>
                </c:pt>
                <c:pt idx="133">
                  <c:v>37830</c:v>
                </c:pt>
                <c:pt idx="134">
                  <c:v>37831</c:v>
                </c:pt>
                <c:pt idx="135">
                  <c:v>37832</c:v>
                </c:pt>
                <c:pt idx="136">
                  <c:v>37833</c:v>
                </c:pt>
                <c:pt idx="137">
                  <c:v>37834</c:v>
                </c:pt>
                <c:pt idx="138">
                  <c:v>37837</c:v>
                </c:pt>
                <c:pt idx="139">
                  <c:v>37838</c:v>
                </c:pt>
                <c:pt idx="140">
                  <c:v>37839</c:v>
                </c:pt>
                <c:pt idx="141">
                  <c:v>37840</c:v>
                </c:pt>
                <c:pt idx="142">
                  <c:v>37841</c:v>
                </c:pt>
                <c:pt idx="143">
                  <c:v>37844</c:v>
                </c:pt>
                <c:pt idx="144">
                  <c:v>37845</c:v>
                </c:pt>
                <c:pt idx="145">
                  <c:v>37846</c:v>
                </c:pt>
                <c:pt idx="146">
                  <c:v>37847</c:v>
                </c:pt>
                <c:pt idx="147">
                  <c:v>37848</c:v>
                </c:pt>
                <c:pt idx="148">
                  <c:v>37851</c:v>
                </c:pt>
                <c:pt idx="149">
                  <c:v>37852</c:v>
                </c:pt>
                <c:pt idx="150">
                  <c:v>37853</c:v>
                </c:pt>
                <c:pt idx="151">
                  <c:v>37854</c:v>
                </c:pt>
                <c:pt idx="152">
                  <c:v>37855</c:v>
                </c:pt>
                <c:pt idx="153">
                  <c:v>37858</c:v>
                </c:pt>
                <c:pt idx="154">
                  <c:v>37859</c:v>
                </c:pt>
                <c:pt idx="155">
                  <c:v>37860</c:v>
                </c:pt>
                <c:pt idx="156">
                  <c:v>37861</c:v>
                </c:pt>
                <c:pt idx="157">
                  <c:v>37862</c:v>
                </c:pt>
                <c:pt idx="158">
                  <c:v>37866</c:v>
                </c:pt>
                <c:pt idx="159">
                  <c:v>37867</c:v>
                </c:pt>
                <c:pt idx="160">
                  <c:v>37868</c:v>
                </c:pt>
                <c:pt idx="161">
                  <c:v>37869</c:v>
                </c:pt>
                <c:pt idx="162">
                  <c:v>37872</c:v>
                </c:pt>
                <c:pt idx="163">
                  <c:v>37873</c:v>
                </c:pt>
                <c:pt idx="164">
                  <c:v>37874</c:v>
                </c:pt>
                <c:pt idx="165">
                  <c:v>37875</c:v>
                </c:pt>
                <c:pt idx="166">
                  <c:v>37876</c:v>
                </c:pt>
                <c:pt idx="167">
                  <c:v>37879</c:v>
                </c:pt>
                <c:pt idx="168">
                  <c:v>37880</c:v>
                </c:pt>
                <c:pt idx="169">
                  <c:v>37881</c:v>
                </c:pt>
                <c:pt idx="170">
                  <c:v>37882</c:v>
                </c:pt>
                <c:pt idx="171">
                  <c:v>37883</c:v>
                </c:pt>
                <c:pt idx="172">
                  <c:v>37886</c:v>
                </c:pt>
                <c:pt idx="173">
                  <c:v>37887</c:v>
                </c:pt>
                <c:pt idx="174">
                  <c:v>37888</c:v>
                </c:pt>
                <c:pt idx="175">
                  <c:v>37889</c:v>
                </c:pt>
                <c:pt idx="176">
                  <c:v>37890</c:v>
                </c:pt>
                <c:pt idx="177">
                  <c:v>37893</c:v>
                </c:pt>
                <c:pt idx="178">
                  <c:v>37894</c:v>
                </c:pt>
                <c:pt idx="179">
                  <c:v>37895</c:v>
                </c:pt>
                <c:pt idx="180">
                  <c:v>37896</c:v>
                </c:pt>
                <c:pt idx="181">
                  <c:v>37897</c:v>
                </c:pt>
                <c:pt idx="182">
                  <c:v>37900</c:v>
                </c:pt>
                <c:pt idx="183">
                  <c:v>37901</c:v>
                </c:pt>
                <c:pt idx="184">
                  <c:v>37902</c:v>
                </c:pt>
                <c:pt idx="185">
                  <c:v>37903</c:v>
                </c:pt>
                <c:pt idx="186">
                  <c:v>37904</c:v>
                </c:pt>
                <c:pt idx="187">
                  <c:v>37907</c:v>
                </c:pt>
                <c:pt idx="188">
                  <c:v>37908</c:v>
                </c:pt>
                <c:pt idx="189">
                  <c:v>37909</c:v>
                </c:pt>
                <c:pt idx="190">
                  <c:v>37910</c:v>
                </c:pt>
                <c:pt idx="191">
                  <c:v>37911</c:v>
                </c:pt>
                <c:pt idx="192">
                  <c:v>37914</c:v>
                </c:pt>
                <c:pt idx="193">
                  <c:v>37915</c:v>
                </c:pt>
                <c:pt idx="194">
                  <c:v>37916</c:v>
                </c:pt>
                <c:pt idx="195">
                  <c:v>37917</c:v>
                </c:pt>
                <c:pt idx="196">
                  <c:v>37921</c:v>
                </c:pt>
                <c:pt idx="197">
                  <c:v>37922</c:v>
                </c:pt>
                <c:pt idx="198">
                  <c:v>37923</c:v>
                </c:pt>
                <c:pt idx="199">
                  <c:v>37924</c:v>
                </c:pt>
                <c:pt idx="200">
                  <c:v>37925</c:v>
                </c:pt>
                <c:pt idx="201">
                  <c:v>37928</c:v>
                </c:pt>
                <c:pt idx="202">
                  <c:v>37929</c:v>
                </c:pt>
                <c:pt idx="203">
                  <c:v>37930</c:v>
                </c:pt>
                <c:pt idx="204">
                  <c:v>37931</c:v>
                </c:pt>
                <c:pt idx="205">
                  <c:v>37932</c:v>
                </c:pt>
                <c:pt idx="206">
                  <c:v>37935</c:v>
                </c:pt>
                <c:pt idx="207">
                  <c:v>37936</c:v>
                </c:pt>
                <c:pt idx="208">
                  <c:v>37937</c:v>
                </c:pt>
                <c:pt idx="209">
                  <c:v>37938</c:v>
                </c:pt>
                <c:pt idx="210">
                  <c:v>37939</c:v>
                </c:pt>
                <c:pt idx="211">
                  <c:v>37942</c:v>
                </c:pt>
                <c:pt idx="212">
                  <c:v>37943</c:v>
                </c:pt>
                <c:pt idx="213">
                  <c:v>37944</c:v>
                </c:pt>
                <c:pt idx="214">
                  <c:v>37945</c:v>
                </c:pt>
                <c:pt idx="215">
                  <c:v>37946</c:v>
                </c:pt>
                <c:pt idx="216">
                  <c:v>37952</c:v>
                </c:pt>
                <c:pt idx="217">
                  <c:v>37953</c:v>
                </c:pt>
                <c:pt idx="218">
                  <c:v>37956</c:v>
                </c:pt>
                <c:pt idx="219">
                  <c:v>37957</c:v>
                </c:pt>
                <c:pt idx="220">
                  <c:v>37958</c:v>
                </c:pt>
                <c:pt idx="221">
                  <c:v>37959</c:v>
                </c:pt>
                <c:pt idx="222">
                  <c:v>37960</c:v>
                </c:pt>
                <c:pt idx="223">
                  <c:v>37963</c:v>
                </c:pt>
                <c:pt idx="224">
                  <c:v>37964</c:v>
                </c:pt>
                <c:pt idx="225">
                  <c:v>37965</c:v>
                </c:pt>
                <c:pt idx="226">
                  <c:v>37966</c:v>
                </c:pt>
                <c:pt idx="227">
                  <c:v>37967</c:v>
                </c:pt>
                <c:pt idx="228">
                  <c:v>37970</c:v>
                </c:pt>
                <c:pt idx="229">
                  <c:v>37971</c:v>
                </c:pt>
                <c:pt idx="230">
                  <c:v>37972</c:v>
                </c:pt>
                <c:pt idx="231">
                  <c:v>37973</c:v>
                </c:pt>
                <c:pt idx="232">
                  <c:v>37974</c:v>
                </c:pt>
                <c:pt idx="233">
                  <c:v>37977</c:v>
                </c:pt>
                <c:pt idx="234">
                  <c:v>37978</c:v>
                </c:pt>
                <c:pt idx="235">
                  <c:v>37979</c:v>
                </c:pt>
                <c:pt idx="236">
                  <c:v>37981</c:v>
                </c:pt>
                <c:pt idx="237">
                  <c:v>37984</c:v>
                </c:pt>
                <c:pt idx="238">
                  <c:v>37985</c:v>
                </c:pt>
                <c:pt idx="239">
                  <c:v>37986</c:v>
                </c:pt>
                <c:pt idx="240">
                  <c:v>37988</c:v>
                </c:pt>
                <c:pt idx="241">
                  <c:v>37991</c:v>
                </c:pt>
                <c:pt idx="242">
                  <c:v>37992</c:v>
                </c:pt>
                <c:pt idx="243">
                  <c:v>37993</c:v>
                </c:pt>
                <c:pt idx="244">
                  <c:v>37994</c:v>
                </c:pt>
                <c:pt idx="245">
                  <c:v>37995</c:v>
                </c:pt>
                <c:pt idx="246">
                  <c:v>37998</c:v>
                </c:pt>
                <c:pt idx="247">
                  <c:v>37999</c:v>
                </c:pt>
                <c:pt idx="248">
                  <c:v>38000</c:v>
                </c:pt>
              </c:numCache>
            </c:numRef>
          </c:cat>
          <c:val>
            <c:numRef>
              <c:f>[1]FMG5!$O$200:$O$448</c:f>
              <c:numCache>
                <c:formatCode>General</c:formatCode>
                <c:ptCount val="249"/>
                <c:pt idx="0">
                  <c:v>5837</c:v>
                </c:pt>
                <c:pt idx="1">
                  <c:v>6022</c:v>
                </c:pt>
                <c:pt idx="2">
                  <c:v>6022</c:v>
                </c:pt>
                <c:pt idx="3">
                  <c:v>6012</c:v>
                </c:pt>
                <c:pt idx="4">
                  <c:v>5952</c:v>
                </c:pt>
                <c:pt idx="5">
                  <c:v>6033</c:v>
                </c:pt>
                <c:pt idx="6">
                  <c:v>6123</c:v>
                </c:pt>
                <c:pt idx="7">
                  <c:v>6383</c:v>
                </c:pt>
                <c:pt idx="8">
                  <c:v>6383</c:v>
                </c:pt>
                <c:pt idx="9">
                  <c:v>6658</c:v>
                </c:pt>
                <c:pt idx="10">
                  <c:v>7388</c:v>
                </c:pt>
                <c:pt idx="11">
                  <c:v>7268</c:v>
                </c:pt>
                <c:pt idx="12">
                  <c:v>7243</c:v>
                </c:pt>
                <c:pt idx="13">
                  <c:v>7263</c:v>
                </c:pt>
                <c:pt idx="14">
                  <c:v>7563</c:v>
                </c:pt>
                <c:pt idx="15">
                  <c:v>7563</c:v>
                </c:pt>
                <c:pt idx="16">
                  <c:v>7563</c:v>
                </c:pt>
                <c:pt idx="17">
                  <c:v>7563</c:v>
                </c:pt>
                <c:pt idx="18">
                  <c:v>7533</c:v>
                </c:pt>
                <c:pt idx="19">
                  <c:v>7603</c:v>
                </c:pt>
                <c:pt idx="20">
                  <c:v>8663</c:v>
                </c:pt>
                <c:pt idx="21">
                  <c:v>8623</c:v>
                </c:pt>
                <c:pt idx="22">
                  <c:v>8473</c:v>
                </c:pt>
                <c:pt idx="23">
                  <c:v>8525</c:v>
                </c:pt>
                <c:pt idx="24">
                  <c:v>8985</c:v>
                </c:pt>
                <c:pt idx="25">
                  <c:v>8865</c:v>
                </c:pt>
                <c:pt idx="26">
                  <c:v>8965</c:v>
                </c:pt>
                <c:pt idx="27">
                  <c:v>8985</c:v>
                </c:pt>
                <c:pt idx="28">
                  <c:v>8945</c:v>
                </c:pt>
                <c:pt idx="29">
                  <c:v>9180</c:v>
                </c:pt>
                <c:pt idx="30">
                  <c:v>9245</c:v>
                </c:pt>
                <c:pt idx="31">
                  <c:v>9505</c:v>
                </c:pt>
                <c:pt idx="32">
                  <c:v>9319</c:v>
                </c:pt>
                <c:pt idx="33">
                  <c:v>8744</c:v>
                </c:pt>
                <c:pt idx="34">
                  <c:v>8744</c:v>
                </c:pt>
                <c:pt idx="35">
                  <c:v>8794</c:v>
                </c:pt>
                <c:pt idx="36">
                  <c:v>8564</c:v>
                </c:pt>
                <c:pt idx="37">
                  <c:v>8384</c:v>
                </c:pt>
                <c:pt idx="38">
                  <c:v>8364</c:v>
                </c:pt>
                <c:pt idx="39">
                  <c:v>8009</c:v>
                </c:pt>
                <c:pt idx="40">
                  <c:v>8228</c:v>
                </c:pt>
                <c:pt idx="41">
                  <c:v>8273</c:v>
                </c:pt>
                <c:pt idx="42">
                  <c:v>8258</c:v>
                </c:pt>
                <c:pt idx="43">
                  <c:v>5253</c:v>
                </c:pt>
                <c:pt idx="44">
                  <c:v>5663</c:v>
                </c:pt>
                <c:pt idx="45">
                  <c:v>5783</c:v>
                </c:pt>
                <c:pt idx="46">
                  <c:v>5613</c:v>
                </c:pt>
                <c:pt idx="47">
                  <c:v>5738</c:v>
                </c:pt>
                <c:pt idx="48">
                  <c:v>6104</c:v>
                </c:pt>
                <c:pt idx="49">
                  <c:v>6254</c:v>
                </c:pt>
                <c:pt idx="50">
                  <c:v>6204</c:v>
                </c:pt>
                <c:pt idx="51">
                  <c:v>5984</c:v>
                </c:pt>
                <c:pt idx="52">
                  <c:v>6102</c:v>
                </c:pt>
                <c:pt idx="53">
                  <c:v>6597</c:v>
                </c:pt>
                <c:pt idx="54">
                  <c:v>6889</c:v>
                </c:pt>
                <c:pt idx="55">
                  <c:v>6439</c:v>
                </c:pt>
                <c:pt idx="56">
                  <c:v>6663</c:v>
                </c:pt>
                <c:pt idx="57">
                  <c:v>6776</c:v>
                </c:pt>
                <c:pt idx="58">
                  <c:v>6656</c:v>
                </c:pt>
                <c:pt idx="59">
                  <c:v>6546</c:v>
                </c:pt>
                <c:pt idx="60">
                  <c:v>6758</c:v>
                </c:pt>
                <c:pt idx="61">
                  <c:v>6758</c:v>
                </c:pt>
                <c:pt idx="62">
                  <c:v>7028</c:v>
                </c:pt>
                <c:pt idx="63">
                  <c:v>6998</c:v>
                </c:pt>
                <c:pt idx="64">
                  <c:v>6618</c:v>
                </c:pt>
                <c:pt idx="65">
                  <c:v>6598</c:v>
                </c:pt>
                <c:pt idx="66">
                  <c:v>6908</c:v>
                </c:pt>
                <c:pt idx="67">
                  <c:v>6881</c:v>
                </c:pt>
                <c:pt idx="68">
                  <c:v>6941</c:v>
                </c:pt>
                <c:pt idx="69">
                  <c:v>6991</c:v>
                </c:pt>
                <c:pt idx="70">
                  <c:v>7481</c:v>
                </c:pt>
                <c:pt idx="71">
                  <c:v>7621</c:v>
                </c:pt>
                <c:pt idx="72">
                  <c:v>7892</c:v>
                </c:pt>
                <c:pt idx="73">
                  <c:v>8972</c:v>
                </c:pt>
                <c:pt idx="74">
                  <c:v>9032</c:v>
                </c:pt>
                <c:pt idx="75">
                  <c:v>9372</c:v>
                </c:pt>
                <c:pt idx="76">
                  <c:v>9722</c:v>
                </c:pt>
                <c:pt idx="77">
                  <c:v>9792</c:v>
                </c:pt>
                <c:pt idx="78">
                  <c:v>9967</c:v>
                </c:pt>
                <c:pt idx="79">
                  <c:v>9967</c:v>
                </c:pt>
                <c:pt idx="80">
                  <c:v>9947</c:v>
                </c:pt>
                <c:pt idx="81">
                  <c:v>9947</c:v>
                </c:pt>
                <c:pt idx="82">
                  <c:v>9947</c:v>
                </c:pt>
                <c:pt idx="83">
                  <c:v>10137</c:v>
                </c:pt>
                <c:pt idx="84">
                  <c:v>10149</c:v>
                </c:pt>
                <c:pt idx="85">
                  <c:v>10521</c:v>
                </c:pt>
                <c:pt idx="86">
                  <c:v>9962</c:v>
                </c:pt>
                <c:pt idx="87">
                  <c:v>10273</c:v>
                </c:pt>
                <c:pt idx="88">
                  <c:v>10323</c:v>
                </c:pt>
                <c:pt idx="89">
                  <c:v>10283</c:v>
                </c:pt>
                <c:pt idx="90">
                  <c:v>10533</c:v>
                </c:pt>
                <c:pt idx="91">
                  <c:v>10533</c:v>
                </c:pt>
                <c:pt idx="92">
                  <c:v>10168</c:v>
                </c:pt>
                <c:pt idx="93">
                  <c:v>10138</c:v>
                </c:pt>
                <c:pt idx="94">
                  <c:v>10138</c:v>
                </c:pt>
                <c:pt idx="95">
                  <c:v>10408</c:v>
                </c:pt>
                <c:pt idx="96">
                  <c:v>10038</c:v>
                </c:pt>
                <c:pt idx="97">
                  <c:v>10126</c:v>
                </c:pt>
                <c:pt idx="98">
                  <c:v>10409</c:v>
                </c:pt>
                <c:pt idx="99">
                  <c:v>10709</c:v>
                </c:pt>
                <c:pt idx="100">
                  <c:v>10359</c:v>
                </c:pt>
                <c:pt idx="101">
                  <c:v>10359</c:v>
                </c:pt>
                <c:pt idx="102">
                  <c:v>10329</c:v>
                </c:pt>
                <c:pt idx="103">
                  <c:v>10529</c:v>
                </c:pt>
                <c:pt idx="104">
                  <c:v>10679</c:v>
                </c:pt>
                <c:pt idx="105">
                  <c:v>5952</c:v>
                </c:pt>
                <c:pt idx="106">
                  <c:v>6192</c:v>
                </c:pt>
                <c:pt idx="107">
                  <c:v>6842</c:v>
                </c:pt>
                <c:pt idx="108">
                  <c:v>6812</c:v>
                </c:pt>
                <c:pt idx="109">
                  <c:v>6862</c:v>
                </c:pt>
                <c:pt idx="110">
                  <c:v>6110</c:v>
                </c:pt>
                <c:pt idx="111">
                  <c:v>5985</c:v>
                </c:pt>
                <c:pt idx="112">
                  <c:v>6357</c:v>
                </c:pt>
                <c:pt idx="113">
                  <c:v>6207</c:v>
                </c:pt>
                <c:pt idx="114">
                  <c:v>6044</c:v>
                </c:pt>
                <c:pt idx="115">
                  <c:v>5309</c:v>
                </c:pt>
                <c:pt idx="116">
                  <c:v>5274</c:v>
                </c:pt>
                <c:pt idx="117">
                  <c:v>5034</c:v>
                </c:pt>
                <c:pt idx="118">
                  <c:v>5134</c:v>
                </c:pt>
                <c:pt idx="119">
                  <c:v>5184</c:v>
                </c:pt>
                <c:pt idx="120">
                  <c:v>5404</c:v>
                </c:pt>
                <c:pt idx="121">
                  <c:v>5344</c:v>
                </c:pt>
                <c:pt idx="122">
                  <c:v>5294</c:v>
                </c:pt>
                <c:pt idx="123">
                  <c:v>5539</c:v>
                </c:pt>
                <c:pt idx="124">
                  <c:v>5494</c:v>
                </c:pt>
                <c:pt idx="125">
                  <c:v>6144</c:v>
                </c:pt>
                <c:pt idx="126">
                  <c:v>5759</c:v>
                </c:pt>
                <c:pt idx="127">
                  <c:v>5984</c:v>
                </c:pt>
                <c:pt idx="128">
                  <c:v>6034</c:v>
                </c:pt>
                <c:pt idx="129">
                  <c:v>5549</c:v>
                </c:pt>
                <c:pt idx="130">
                  <c:v>6079</c:v>
                </c:pt>
                <c:pt idx="131">
                  <c:v>6189</c:v>
                </c:pt>
                <c:pt idx="132">
                  <c:v>6119</c:v>
                </c:pt>
                <c:pt idx="133">
                  <c:v>6014</c:v>
                </c:pt>
                <c:pt idx="134">
                  <c:v>4584</c:v>
                </c:pt>
                <c:pt idx="135">
                  <c:v>4522</c:v>
                </c:pt>
                <c:pt idx="136">
                  <c:v>4672</c:v>
                </c:pt>
                <c:pt idx="137">
                  <c:v>5160</c:v>
                </c:pt>
                <c:pt idx="138">
                  <c:v>5161</c:v>
                </c:pt>
                <c:pt idx="139">
                  <c:v>5211</c:v>
                </c:pt>
                <c:pt idx="140">
                  <c:v>5151</c:v>
                </c:pt>
                <c:pt idx="141">
                  <c:v>5056</c:v>
                </c:pt>
                <c:pt idx="142">
                  <c:v>5056</c:v>
                </c:pt>
                <c:pt idx="143">
                  <c:v>5056</c:v>
                </c:pt>
                <c:pt idx="144">
                  <c:v>4806</c:v>
                </c:pt>
                <c:pt idx="145">
                  <c:v>4672</c:v>
                </c:pt>
                <c:pt idx="146">
                  <c:v>4662</c:v>
                </c:pt>
                <c:pt idx="147">
                  <c:v>4312</c:v>
                </c:pt>
                <c:pt idx="148">
                  <c:v>4312</c:v>
                </c:pt>
                <c:pt idx="149">
                  <c:v>4522</c:v>
                </c:pt>
                <c:pt idx="150">
                  <c:v>4572</c:v>
                </c:pt>
                <c:pt idx="151">
                  <c:v>4322</c:v>
                </c:pt>
                <c:pt idx="152">
                  <c:v>3532</c:v>
                </c:pt>
                <c:pt idx="153">
                  <c:v>3532</c:v>
                </c:pt>
                <c:pt idx="154">
                  <c:v>3476</c:v>
                </c:pt>
                <c:pt idx="155">
                  <c:v>3476</c:v>
                </c:pt>
                <c:pt idx="156">
                  <c:v>3648</c:v>
                </c:pt>
                <c:pt idx="157">
                  <c:v>3753</c:v>
                </c:pt>
                <c:pt idx="158">
                  <c:v>3698</c:v>
                </c:pt>
                <c:pt idx="159">
                  <c:v>3698</c:v>
                </c:pt>
                <c:pt idx="160">
                  <c:v>3698</c:v>
                </c:pt>
                <c:pt idx="161">
                  <c:v>3748</c:v>
                </c:pt>
                <c:pt idx="162">
                  <c:v>3748</c:v>
                </c:pt>
                <c:pt idx="163">
                  <c:v>3698</c:v>
                </c:pt>
                <c:pt idx="164">
                  <c:v>3748</c:v>
                </c:pt>
                <c:pt idx="165">
                  <c:v>3898</c:v>
                </c:pt>
                <c:pt idx="166">
                  <c:v>3898</c:v>
                </c:pt>
                <c:pt idx="167">
                  <c:v>3918</c:v>
                </c:pt>
                <c:pt idx="168">
                  <c:v>3683</c:v>
                </c:pt>
                <c:pt idx="169">
                  <c:v>2147</c:v>
                </c:pt>
                <c:pt idx="170">
                  <c:v>2042</c:v>
                </c:pt>
                <c:pt idx="171">
                  <c:v>2042</c:v>
                </c:pt>
                <c:pt idx="172">
                  <c:v>2077</c:v>
                </c:pt>
                <c:pt idx="173">
                  <c:v>2077</c:v>
                </c:pt>
                <c:pt idx="174">
                  <c:v>2127</c:v>
                </c:pt>
                <c:pt idx="175">
                  <c:v>2189</c:v>
                </c:pt>
                <c:pt idx="176">
                  <c:v>2189</c:v>
                </c:pt>
                <c:pt idx="177">
                  <c:v>2254</c:v>
                </c:pt>
                <c:pt idx="178">
                  <c:v>1944</c:v>
                </c:pt>
                <c:pt idx="179">
                  <c:v>2004</c:v>
                </c:pt>
                <c:pt idx="180">
                  <c:v>2154</c:v>
                </c:pt>
                <c:pt idx="181">
                  <c:v>2314</c:v>
                </c:pt>
                <c:pt idx="182">
                  <c:v>2414</c:v>
                </c:pt>
                <c:pt idx="183">
                  <c:v>2404</c:v>
                </c:pt>
                <c:pt idx="184">
                  <c:v>2619</c:v>
                </c:pt>
                <c:pt idx="185">
                  <c:v>2414</c:v>
                </c:pt>
                <c:pt idx="186">
                  <c:v>2066</c:v>
                </c:pt>
                <c:pt idx="187">
                  <c:v>2166</c:v>
                </c:pt>
                <c:pt idx="188">
                  <c:v>2141</c:v>
                </c:pt>
                <c:pt idx="189">
                  <c:v>2086</c:v>
                </c:pt>
                <c:pt idx="190">
                  <c:v>2157</c:v>
                </c:pt>
                <c:pt idx="191">
                  <c:v>2157</c:v>
                </c:pt>
                <c:pt idx="192">
                  <c:v>1909</c:v>
                </c:pt>
                <c:pt idx="193">
                  <c:v>1961</c:v>
                </c:pt>
                <c:pt idx="194">
                  <c:v>2161</c:v>
                </c:pt>
                <c:pt idx="195">
                  <c:v>2161</c:v>
                </c:pt>
                <c:pt idx="196">
                  <c:v>2161</c:v>
                </c:pt>
                <c:pt idx="197">
                  <c:v>2171</c:v>
                </c:pt>
                <c:pt idx="198">
                  <c:v>2141</c:v>
                </c:pt>
                <c:pt idx="199">
                  <c:v>2141</c:v>
                </c:pt>
                <c:pt idx="200">
                  <c:v>2041</c:v>
                </c:pt>
                <c:pt idx="201">
                  <c:v>2041</c:v>
                </c:pt>
                <c:pt idx="202">
                  <c:v>1921</c:v>
                </c:pt>
                <c:pt idx="203">
                  <c:v>1921</c:v>
                </c:pt>
                <c:pt idx="204">
                  <c:v>1921</c:v>
                </c:pt>
                <c:pt idx="205">
                  <c:v>1921</c:v>
                </c:pt>
                <c:pt idx="206">
                  <c:v>1921</c:v>
                </c:pt>
                <c:pt idx="207">
                  <c:v>1921</c:v>
                </c:pt>
                <c:pt idx="208">
                  <c:v>1871</c:v>
                </c:pt>
                <c:pt idx="209">
                  <c:v>1844</c:v>
                </c:pt>
                <c:pt idx="210">
                  <c:v>1724</c:v>
                </c:pt>
                <c:pt idx="211">
                  <c:v>1724</c:v>
                </c:pt>
                <c:pt idx="212">
                  <c:v>1724</c:v>
                </c:pt>
                <c:pt idx="213">
                  <c:v>1574</c:v>
                </c:pt>
                <c:pt idx="214">
                  <c:v>1574</c:v>
                </c:pt>
                <c:pt idx="215">
                  <c:v>1574</c:v>
                </c:pt>
                <c:pt idx="216">
                  <c:v>1574</c:v>
                </c:pt>
                <c:pt idx="217">
                  <c:v>1574</c:v>
                </c:pt>
                <c:pt idx="218">
                  <c:v>1574</c:v>
                </c:pt>
                <c:pt idx="219">
                  <c:v>1574</c:v>
                </c:pt>
                <c:pt idx="220">
                  <c:v>1574</c:v>
                </c:pt>
                <c:pt idx="221">
                  <c:v>1574</c:v>
                </c:pt>
                <c:pt idx="222">
                  <c:v>1574</c:v>
                </c:pt>
                <c:pt idx="223">
                  <c:v>1574</c:v>
                </c:pt>
                <c:pt idx="224">
                  <c:v>1574</c:v>
                </c:pt>
                <c:pt idx="225">
                  <c:v>1574</c:v>
                </c:pt>
                <c:pt idx="226">
                  <c:v>1574</c:v>
                </c:pt>
                <c:pt idx="227">
                  <c:v>1574</c:v>
                </c:pt>
                <c:pt idx="228">
                  <c:v>1574</c:v>
                </c:pt>
                <c:pt idx="229">
                  <c:v>1574</c:v>
                </c:pt>
                <c:pt idx="230">
                  <c:v>127</c:v>
                </c:pt>
                <c:pt idx="231">
                  <c:v>127</c:v>
                </c:pt>
                <c:pt idx="232">
                  <c:v>127</c:v>
                </c:pt>
                <c:pt idx="233">
                  <c:v>127</c:v>
                </c:pt>
                <c:pt idx="234">
                  <c:v>127</c:v>
                </c:pt>
                <c:pt idx="235">
                  <c:v>127</c:v>
                </c:pt>
                <c:pt idx="236">
                  <c:v>127</c:v>
                </c:pt>
                <c:pt idx="237">
                  <c:v>127</c:v>
                </c:pt>
                <c:pt idx="238">
                  <c:v>127</c:v>
                </c:pt>
                <c:pt idx="239">
                  <c:v>127</c:v>
                </c:pt>
                <c:pt idx="240">
                  <c:v>337</c:v>
                </c:pt>
                <c:pt idx="241">
                  <c:v>337</c:v>
                </c:pt>
                <c:pt idx="242">
                  <c:v>637</c:v>
                </c:pt>
                <c:pt idx="243">
                  <c:v>688</c:v>
                </c:pt>
                <c:pt idx="244">
                  <c:v>933</c:v>
                </c:pt>
                <c:pt idx="245">
                  <c:v>933</c:v>
                </c:pt>
                <c:pt idx="246">
                  <c:v>913</c:v>
                </c:pt>
                <c:pt idx="247">
                  <c:v>998</c:v>
                </c:pt>
                <c:pt idx="248">
                  <c:v>1047</c:v>
                </c:pt>
              </c:numCache>
            </c:numRef>
          </c:val>
        </c:ser>
        <c:marker val="1"/>
        <c:axId val="134765568"/>
        <c:axId val="134767360"/>
      </c:lineChart>
      <c:catAx>
        <c:axId val="134724992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63648"/>
        <c:crossesAt val="0"/>
        <c:lblAlgn val="ctr"/>
        <c:lblOffset val="100"/>
        <c:tickLblSkip val="8"/>
        <c:tickMarkSkip val="1"/>
      </c:catAx>
      <c:valAx>
        <c:axId val="134763648"/>
        <c:scaling>
          <c:orientation val="minMax"/>
          <c:max val="35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7.1530858160734866E-3"/>
              <c:y val="0.2170217275218740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24992"/>
        <c:crosses val="autoZero"/>
        <c:crossBetween val="midCat"/>
        <c:majorUnit val="500"/>
        <c:minorUnit val="10"/>
      </c:valAx>
      <c:catAx>
        <c:axId val="134765568"/>
        <c:scaling>
          <c:orientation val="minMax"/>
        </c:scaling>
        <c:delete val="1"/>
        <c:axPos val="b"/>
        <c:numFmt formatCode="General" sourceLinked="1"/>
        <c:tickLblPos val="nextTo"/>
        <c:crossAx val="134767360"/>
        <c:crosses val="autoZero"/>
        <c:lblAlgn val="ctr"/>
        <c:lblOffset val="100"/>
      </c:catAx>
      <c:valAx>
        <c:axId val="134767360"/>
        <c:scaling>
          <c:orientation val="minMax"/>
          <c:max val="12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423596800670597"/>
              <c:y val="0.2723409913999990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765568"/>
        <c:crosses val="max"/>
        <c:crossBetween val="midCat"/>
        <c:majorUnit val="1000"/>
        <c:minorUnit val="2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281967098599445E-2"/>
          <c:y val="8.936188780312454E-2"/>
          <c:w val="0.41058712584261836"/>
          <c:h val="5.1063935887499787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857193678287996E-2"/>
          <c:y val="6.3559322033898302E-2"/>
          <c:w val="0.85285773776348917"/>
          <c:h val="0.69067796610169518"/>
        </c:manualLayout>
      </c:layout>
      <c:barChart>
        <c:barDir val="col"/>
        <c:grouping val="clustered"/>
        <c:ser>
          <c:idx val="1"/>
          <c:order val="0"/>
          <c:tx>
            <c:strRef>
              <c:f>[1]FMG3!$N$2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85396A"/>
            </a:solidFill>
            <a:ln w="12700">
              <a:solidFill>
                <a:srgbClr val="85396A"/>
              </a:solidFill>
              <a:prstDash val="solid"/>
            </a:ln>
          </c:spPr>
          <c:cat>
            <c:numRef>
              <c:f>[1]FMG3!$A$3:$A$80</c:f>
              <c:numCache>
                <c:formatCode>General</c:formatCode>
                <c:ptCount val="78"/>
                <c:pt idx="0">
                  <c:v>37883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37893</c:v>
                </c:pt>
                <c:pt idx="7">
                  <c:v>37894</c:v>
                </c:pt>
                <c:pt idx="8">
                  <c:v>37895</c:v>
                </c:pt>
                <c:pt idx="9">
                  <c:v>37896</c:v>
                </c:pt>
                <c:pt idx="10">
                  <c:v>37897</c:v>
                </c:pt>
                <c:pt idx="11">
                  <c:v>37900</c:v>
                </c:pt>
                <c:pt idx="12">
                  <c:v>37901</c:v>
                </c:pt>
                <c:pt idx="13">
                  <c:v>37902</c:v>
                </c:pt>
                <c:pt idx="14">
                  <c:v>37903</c:v>
                </c:pt>
                <c:pt idx="15">
                  <c:v>37904</c:v>
                </c:pt>
                <c:pt idx="16">
                  <c:v>37907</c:v>
                </c:pt>
                <c:pt idx="17">
                  <c:v>37908</c:v>
                </c:pt>
                <c:pt idx="18">
                  <c:v>37909</c:v>
                </c:pt>
                <c:pt idx="19">
                  <c:v>37910</c:v>
                </c:pt>
                <c:pt idx="20">
                  <c:v>37911</c:v>
                </c:pt>
                <c:pt idx="21">
                  <c:v>37914</c:v>
                </c:pt>
                <c:pt idx="22">
                  <c:v>37915</c:v>
                </c:pt>
                <c:pt idx="23">
                  <c:v>37916</c:v>
                </c:pt>
                <c:pt idx="24">
                  <c:v>37917</c:v>
                </c:pt>
                <c:pt idx="25">
                  <c:v>37921</c:v>
                </c:pt>
                <c:pt idx="26">
                  <c:v>37922</c:v>
                </c:pt>
                <c:pt idx="27">
                  <c:v>37923</c:v>
                </c:pt>
                <c:pt idx="28">
                  <c:v>37924</c:v>
                </c:pt>
                <c:pt idx="29">
                  <c:v>37925</c:v>
                </c:pt>
                <c:pt idx="30">
                  <c:v>37928</c:v>
                </c:pt>
                <c:pt idx="31">
                  <c:v>37929</c:v>
                </c:pt>
                <c:pt idx="32">
                  <c:v>37930</c:v>
                </c:pt>
                <c:pt idx="33">
                  <c:v>37931</c:v>
                </c:pt>
                <c:pt idx="34">
                  <c:v>37932</c:v>
                </c:pt>
                <c:pt idx="35">
                  <c:v>37935</c:v>
                </c:pt>
                <c:pt idx="36">
                  <c:v>37936</c:v>
                </c:pt>
                <c:pt idx="37">
                  <c:v>37937</c:v>
                </c:pt>
                <c:pt idx="38">
                  <c:v>37938</c:v>
                </c:pt>
                <c:pt idx="39">
                  <c:v>37939</c:v>
                </c:pt>
                <c:pt idx="40">
                  <c:v>37942</c:v>
                </c:pt>
                <c:pt idx="41">
                  <c:v>37943</c:v>
                </c:pt>
                <c:pt idx="42">
                  <c:v>37944</c:v>
                </c:pt>
                <c:pt idx="43">
                  <c:v>37945</c:v>
                </c:pt>
                <c:pt idx="44">
                  <c:v>37946</c:v>
                </c:pt>
                <c:pt idx="45">
                  <c:v>37952</c:v>
                </c:pt>
                <c:pt idx="46">
                  <c:v>37953</c:v>
                </c:pt>
                <c:pt idx="47">
                  <c:v>37956</c:v>
                </c:pt>
                <c:pt idx="48">
                  <c:v>37957</c:v>
                </c:pt>
                <c:pt idx="49">
                  <c:v>37958</c:v>
                </c:pt>
                <c:pt idx="50">
                  <c:v>37959</c:v>
                </c:pt>
                <c:pt idx="51">
                  <c:v>37960</c:v>
                </c:pt>
                <c:pt idx="52">
                  <c:v>37963</c:v>
                </c:pt>
                <c:pt idx="53">
                  <c:v>37964</c:v>
                </c:pt>
                <c:pt idx="54">
                  <c:v>37965</c:v>
                </c:pt>
                <c:pt idx="55">
                  <c:v>37966</c:v>
                </c:pt>
                <c:pt idx="56">
                  <c:v>37967</c:v>
                </c:pt>
                <c:pt idx="57">
                  <c:v>37970</c:v>
                </c:pt>
                <c:pt idx="58">
                  <c:v>37971</c:v>
                </c:pt>
                <c:pt idx="59">
                  <c:v>37972</c:v>
                </c:pt>
                <c:pt idx="60">
                  <c:v>37973</c:v>
                </c:pt>
                <c:pt idx="61">
                  <c:v>37974</c:v>
                </c:pt>
                <c:pt idx="62">
                  <c:v>37977</c:v>
                </c:pt>
                <c:pt idx="63">
                  <c:v>37978</c:v>
                </c:pt>
                <c:pt idx="64">
                  <c:v>37979</c:v>
                </c:pt>
                <c:pt idx="65">
                  <c:v>37981</c:v>
                </c:pt>
                <c:pt idx="66">
                  <c:v>37984</c:v>
                </c:pt>
                <c:pt idx="67">
                  <c:v>37985</c:v>
                </c:pt>
                <c:pt idx="68">
                  <c:v>37986</c:v>
                </c:pt>
                <c:pt idx="69">
                  <c:v>37988</c:v>
                </c:pt>
                <c:pt idx="70">
                  <c:v>37991</c:v>
                </c:pt>
                <c:pt idx="71">
                  <c:v>37992</c:v>
                </c:pt>
                <c:pt idx="72">
                  <c:v>37993</c:v>
                </c:pt>
                <c:pt idx="73">
                  <c:v>37994</c:v>
                </c:pt>
                <c:pt idx="74">
                  <c:v>37995</c:v>
                </c:pt>
                <c:pt idx="75">
                  <c:v>37998</c:v>
                </c:pt>
                <c:pt idx="76">
                  <c:v>37999</c:v>
                </c:pt>
                <c:pt idx="77">
                  <c:v>38000</c:v>
                </c:pt>
              </c:numCache>
            </c:numRef>
          </c:cat>
          <c:val>
            <c:numRef>
              <c:f>[1]FMG3!$N$3:$N$80</c:f>
              <c:numCache>
                <c:formatCode>General</c:formatCode>
                <c:ptCount val="78"/>
                <c:pt idx="0">
                  <c:v>1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50</c:v>
                </c:pt>
                <c:pt idx="32">
                  <c:v>0</c:v>
                </c:pt>
                <c:pt idx="33">
                  <c:v>50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100</c:v>
                </c:pt>
                <c:pt idx="39">
                  <c:v>450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50</c:v>
                </c:pt>
                <c:pt idx="71">
                  <c:v>350</c:v>
                </c:pt>
                <c:pt idx="72">
                  <c:v>50</c:v>
                </c:pt>
                <c:pt idx="73">
                  <c:v>420</c:v>
                </c:pt>
                <c:pt idx="74">
                  <c:v>50</c:v>
                </c:pt>
                <c:pt idx="75">
                  <c:v>150</c:v>
                </c:pt>
                <c:pt idx="76">
                  <c:v>0</c:v>
                </c:pt>
                <c:pt idx="77">
                  <c:v>50</c:v>
                </c:pt>
              </c:numCache>
            </c:numRef>
          </c:val>
        </c:ser>
        <c:gapWidth val="0"/>
        <c:axId val="134801664"/>
        <c:axId val="134811648"/>
      </c:barChart>
      <c:lineChart>
        <c:grouping val="standard"/>
        <c:ser>
          <c:idx val="0"/>
          <c:order val="1"/>
          <c:tx>
            <c:strRef>
              <c:f>[1]FMG3!$O$2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2A6FF9"/>
              </a:solidFill>
              <a:prstDash val="solid"/>
            </a:ln>
          </c:spPr>
          <c:marker>
            <c:symbol val="none"/>
          </c:marker>
          <c:cat>
            <c:numRef>
              <c:f>[1]FMG3!$A$3:$A$80</c:f>
              <c:numCache>
                <c:formatCode>General</c:formatCode>
                <c:ptCount val="78"/>
                <c:pt idx="0">
                  <c:v>37883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37893</c:v>
                </c:pt>
                <c:pt idx="7">
                  <c:v>37894</c:v>
                </c:pt>
                <c:pt idx="8">
                  <c:v>37895</c:v>
                </c:pt>
                <c:pt idx="9">
                  <c:v>37896</c:v>
                </c:pt>
                <c:pt idx="10">
                  <c:v>37897</c:v>
                </c:pt>
                <c:pt idx="11">
                  <c:v>37900</c:v>
                </c:pt>
                <c:pt idx="12">
                  <c:v>37901</c:v>
                </c:pt>
                <c:pt idx="13">
                  <c:v>37902</c:v>
                </c:pt>
                <c:pt idx="14">
                  <c:v>37903</c:v>
                </c:pt>
                <c:pt idx="15">
                  <c:v>37904</c:v>
                </c:pt>
                <c:pt idx="16">
                  <c:v>37907</c:v>
                </c:pt>
                <c:pt idx="17">
                  <c:v>37908</c:v>
                </c:pt>
                <c:pt idx="18">
                  <c:v>37909</c:v>
                </c:pt>
                <c:pt idx="19">
                  <c:v>37910</c:v>
                </c:pt>
                <c:pt idx="20">
                  <c:v>37911</c:v>
                </c:pt>
                <c:pt idx="21">
                  <c:v>37914</c:v>
                </c:pt>
                <c:pt idx="22">
                  <c:v>37915</c:v>
                </c:pt>
                <c:pt idx="23">
                  <c:v>37916</c:v>
                </c:pt>
                <c:pt idx="24">
                  <c:v>37917</c:v>
                </c:pt>
                <c:pt idx="25">
                  <c:v>37921</c:v>
                </c:pt>
                <c:pt idx="26">
                  <c:v>37922</c:v>
                </c:pt>
                <c:pt idx="27">
                  <c:v>37923</c:v>
                </c:pt>
                <c:pt idx="28">
                  <c:v>37924</c:v>
                </c:pt>
                <c:pt idx="29">
                  <c:v>37925</c:v>
                </c:pt>
                <c:pt idx="30">
                  <c:v>37928</c:v>
                </c:pt>
                <c:pt idx="31">
                  <c:v>37929</c:v>
                </c:pt>
                <c:pt idx="32">
                  <c:v>37930</c:v>
                </c:pt>
                <c:pt idx="33">
                  <c:v>37931</c:v>
                </c:pt>
                <c:pt idx="34">
                  <c:v>37932</c:v>
                </c:pt>
                <c:pt idx="35">
                  <c:v>37935</c:v>
                </c:pt>
                <c:pt idx="36">
                  <c:v>37936</c:v>
                </c:pt>
                <c:pt idx="37">
                  <c:v>37937</c:v>
                </c:pt>
                <c:pt idx="38">
                  <c:v>37938</c:v>
                </c:pt>
                <c:pt idx="39">
                  <c:v>37939</c:v>
                </c:pt>
                <c:pt idx="40">
                  <c:v>37942</c:v>
                </c:pt>
                <c:pt idx="41">
                  <c:v>37943</c:v>
                </c:pt>
                <c:pt idx="42">
                  <c:v>37944</c:v>
                </c:pt>
                <c:pt idx="43">
                  <c:v>37945</c:v>
                </c:pt>
                <c:pt idx="44">
                  <c:v>37946</c:v>
                </c:pt>
                <c:pt idx="45">
                  <c:v>37952</c:v>
                </c:pt>
                <c:pt idx="46">
                  <c:v>37953</c:v>
                </c:pt>
                <c:pt idx="47">
                  <c:v>37956</c:v>
                </c:pt>
                <c:pt idx="48">
                  <c:v>37957</c:v>
                </c:pt>
                <c:pt idx="49">
                  <c:v>37958</c:v>
                </c:pt>
                <c:pt idx="50">
                  <c:v>37959</c:v>
                </c:pt>
                <c:pt idx="51">
                  <c:v>37960</c:v>
                </c:pt>
                <c:pt idx="52">
                  <c:v>37963</c:v>
                </c:pt>
                <c:pt idx="53">
                  <c:v>37964</c:v>
                </c:pt>
                <c:pt idx="54">
                  <c:v>37965</c:v>
                </c:pt>
                <c:pt idx="55">
                  <c:v>37966</c:v>
                </c:pt>
                <c:pt idx="56">
                  <c:v>37967</c:v>
                </c:pt>
                <c:pt idx="57">
                  <c:v>37970</c:v>
                </c:pt>
                <c:pt idx="58">
                  <c:v>37971</c:v>
                </c:pt>
                <c:pt idx="59">
                  <c:v>37972</c:v>
                </c:pt>
                <c:pt idx="60">
                  <c:v>37973</c:v>
                </c:pt>
                <c:pt idx="61">
                  <c:v>37974</c:v>
                </c:pt>
                <c:pt idx="62">
                  <c:v>37977</c:v>
                </c:pt>
                <c:pt idx="63">
                  <c:v>37978</c:v>
                </c:pt>
                <c:pt idx="64">
                  <c:v>37979</c:v>
                </c:pt>
                <c:pt idx="65">
                  <c:v>37981</c:v>
                </c:pt>
                <c:pt idx="66">
                  <c:v>37984</c:v>
                </c:pt>
                <c:pt idx="67">
                  <c:v>37985</c:v>
                </c:pt>
                <c:pt idx="68">
                  <c:v>37986</c:v>
                </c:pt>
                <c:pt idx="69">
                  <c:v>37988</c:v>
                </c:pt>
                <c:pt idx="70">
                  <c:v>37991</c:v>
                </c:pt>
                <c:pt idx="71">
                  <c:v>37992</c:v>
                </c:pt>
                <c:pt idx="72">
                  <c:v>37993</c:v>
                </c:pt>
                <c:pt idx="73">
                  <c:v>37994</c:v>
                </c:pt>
                <c:pt idx="74">
                  <c:v>37995</c:v>
                </c:pt>
                <c:pt idx="75">
                  <c:v>37998</c:v>
                </c:pt>
                <c:pt idx="76">
                  <c:v>37999</c:v>
                </c:pt>
                <c:pt idx="77">
                  <c:v>38000</c:v>
                </c:pt>
              </c:numCache>
            </c:numRef>
          </c:cat>
          <c:val>
            <c:numRef>
              <c:f>[1]FMG3!$O$3:$O$80</c:f>
              <c:numCache>
                <c:formatCode>General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80</c:v>
                </c:pt>
                <c:pt idx="32">
                  <c:v>80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130</c:v>
                </c:pt>
                <c:pt idx="37">
                  <c:v>130</c:v>
                </c:pt>
                <c:pt idx="38">
                  <c:v>180</c:v>
                </c:pt>
                <c:pt idx="39">
                  <c:v>580</c:v>
                </c:pt>
                <c:pt idx="40">
                  <c:v>580</c:v>
                </c:pt>
                <c:pt idx="41">
                  <c:v>580</c:v>
                </c:pt>
                <c:pt idx="42">
                  <c:v>580</c:v>
                </c:pt>
                <c:pt idx="43">
                  <c:v>580</c:v>
                </c:pt>
                <c:pt idx="44">
                  <c:v>580</c:v>
                </c:pt>
                <c:pt idx="45">
                  <c:v>580</c:v>
                </c:pt>
                <c:pt idx="46">
                  <c:v>580</c:v>
                </c:pt>
                <c:pt idx="47">
                  <c:v>580</c:v>
                </c:pt>
                <c:pt idx="48">
                  <c:v>580</c:v>
                </c:pt>
                <c:pt idx="49">
                  <c:v>580</c:v>
                </c:pt>
                <c:pt idx="50">
                  <c:v>580</c:v>
                </c:pt>
                <c:pt idx="51">
                  <c:v>580</c:v>
                </c:pt>
                <c:pt idx="52">
                  <c:v>580</c:v>
                </c:pt>
                <c:pt idx="53">
                  <c:v>580</c:v>
                </c:pt>
                <c:pt idx="54">
                  <c:v>580</c:v>
                </c:pt>
                <c:pt idx="55">
                  <c:v>580</c:v>
                </c:pt>
                <c:pt idx="56">
                  <c:v>580</c:v>
                </c:pt>
                <c:pt idx="57">
                  <c:v>580</c:v>
                </c:pt>
                <c:pt idx="58">
                  <c:v>580</c:v>
                </c:pt>
                <c:pt idx="59">
                  <c:v>0</c:v>
                </c:pt>
                <c:pt idx="60">
                  <c:v>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100</c:v>
                </c:pt>
                <c:pt idx="71">
                  <c:v>420</c:v>
                </c:pt>
                <c:pt idx="72">
                  <c:v>370</c:v>
                </c:pt>
                <c:pt idx="73">
                  <c:v>220</c:v>
                </c:pt>
                <c:pt idx="74">
                  <c:v>270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</c:numCache>
            </c:numRef>
          </c:val>
        </c:ser>
        <c:marker val="1"/>
        <c:axId val="134813568"/>
        <c:axId val="134815104"/>
      </c:lineChart>
      <c:catAx>
        <c:axId val="134801664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11648"/>
        <c:crossesAt val="0"/>
        <c:lblAlgn val="ctr"/>
        <c:lblOffset val="100"/>
        <c:tickLblSkip val="3"/>
        <c:tickMarkSkip val="1"/>
      </c:catAx>
      <c:valAx>
        <c:axId val="134811648"/>
        <c:scaling>
          <c:orientation val="minMax"/>
          <c:max val="5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7.1428621253223573E-3"/>
              <c:y val="0.2161016949152542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01664"/>
        <c:crosses val="autoZero"/>
        <c:crossBetween val="midCat"/>
        <c:majorUnit val="100"/>
        <c:minorUnit val="1"/>
      </c:valAx>
      <c:catAx>
        <c:axId val="134813568"/>
        <c:scaling>
          <c:orientation val="minMax"/>
        </c:scaling>
        <c:delete val="1"/>
        <c:axPos val="b"/>
        <c:numFmt formatCode="General" sourceLinked="1"/>
        <c:tickLblPos val="nextTo"/>
        <c:crossAx val="134815104"/>
        <c:crosses val="autoZero"/>
        <c:lblAlgn val="ctr"/>
        <c:lblOffset val="100"/>
      </c:catAx>
      <c:valAx>
        <c:axId val="134815104"/>
        <c:scaling>
          <c:orientation val="minMax"/>
          <c:max val="1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285781449345365"/>
              <c:y val="0.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13568"/>
        <c:crosses val="max"/>
        <c:crossBetween val="midCat"/>
        <c:majorUnit val="100"/>
        <c:min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14299465889695"/>
          <c:y val="8.8983050847457626E-2"/>
          <c:w val="0.41000028599350324"/>
          <c:h val="5.084745762711868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3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[2]DATA!$C$489:$C$734</c:f>
              <c:numCache>
                <c:formatCode>General</c:formatCode>
                <c:ptCount val="246"/>
                <c:pt idx="0">
                  <c:v>2747</c:v>
                </c:pt>
                <c:pt idx="1">
                  <c:v>1980</c:v>
                </c:pt>
                <c:pt idx="2">
                  <c:v>3054</c:v>
                </c:pt>
                <c:pt idx="3">
                  <c:v>3972</c:v>
                </c:pt>
                <c:pt idx="4">
                  <c:v>4505</c:v>
                </c:pt>
                <c:pt idx="5">
                  <c:v>1931</c:v>
                </c:pt>
                <c:pt idx="6">
                  <c:v>1832</c:v>
                </c:pt>
                <c:pt idx="7">
                  <c:v>3393</c:v>
                </c:pt>
                <c:pt idx="8">
                  <c:v>3346</c:v>
                </c:pt>
                <c:pt idx="9">
                  <c:v>2291</c:v>
                </c:pt>
                <c:pt idx="10">
                  <c:v>3128</c:v>
                </c:pt>
                <c:pt idx="11">
                  <c:v>3031</c:v>
                </c:pt>
                <c:pt idx="12">
                  <c:v>3905</c:v>
                </c:pt>
                <c:pt idx="13">
                  <c:v>2213</c:v>
                </c:pt>
                <c:pt idx="14">
                  <c:v>1879</c:v>
                </c:pt>
                <c:pt idx="15">
                  <c:v>2358</c:v>
                </c:pt>
                <c:pt idx="16">
                  <c:v>1526</c:v>
                </c:pt>
                <c:pt idx="17">
                  <c:v>647</c:v>
                </c:pt>
                <c:pt idx="18">
                  <c:v>1757</c:v>
                </c:pt>
                <c:pt idx="19">
                  <c:v>1047</c:v>
                </c:pt>
                <c:pt idx="20">
                  <c:v>1030</c:v>
                </c:pt>
                <c:pt idx="21">
                  <c:v>738</c:v>
                </c:pt>
                <c:pt idx="22">
                  <c:v>869</c:v>
                </c:pt>
                <c:pt idx="23">
                  <c:v>1082</c:v>
                </c:pt>
                <c:pt idx="24">
                  <c:v>2688</c:v>
                </c:pt>
                <c:pt idx="25">
                  <c:v>2892</c:v>
                </c:pt>
                <c:pt idx="26">
                  <c:v>2452</c:v>
                </c:pt>
                <c:pt idx="27">
                  <c:v>1669</c:v>
                </c:pt>
                <c:pt idx="28">
                  <c:v>2550</c:v>
                </c:pt>
                <c:pt idx="29">
                  <c:v>3564</c:v>
                </c:pt>
                <c:pt idx="30">
                  <c:v>3382</c:v>
                </c:pt>
                <c:pt idx="31">
                  <c:v>2343</c:v>
                </c:pt>
                <c:pt idx="32">
                  <c:v>3555</c:v>
                </c:pt>
                <c:pt idx="33">
                  <c:v>3037</c:v>
                </c:pt>
                <c:pt idx="34">
                  <c:v>4549</c:v>
                </c:pt>
                <c:pt idx="35">
                  <c:v>5362</c:v>
                </c:pt>
                <c:pt idx="36">
                  <c:v>4571</c:v>
                </c:pt>
                <c:pt idx="37">
                  <c:v>3464</c:v>
                </c:pt>
                <c:pt idx="38">
                  <c:v>5981</c:v>
                </c:pt>
                <c:pt idx="39">
                  <c:v>3429</c:v>
                </c:pt>
                <c:pt idx="40">
                  <c:v>2328</c:v>
                </c:pt>
                <c:pt idx="41">
                  <c:v>3598</c:v>
                </c:pt>
                <c:pt idx="42">
                  <c:v>2946</c:v>
                </c:pt>
                <c:pt idx="43">
                  <c:v>3009</c:v>
                </c:pt>
                <c:pt idx="44">
                  <c:v>3500</c:v>
                </c:pt>
                <c:pt idx="45">
                  <c:v>3046</c:v>
                </c:pt>
                <c:pt idx="46">
                  <c:v>3756</c:v>
                </c:pt>
                <c:pt idx="47">
                  <c:v>2410</c:v>
                </c:pt>
                <c:pt idx="48">
                  <c:v>2172</c:v>
                </c:pt>
                <c:pt idx="49">
                  <c:v>3080</c:v>
                </c:pt>
                <c:pt idx="50">
                  <c:v>3040</c:v>
                </c:pt>
                <c:pt idx="51">
                  <c:v>4497</c:v>
                </c:pt>
                <c:pt idx="52">
                  <c:v>4836</c:v>
                </c:pt>
                <c:pt idx="53">
                  <c:v>5755</c:v>
                </c:pt>
                <c:pt idx="54">
                  <c:v>4660</c:v>
                </c:pt>
                <c:pt idx="55">
                  <c:v>4127</c:v>
                </c:pt>
                <c:pt idx="56">
                  <c:v>3942</c:v>
                </c:pt>
                <c:pt idx="57">
                  <c:v>1571</c:v>
                </c:pt>
                <c:pt idx="58">
                  <c:v>2206</c:v>
                </c:pt>
                <c:pt idx="59">
                  <c:v>2711</c:v>
                </c:pt>
                <c:pt idx="60">
                  <c:v>3275</c:v>
                </c:pt>
                <c:pt idx="61">
                  <c:v>2048</c:v>
                </c:pt>
                <c:pt idx="62">
                  <c:v>1350</c:v>
                </c:pt>
                <c:pt idx="63">
                  <c:v>2837</c:v>
                </c:pt>
                <c:pt idx="64">
                  <c:v>2259</c:v>
                </c:pt>
                <c:pt idx="65">
                  <c:v>1703</c:v>
                </c:pt>
                <c:pt idx="66">
                  <c:v>1847</c:v>
                </c:pt>
                <c:pt idx="67">
                  <c:v>1185</c:v>
                </c:pt>
                <c:pt idx="68">
                  <c:v>1486</c:v>
                </c:pt>
                <c:pt idx="69">
                  <c:v>1731</c:v>
                </c:pt>
                <c:pt idx="70">
                  <c:v>2970</c:v>
                </c:pt>
                <c:pt idx="71">
                  <c:v>2853</c:v>
                </c:pt>
                <c:pt idx="72">
                  <c:v>3861</c:v>
                </c:pt>
                <c:pt idx="73">
                  <c:v>4224</c:v>
                </c:pt>
                <c:pt idx="74">
                  <c:v>4978</c:v>
                </c:pt>
                <c:pt idx="75">
                  <c:v>3580</c:v>
                </c:pt>
                <c:pt idx="76">
                  <c:v>3326</c:v>
                </c:pt>
                <c:pt idx="77">
                  <c:v>2728</c:v>
                </c:pt>
                <c:pt idx="78">
                  <c:v>3263</c:v>
                </c:pt>
                <c:pt idx="79">
                  <c:v>2089</c:v>
                </c:pt>
                <c:pt idx="80">
                  <c:v>2605</c:v>
                </c:pt>
                <c:pt idx="81">
                  <c:v>4380</c:v>
                </c:pt>
                <c:pt idx="82">
                  <c:v>1483</c:v>
                </c:pt>
                <c:pt idx="83">
                  <c:v>7509</c:v>
                </c:pt>
                <c:pt idx="84">
                  <c:v>3532</c:v>
                </c:pt>
                <c:pt idx="85">
                  <c:v>1542</c:v>
                </c:pt>
                <c:pt idx="86">
                  <c:v>725</c:v>
                </c:pt>
                <c:pt idx="87">
                  <c:v>2005</c:v>
                </c:pt>
                <c:pt idx="88">
                  <c:v>5564</c:v>
                </c:pt>
                <c:pt idx="89">
                  <c:v>4664</c:v>
                </c:pt>
                <c:pt idx="90">
                  <c:v>5475</c:v>
                </c:pt>
                <c:pt idx="91">
                  <c:v>5135</c:v>
                </c:pt>
                <c:pt idx="92">
                  <c:v>4504</c:v>
                </c:pt>
                <c:pt idx="93">
                  <c:v>7464</c:v>
                </c:pt>
                <c:pt idx="94">
                  <c:v>5523</c:v>
                </c:pt>
                <c:pt idx="95">
                  <c:v>4347</c:v>
                </c:pt>
                <c:pt idx="96">
                  <c:v>6700</c:v>
                </c:pt>
                <c:pt idx="97">
                  <c:v>4865</c:v>
                </c:pt>
                <c:pt idx="98">
                  <c:v>4449</c:v>
                </c:pt>
                <c:pt idx="99">
                  <c:v>2354</c:v>
                </c:pt>
                <c:pt idx="100">
                  <c:v>2528</c:v>
                </c:pt>
                <c:pt idx="101">
                  <c:v>3219</c:v>
                </c:pt>
                <c:pt idx="102">
                  <c:v>7449</c:v>
                </c:pt>
                <c:pt idx="103">
                  <c:v>2546</c:v>
                </c:pt>
                <c:pt idx="104">
                  <c:v>2069</c:v>
                </c:pt>
                <c:pt idx="105">
                  <c:v>3705</c:v>
                </c:pt>
                <c:pt idx="106">
                  <c:v>5021</c:v>
                </c:pt>
                <c:pt idx="107">
                  <c:v>5222</c:v>
                </c:pt>
                <c:pt idx="108">
                  <c:v>4369</c:v>
                </c:pt>
                <c:pt idx="109">
                  <c:v>6637</c:v>
                </c:pt>
                <c:pt idx="110">
                  <c:v>5054</c:v>
                </c:pt>
                <c:pt idx="111">
                  <c:v>7165</c:v>
                </c:pt>
                <c:pt idx="112">
                  <c:v>4581</c:v>
                </c:pt>
                <c:pt idx="113">
                  <c:v>3593</c:v>
                </c:pt>
                <c:pt idx="114">
                  <c:v>4896</c:v>
                </c:pt>
                <c:pt idx="115">
                  <c:v>4454</c:v>
                </c:pt>
                <c:pt idx="116">
                  <c:v>4709</c:v>
                </c:pt>
                <c:pt idx="117">
                  <c:v>4034</c:v>
                </c:pt>
                <c:pt idx="118">
                  <c:v>2279</c:v>
                </c:pt>
                <c:pt idx="119">
                  <c:v>2668</c:v>
                </c:pt>
                <c:pt idx="120">
                  <c:v>2926</c:v>
                </c:pt>
                <c:pt idx="121">
                  <c:v>4924</c:v>
                </c:pt>
                <c:pt idx="122">
                  <c:v>3691</c:v>
                </c:pt>
                <c:pt idx="123">
                  <c:v>2936</c:v>
                </c:pt>
                <c:pt idx="124">
                  <c:v>2399</c:v>
                </c:pt>
                <c:pt idx="125">
                  <c:v>3198</c:v>
                </c:pt>
                <c:pt idx="126">
                  <c:v>4102</c:v>
                </c:pt>
                <c:pt idx="127">
                  <c:v>3641</c:v>
                </c:pt>
                <c:pt idx="128">
                  <c:v>2652</c:v>
                </c:pt>
                <c:pt idx="129">
                  <c:v>4290</c:v>
                </c:pt>
                <c:pt idx="130">
                  <c:v>6674</c:v>
                </c:pt>
                <c:pt idx="131">
                  <c:v>8532</c:v>
                </c:pt>
                <c:pt idx="132">
                  <c:v>8557</c:v>
                </c:pt>
                <c:pt idx="133">
                  <c:v>4247</c:v>
                </c:pt>
                <c:pt idx="134">
                  <c:v>3673</c:v>
                </c:pt>
                <c:pt idx="135">
                  <c:v>7044</c:v>
                </c:pt>
                <c:pt idx="136">
                  <c:v>6187</c:v>
                </c:pt>
                <c:pt idx="137">
                  <c:v>2479</c:v>
                </c:pt>
                <c:pt idx="138">
                  <c:v>4163</c:v>
                </c:pt>
                <c:pt idx="139">
                  <c:v>3588</c:v>
                </c:pt>
                <c:pt idx="140">
                  <c:v>2566</c:v>
                </c:pt>
                <c:pt idx="141">
                  <c:v>3802</c:v>
                </c:pt>
                <c:pt idx="142">
                  <c:v>2922</c:v>
                </c:pt>
                <c:pt idx="143">
                  <c:v>1182</c:v>
                </c:pt>
                <c:pt idx="144">
                  <c:v>2742</c:v>
                </c:pt>
                <c:pt idx="145">
                  <c:v>3009</c:v>
                </c:pt>
                <c:pt idx="146">
                  <c:v>3063</c:v>
                </c:pt>
                <c:pt idx="147">
                  <c:v>7150</c:v>
                </c:pt>
                <c:pt idx="148">
                  <c:v>3042</c:v>
                </c:pt>
                <c:pt idx="149">
                  <c:v>3922</c:v>
                </c:pt>
                <c:pt idx="150">
                  <c:v>4663</c:v>
                </c:pt>
                <c:pt idx="151">
                  <c:v>6206</c:v>
                </c:pt>
                <c:pt idx="152">
                  <c:v>4023</c:v>
                </c:pt>
                <c:pt idx="153">
                  <c:v>6649</c:v>
                </c:pt>
                <c:pt idx="154">
                  <c:v>5114</c:v>
                </c:pt>
                <c:pt idx="155">
                  <c:v>6742</c:v>
                </c:pt>
                <c:pt idx="156">
                  <c:v>6958</c:v>
                </c:pt>
                <c:pt idx="157">
                  <c:v>3454</c:v>
                </c:pt>
                <c:pt idx="158">
                  <c:v>3819</c:v>
                </c:pt>
                <c:pt idx="159">
                  <c:v>4177</c:v>
                </c:pt>
                <c:pt idx="160">
                  <c:v>3631</c:v>
                </c:pt>
                <c:pt idx="161">
                  <c:v>4270</c:v>
                </c:pt>
                <c:pt idx="162">
                  <c:v>2423</c:v>
                </c:pt>
                <c:pt idx="163">
                  <c:v>2240</c:v>
                </c:pt>
                <c:pt idx="164">
                  <c:v>2911</c:v>
                </c:pt>
                <c:pt idx="165">
                  <c:v>2314</c:v>
                </c:pt>
                <c:pt idx="166">
                  <c:v>3541</c:v>
                </c:pt>
                <c:pt idx="167">
                  <c:v>1448</c:v>
                </c:pt>
                <c:pt idx="168">
                  <c:v>4404</c:v>
                </c:pt>
                <c:pt idx="169">
                  <c:v>4574</c:v>
                </c:pt>
                <c:pt idx="170">
                  <c:v>4229</c:v>
                </c:pt>
                <c:pt idx="171">
                  <c:v>3458</c:v>
                </c:pt>
                <c:pt idx="172">
                  <c:v>2972</c:v>
                </c:pt>
                <c:pt idx="173">
                  <c:v>4018</c:v>
                </c:pt>
                <c:pt idx="174">
                  <c:v>6889</c:v>
                </c:pt>
                <c:pt idx="175">
                  <c:v>9013</c:v>
                </c:pt>
                <c:pt idx="176">
                  <c:v>7398</c:v>
                </c:pt>
                <c:pt idx="177">
                  <c:v>6613</c:v>
                </c:pt>
                <c:pt idx="178">
                  <c:v>6458</c:v>
                </c:pt>
                <c:pt idx="179">
                  <c:v>6534</c:v>
                </c:pt>
                <c:pt idx="180">
                  <c:v>6475</c:v>
                </c:pt>
                <c:pt idx="181">
                  <c:v>5015</c:v>
                </c:pt>
                <c:pt idx="182">
                  <c:v>6549</c:v>
                </c:pt>
                <c:pt idx="183">
                  <c:v>6966</c:v>
                </c:pt>
                <c:pt idx="184">
                  <c:v>10171</c:v>
                </c:pt>
                <c:pt idx="185">
                  <c:v>6865</c:v>
                </c:pt>
                <c:pt idx="186">
                  <c:v>11238</c:v>
                </c:pt>
                <c:pt idx="187">
                  <c:v>7896</c:v>
                </c:pt>
                <c:pt idx="188">
                  <c:v>5113</c:v>
                </c:pt>
                <c:pt idx="189">
                  <c:v>2701</c:v>
                </c:pt>
                <c:pt idx="190">
                  <c:v>2154</c:v>
                </c:pt>
                <c:pt idx="191">
                  <c:v>3014</c:v>
                </c:pt>
                <c:pt idx="192">
                  <c:v>3070</c:v>
                </c:pt>
                <c:pt idx="193">
                  <c:v>1686</c:v>
                </c:pt>
                <c:pt idx="194">
                  <c:v>1213</c:v>
                </c:pt>
                <c:pt idx="195">
                  <c:v>1486</c:v>
                </c:pt>
                <c:pt idx="196">
                  <c:v>1109</c:v>
                </c:pt>
                <c:pt idx="197">
                  <c:v>524</c:v>
                </c:pt>
                <c:pt idx="198">
                  <c:v>641</c:v>
                </c:pt>
                <c:pt idx="199">
                  <c:v>757</c:v>
                </c:pt>
                <c:pt idx="200">
                  <c:v>799</c:v>
                </c:pt>
                <c:pt idx="201">
                  <c:v>728</c:v>
                </c:pt>
                <c:pt idx="202">
                  <c:v>668</c:v>
                </c:pt>
                <c:pt idx="203">
                  <c:v>594</c:v>
                </c:pt>
                <c:pt idx="204">
                  <c:v>615</c:v>
                </c:pt>
                <c:pt idx="205">
                  <c:v>377</c:v>
                </c:pt>
                <c:pt idx="206">
                  <c:v>936</c:v>
                </c:pt>
                <c:pt idx="207">
                  <c:v>1050</c:v>
                </c:pt>
                <c:pt idx="208">
                  <c:v>445</c:v>
                </c:pt>
                <c:pt idx="209">
                  <c:v>316</c:v>
                </c:pt>
                <c:pt idx="210">
                  <c:v>903</c:v>
                </c:pt>
                <c:pt idx="211">
                  <c:v>953</c:v>
                </c:pt>
                <c:pt idx="212">
                  <c:v>400</c:v>
                </c:pt>
                <c:pt idx="213">
                  <c:v>494</c:v>
                </c:pt>
                <c:pt idx="214">
                  <c:v>1459</c:v>
                </c:pt>
                <c:pt idx="215">
                  <c:v>1081</c:v>
                </c:pt>
                <c:pt idx="216">
                  <c:v>1622</c:v>
                </c:pt>
                <c:pt idx="217">
                  <c:v>938</c:v>
                </c:pt>
                <c:pt idx="218">
                  <c:v>1049</c:v>
                </c:pt>
                <c:pt idx="219">
                  <c:v>954</c:v>
                </c:pt>
                <c:pt idx="220">
                  <c:v>695</c:v>
                </c:pt>
                <c:pt idx="221">
                  <c:v>532</c:v>
                </c:pt>
                <c:pt idx="222">
                  <c:v>685</c:v>
                </c:pt>
                <c:pt idx="223">
                  <c:v>795</c:v>
                </c:pt>
                <c:pt idx="224">
                  <c:v>812</c:v>
                </c:pt>
                <c:pt idx="225">
                  <c:v>1468</c:v>
                </c:pt>
                <c:pt idx="226">
                  <c:v>1045</c:v>
                </c:pt>
                <c:pt idx="227">
                  <c:v>1419</c:v>
                </c:pt>
                <c:pt idx="228">
                  <c:v>1220</c:v>
                </c:pt>
                <c:pt idx="229">
                  <c:v>1246</c:v>
                </c:pt>
                <c:pt idx="230">
                  <c:v>1272</c:v>
                </c:pt>
                <c:pt idx="231">
                  <c:v>1567</c:v>
                </c:pt>
                <c:pt idx="232">
                  <c:v>1542</c:v>
                </c:pt>
                <c:pt idx="233">
                  <c:v>1401</c:v>
                </c:pt>
                <c:pt idx="234">
                  <c:v>1243</c:v>
                </c:pt>
                <c:pt idx="235">
                  <c:v>913</c:v>
                </c:pt>
                <c:pt idx="236">
                  <c:v>638</c:v>
                </c:pt>
                <c:pt idx="237">
                  <c:v>628</c:v>
                </c:pt>
                <c:pt idx="238">
                  <c:v>639</c:v>
                </c:pt>
                <c:pt idx="239">
                  <c:v>945</c:v>
                </c:pt>
                <c:pt idx="240">
                  <c:v>1354</c:v>
                </c:pt>
                <c:pt idx="241">
                  <c:v>1474</c:v>
                </c:pt>
                <c:pt idx="242">
                  <c:v>1731</c:v>
                </c:pt>
                <c:pt idx="243">
                  <c:v>1279</c:v>
                </c:pt>
                <c:pt idx="244">
                  <c:v>1648</c:v>
                </c:pt>
                <c:pt idx="245">
                  <c:v>1521</c:v>
                </c:pt>
              </c:numCache>
            </c:numRef>
          </c:val>
        </c:ser>
        <c:gapWidth val="0"/>
        <c:axId val="132239744"/>
        <c:axId val="132241280"/>
      </c:barChart>
      <c:lineChart>
        <c:grouping val="standard"/>
        <c:ser>
          <c:idx val="2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[2]DATA!$B$489:$B$734</c:f>
              <c:numCache>
                <c:formatCode>General</c:formatCode>
                <c:ptCount val="246"/>
                <c:pt idx="0">
                  <c:v>8314</c:v>
                </c:pt>
                <c:pt idx="1">
                  <c:v>9094</c:v>
                </c:pt>
                <c:pt idx="2">
                  <c:v>9342</c:v>
                </c:pt>
                <c:pt idx="3">
                  <c:v>10508</c:v>
                </c:pt>
                <c:pt idx="4">
                  <c:v>11511</c:v>
                </c:pt>
                <c:pt idx="5">
                  <c:v>11170</c:v>
                </c:pt>
                <c:pt idx="6">
                  <c:v>11219</c:v>
                </c:pt>
                <c:pt idx="7">
                  <c:v>9421</c:v>
                </c:pt>
                <c:pt idx="8">
                  <c:v>10060</c:v>
                </c:pt>
                <c:pt idx="9">
                  <c:v>9725</c:v>
                </c:pt>
                <c:pt idx="10">
                  <c:v>10050</c:v>
                </c:pt>
                <c:pt idx="11">
                  <c:v>11511</c:v>
                </c:pt>
                <c:pt idx="12">
                  <c:v>11793</c:v>
                </c:pt>
                <c:pt idx="13">
                  <c:v>11090</c:v>
                </c:pt>
                <c:pt idx="14">
                  <c:v>11489</c:v>
                </c:pt>
                <c:pt idx="15">
                  <c:v>13165</c:v>
                </c:pt>
                <c:pt idx="16">
                  <c:v>13470</c:v>
                </c:pt>
                <c:pt idx="17">
                  <c:v>12481</c:v>
                </c:pt>
                <c:pt idx="18">
                  <c:v>11811</c:v>
                </c:pt>
                <c:pt idx="19">
                  <c:v>11482</c:v>
                </c:pt>
                <c:pt idx="20">
                  <c:v>7614</c:v>
                </c:pt>
                <c:pt idx="21">
                  <c:v>7851</c:v>
                </c:pt>
                <c:pt idx="22">
                  <c:v>7885</c:v>
                </c:pt>
                <c:pt idx="23">
                  <c:v>8193</c:v>
                </c:pt>
                <c:pt idx="24">
                  <c:v>8432</c:v>
                </c:pt>
                <c:pt idx="25">
                  <c:v>9345</c:v>
                </c:pt>
                <c:pt idx="26">
                  <c:v>9335</c:v>
                </c:pt>
                <c:pt idx="27">
                  <c:v>9770</c:v>
                </c:pt>
                <c:pt idx="28">
                  <c:v>9522</c:v>
                </c:pt>
                <c:pt idx="29">
                  <c:v>10560</c:v>
                </c:pt>
                <c:pt idx="30">
                  <c:v>11716</c:v>
                </c:pt>
                <c:pt idx="31">
                  <c:v>11375</c:v>
                </c:pt>
                <c:pt idx="32">
                  <c:v>12696</c:v>
                </c:pt>
                <c:pt idx="33">
                  <c:v>10348</c:v>
                </c:pt>
                <c:pt idx="34">
                  <c:v>12293</c:v>
                </c:pt>
                <c:pt idx="35">
                  <c:v>13864</c:v>
                </c:pt>
                <c:pt idx="36">
                  <c:v>15131</c:v>
                </c:pt>
                <c:pt idx="37">
                  <c:v>8787</c:v>
                </c:pt>
                <c:pt idx="38">
                  <c:v>11059</c:v>
                </c:pt>
                <c:pt idx="39">
                  <c:v>10987</c:v>
                </c:pt>
                <c:pt idx="40">
                  <c:v>10537</c:v>
                </c:pt>
                <c:pt idx="41">
                  <c:v>12034</c:v>
                </c:pt>
                <c:pt idx="42">
                  <c:v>12329</c:v>
                </c:pt>
                <c:pt idx="43">
                  <c:v>13172</c:v>
                </c:pt>
                <c:pt idx="44">
                  <c:v>13328</c:v>
                </c:pt>
                <c:pt idx="45">
                  <c:v>14030</c:v>
                </c:pt>
                <c:pt idx="46">
                  <c:v>14952</c:v>
                </c:pt>
                <c:pt idx="47">
                  <c:v>12921</c:v>
                </c:pt>
                <c:pt idx="48">
                  <c:v>12555</c:v>
                </c:pt>
                <c:pt idx="49">
                  <c:v>11122</c:v>
                </c:pt>
                <c:pt idx="50">
                  <c:v>11753</c:v>
                </c:pt>
                <c:pt idx="51">
                  <c:v>13435</c:v>
                </c:pt>
                <c:pt idx="52">
                  <c:v>15324</c:v>
                </c:pt>
                <c:pt idx="53">
                  <c:v>15640</c:v>
                </c:pt>
                <c:pt idx="54">
                  <c:v>15288</c:v>
                </c:pt>
                <c:pt idx="55">
                  <c:v>14605</c:v>
                </c:pt>
                <c:pt idx="56">
                  <c:v>8844</c:v>
                </c:pt>
                <c:pt idx="57">
                  <c:v>9345</c:v>
                </c:pt>
                <c:pt idx="58">
                  <c:v>9912</c:v>
                </c:pt>
                <c:pt idx="59">
                  <c:v>10809</c:v>
                </c:pt>
                <c:pt idx="60">
                  <c:v>11262</c:v>
                </c:pt>
                <c:pt idx="61">
                  <c:v>11285</c:v>
                </c:pt>
                <c:pt idx="62">
                  <c:v>11522</c:v>
                </c:pt>
                <c:pt idx="63">
                  <c:v>12001</c:v>
                </c:pt>
                <c:pt idx="64">
                  <c:v>12463</c:v>
                </c:pt>
                <c:pt idx="65">
                  <c:v>12240</c:v>
                </c:pt>
                <c:pt idx="66">
                  <c:v>12782</c:v>
                </c:pt>
                <c:pt idx="67">
                  <c:v>12737</c:v>
                </c:pt>
                <c:pt idx="68">
                  <c:v>12801</c:v>
                </c:pt>
                <c:pt idx="69">
                  <c:v>12644</c:v>
                </c:pt>
                <c:pt idx="70">
                  <c:v>13470</c:v>
                </c:pt>
                <c:pt idx="71">
                  <c:v>13773</c:v>
                </c:pt>
                <c:pt idx="72">
                  <c:v>15739</c:v>
                </c:pt>
                <c:pt idx="73">
                  <c:v>16508</c:v>
                </c:pt>
                <c:pt idx="74">
                  <c:v>18232</c:v>
                </c:pt>
                <c:pt idx="75">
                  <c:v>18476</c:v>
                </c:pt>
                <c:pt idx="76">
                  <c:v>17535</c:v>
                </c:pt>
                <c:pt idx="77">
                  <c:v>16307</c:v>
                </c:pt>
                <c:pt idx="78">
                  <c:v>8603</c:v>
                </c:pt>
                <c:pt idx="79">
                  <c:v>9025</c:v>
                </c:pt>
                <c:pt idx="80">
                  <c:v>10015</c:v>
                </c:pt>
                <c:pt idx="81">
                  <c:v>10985</c:v>
                </c:pt>
                <c:pt idx="82">
                  <c:v>11333</c:v>
                </c:pt>
                <c:pt idx="83">
                  <c:v>15700</c:v>
                </c:pt>
                <c:pt idx="84">
                  <c:v>16603</c:v>
                </c:pt>
                <c:pt idx="85">
                  <c:v>16253</c:v>
                </c:pt>
                <c:pt idx="86">
                  <c:v>15686</c:v>
                </c:pt>
                <c:pt idx="87">
                  <c:v>16958</c:v>
                </c:pt>
                <c:pt idx="88">
                  <c:v>18923</c:v>
                </c:pt>
                <c:pt idx="89">
                  <c:v>20041</c:v>
                </c:pt>
                <c:pt idx="90">
                  <c:v>21831</c:v>
                </c:pt>
                <c:pt idx="91">
                  <c:v>23966</c:v>
                </c:pt>
                <c:pt idx="92">
                  <c:v>23023</c:v>
                </c:pt>
                <c:pt idx="93">
                  <c:v>26218</c:v>
                </c:pt>
                <c:pt idx="94">
                  <c:v>24545</c:v>
                </c:pt>
                <c:pt idx="95">
                  <c:v>25676</c:v>
                </c:pt>
                <c:pt idx="96">
                  <c:v>27394</c:v>
                </c:pt>
                <c:pt idx="97">
                  <c:v>25485</c:v>
                </c:pt>
                <c:pt idx="98">
                  <c:v>14527</c:v>
                </c:pt>
                <c:pt idx="99">
                  <c:v>15326</c:v>
                </c:pt>
                <c:pt idx="100">
                  <c:v>15897</c:v>
                </c:pt>
                <c:pt idx="101">
                  <c:v>16800</c:v>
                </c:pt>
                <c:pt idx="102">
                  <c:v>20610</c:v>
                </c:pt>
                <c:pt idx="103">
                  <c:v>18728</c:v>
                </c:pt>
                <c:pt idx="104">
                  <c:v>17595</c:v>
                </c:pt>
                <c:pt idx="105">
                  <c:v>18729</c:v>
                </c:pt>
                <c:pt idx="106">
                  <c:v>20702</c:v>
                </c:pt>
                <c:pt idx="107">
                  <c:v>23246</c:v>
                </c:pt>
                <c:pt idx="108">
                  <c:v>22293</c:v>
                </c:pt>
                <c:pt idx="109">
                  <c:v>24523</c:v>
                </c:pt>
                <c:pt idx="110">
                  <c:v>25329</c:v>
                </c:pt>
                <c:pt idx="111">
                  <c:v>28435</c:v>
                </c:pt>
                <c:pt idx="112">
                  <c:v>27669</c:v>
                </c:pt>
                <c:pt idx="113">
                  <c:v>28491</c:v>
                </c:pt>
                <c:pt idx="114">
                  <c:v>28107</c:v>
                </c:pt>
                <c:pt idx="115">
                  <c:v>29857</c:v>
                </c:pt>
                <c:pt idx="116">
                  <c:v>28422</c:v>
                </c:pt>
                <c:pt idx="117">
                  <c:v>15973</c:v>
                </c:pt>
                <c:pt idx="118">
                  <c:v>16957</c:v>
                </c:pt>
                <c:pt idx="119">
                  <c:v>16919</c:v>
                </c:pt>
                <c:pt idx="120">
                  <c:v>17506</c:v>
                </c:pt>
                <c:pt idx="121">
                  <c:v>19964</c:v>
                </c:pt>
                <c:pt idx="122">
                  <c:v>20827</c:v>
                </c:pt>
                <c:pt idx="123">
                  <c:v>21109</c:v>
                </c:pt>
                <c:pt idx="124">
                  <c:v>19304</c:v>
                </c:pt>
                <c:pt idx="125">
                  <c:v>20689</c:v>
                </c:pt>
                <c:pt idx="126">
                  <c:v>22421</c:v>
                </c:pt>
                <c:pt idx="127">
                  <c:v>21396</c:v>
                </c:pt>
                <c:pt idx="128">
                  <c:v>22644</c:v>
                </c:pt>
                <c:pt idx="129">
                  <c:v>24485</c:v>
                </c:pt>
                <c:pt idx="130">
                  <c:v>25898</c:v>
                </c:pt>
                <c:pt idx="131">
                  <c:v>29431</c:v>
                </c:pt>
                <c:pt idx="132">
                  <c:v>31861</c:v>
                </c:pt>
                <c:pt idx="133">
                  <c:v>27768</c:v>
                </c:pt>
                <c:pt idx="134">
                  <c:v>25154</c:v>
                </c:pt>
                <c:pt idx="135">
                  <c:v>28400</c:v>
                </c:pt>
                <c:pt idx="136">
                  <c:v>32570</c:v>
                </c:pt>
                <c:pt idx="137">
                  <c:v>33243</c:v>
                </c:pt>
                <c:pt idx="138">
                  <c:v>32215</c:v>
                </c:pt>
                <c:pt idx="139">
                  <c:v>18442</c:v>
                </c:pt>
                <c:pt idx="140">
                  <c:v>19181</c:v>
                </c:pt>
                <c:pt idx="141">
                  <c:v>20906</c:v>
                </c:pt>
                <c:pt idx="142">
                  <c:v>21704</c:v>
                </c:pt>
                <c:pt idx="143">
                  <c:v>21517</c:v>
                </c:pt>
                <c:pt idx="144">
                  <c:v>20368</c:v>
                </c:pt>
                <c:pt idx="145">
                  <c:v>21401</c:v>
                </c:pt>
                <c:pt idx="146">
                  <c:v>22734</c:v>
                </c:pt>
                <c:pt idx="147">
                  <c:v>23776</c:v>
                </c:pt>
                <c:pt idx="148">
                  <c:v>24646</c:v>
                </c:pt>
                <c:pt idx="149">
                  <c:v>25425</c:v>
                </c:pt>
                <c:pt idx="150">
                  <c:v>25948</c:v>
                </c:pt>
                <c:pt idx="151">
                  <c:v>27860</c:v>
                </c:pt>
                <c:pt idx="152">
                  <c:v>25929</c:v>
                </c:pt>
                <c:pt idx="153">
                  <c:v>27840</c:v>
                </c:pt>
                <c:pt idx="154">
                  <c:v>24511</c:v>
                </c:pt>
                <c:pt idx="155">
                  <c:v>27483</c:v>
                </c:pt>
                <c:pt idx="156">
                  <c:v>30508</c:v>
                </c:pt>
                <c:pt idx="157">
                  <c:v>28275</c:v>
                </c:pt>
                <c:pt idx="158">
                  <c:v>29869</c:v>
                </c:pt>
                <c:pt idx="159">
                  <c:v>30710</c:v>
                </c:pt>
                <c:pt idx="160">
                  <c:v>28330</c:v>
                </c:pt>
                <c:pt idx="161">
                  <c:v>16446</c:v>
                </c:pt>
                <c:pt idx="162">
                  <c:v>17304</c:v>
                </c:pt>
                <c:pt idx="163">
                  <c:v>17833</c:v>
                </c:pt>
                <c:pt idx="164">
                  <c:v>18564</c:v>
                </c:pt>
                <c:pt idx="165">
                  <c:v>18976</c:v>
                </c:pt>
                <c:pt idx="166">
                  <c:v>19621</c:v>
                </c:pt>
                <c:pt idx="167">
                  <c:v>19835</c:v>
                </c:pt>
                <c:pt idx="168">
                  <c:v>21070</c:v>
                </c:pt>
                <c:pt idx="169">
                  <c:v>23355</c:v>
                </c:pt>
                <c:pt idx="170">
                  <c:v>21701</c:v>
                </c:pt>
                <c:pt idx="171">
                  <c:v>21289</c:v>
                </c:pt>
                <c:pt idx="172">
                  <c:v>22112</c:v>
                </c:pt>
                <c:pt idx="173">
                  <c:v>23863</c:v>
                </c:pt>
                <c:pt idx="174">
                  <c:v>25081</c:v>
                </c:pt>
                <c:pt idx="175">
                  <c:v>28112</c:v>
                </c:pt>
                <c:pt idx="176">
                  <c:v>30064</c:v>
                </c:pt>
                <c:pt idx="177">
                  <c:v>32362</c:v>
                </c:pt>
                <c:pt idx="178">
                  <c:v>30814</c:v>
                </c:pt>
                <c:pt idx="179">
                  <c:v>29254</c:v>
                </c:pt>
                <c:pt idx="180">
                  <c:v>30713</c:v>
                </c:pt>
                <c:pt idx="181">
                  <c:v>14293</c:v>
                </c:pt>
                <c:pt idx="182">
                  <c:v>16151</c:v>
                </c:pt>
                <c:pt idx="183">
                  <c:v>18052</c:v>
                </c:pt>
                <c:pt idx="184">
                  <c:v>20377</c:v>
                </c:pt>
                <c:pt idx="185">
                  <c:v>14489</c:v>
                </c:pt>
                <c:pt idx="186">
                  <c:v>18329</c:v>
                </c:pt>
                <c:pt idx="187">
                  <c:v>18823</c:v>
                </c:pt>
                <c:pt idx="188">
                  <c:v>14951</c:v>
                </c:pt>
                <c:pt idx="189">
                  <c:v>12888</c:v>
                </c:pt>
                <c:pt idx="190">
                  <c:v>9970</c:v>
                </c:pt>
                <c:pt idx="191">
                  <c:v>10340</c:v>
                </c:pt>
                <c:pt idx="192">
                  <c:v>9529</c:v>
                </c:pt>
                <c:pt idx="193">
                  <c:v>9140</c:v>
                </c:pt>
                <c:pt idx="194">
                  <c:v>7439</c:v>
                </c:pt>
                <c:pt idx="195">
                  <c:v>7432</c:v>
                </c:pt>
                <c:pt idx="196">
                  <c:v>7551</c:v>
                </c:pt>
                <c:pt idx="197">
                  <c:v>6967</c:v>
                </c:pt>
                <c:pt idx="198">
                  <c:v>7029</c:v>
                </c:pt>
                <c:pt idx="199">
                  <c:v>3814</c:v>
                </c:pt>
                <c:pt idx="200">
                  <c:v>3815</c:v>
                </c:pt>
                <c:pt idx="201">
                  <c:v>3534</c:v>
                </c:pt>
                <c:pt idx="202">
                  <c:v>681</c:v>
                </c:pt>
                <c:pt idx="203">
                  <c:v>940</c:v>
                </c:pt>
                <c:pt idx="204">
                  <c:v>1075</c:v>
                </c:pt>
                <c:pt idx="205">
                  <c:v>1051</c:v>
                </c:pt>
                <c:pt idx="206">
                  <c:v>1184</c:v>
                </c:pt>
                <c:pt idx="207">
                  <c:v>1221</c:v>
                </c:pt>
                <c:pt idx="208">
                  <c:v>1255</c:v>
                </c:pt>
                <c:pt idx="209">
                  <c:v>1313</c:v>
                </c:pt>
                <c:pt idx="210">
                  <c:v>1376</c:v>
                </c:pt>
                <c:pt idx="211">
                  <c:v>1405</c:v>
                </c:pt>
                <c:pt idx="212">
                  <c:v>1474</c:v>
                </c:pt>
                <c:pt idx="213">
                  <c:v>1608</c:v>
                </c:pt>
                <c:pt idx="214">
                  <c:v>1722</c:v>
                </c:pt>
                <c:pt idx="215">
                  <c:v>1827</c:v>
                </c:pt>
                <c:pt idx="216">
                  <c:v>2158</c:v>
                </c:pt>
                <c:pt idx="217">
                  <c:v>2211</c:v>
                </c:pt>
                <c:pt idx="218">
                  <c:v>2221</c:v>
                </c:pt>
                <c:pt idx="219">
                  <c:v>2106</c:v>
                </c:pt>
                <c:pt idx="220">
                  <c:v>2147</c:v>
                </c:pt>
                <c:pt idx="221">
                  <c:v>2261</c:v>
                </c:pt>
                <c:pt idx="222">
                  <c:v>2147</c:v>
                </c:pt>
                <c:pt idx="223">
                  <c:v>1240</c:v>
                </c:pt>
                <c:pt idx="224">
                  <c:v>1416</c:v>
                </c:pt>
                <c:pt idx="225">
                  <c:v>1635</c:v>
                </c:pt>
                <c:pt idx="226">
                  <c:v>1835</c:v>
                </c:pt>
                <c:pt idx="227">
                  <c:v>2174</c:v>
                </c:pt>
                <c:pt idx="228">
                  <c:v>1953</c:v>
                </c:pt>
                <c:pt idx="229">
                  <c:v>2182</c:v>
                </c:pt>
                <c:pt idx="230">
                  <c:v>2172</c:v>
                </c:pt>
                <c:pt idx="231">
                  <c:v>2476</c:v>
                </c:pt>
                <c:pt idx="232">
                  <c:v>2374</c:v>
                </c:pt>
                <c:pt idx="233">
                  <c:v>2441</c:v>
                </c:pt>
                <c:pt idx="234">
                  <c:v>2625</c:v>
                </c:pt>
                <c:pt idx="235">
                  <c:v>2528</c:v>
                </c:pt>
                <c:pt idx="236">
                  <c:v>2428</c:v>
                </c:pt>
                <c:pt idx="237">
                  <c:v>2538</c:v>
                </c:pt>
                <c:pt idx="238">
                  <c:v>2533</c:v>
                </c:pt>
                <c:pt idx="239">
                  <c:v>2544</c:v>
                </c:pt>
                <c:pt idx="240">
                  <c:v>2613</c:v>
                </c:pt>
                <c:pt idx="241">
                  <c:v>2536</c:v>
                </c:pt>
                <c:pt idx="242">
                  <c:v>2536</c:v>
                </c:pt>
                <c:pt idx="243">
                  <c:v>2722</c:v>
                </c:pt>
                <c:pt idx="244">
                  <c:v>2237</c:v>
                </c:pt>
                <c:pt idx="245">
                  <c:v>1974</c:v>
                </c:pt>
              </c:numCache>
            </c:numRef>
          </c:val>
        </c:ser>
        <c:marker val="1"/>
        <c:axId val="132232320"/>
        <c:axId val="132233856"/>
      </c:lineChart>
      <c:catAx>
        <c:axId val="13223232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33856"/>
        <c:crosses val="autoZero"/>
        <c:lblAlgn val="ctr"/>
        <c:lblOffset val="100"/>
        <c:tickLblSkip val="2"/>
        <c:tickMarkSkip val="1"/>
      </c:catAx>
      <c:valAx>
        <c:axId val="132233856"/>
        <c:scaling>
          <c:orientation val="minMax"/>
          <c:max val="36000"/>
          <c:min val="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32320"/>
        <c:crosses val="autoZero"/>
        <c:crossBetween val="between"/>
        <c:majorUnit val="4000"/>
      </c:valAx>
      <c:catAx>
        <c:axId val="132239744"/>
        <c:scaling>
          <c:orientation val="minMax"/>
        </c:scaling>
        <c:delete val="1"/>
        <c:axPos val="b"/>
        <c:numFmt formatCode="General" sourceLinked="1"/>
        <c:tickLblPos val="nextTo"/>
        <c:crossAx val="132241280"/>
        <c:crosses val="autoZero"/>
        <c:lblAlgn val="ctr"/>
        <c:lblOffset val="100"/>
      </c:catAx>
      <c:valAx>
        <c:axId val="132241280"/>
        <c:scaling>
          <c:orientation val="minMax"/>
          <c:max val="14000"/>
          <c:min val="0"/>
        </c:scaling>
        <c:axPos val="r"/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39744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340941512125526E-2"/>
          <c:y val="6.32914000337884E-2"/>
          <c:w val="0.87018544935806008"/>
          <c:h val="0.69198597370275272"/>
        </c:manualLayout>
      </c:layout>
      <c:barChart>
        <c:barDir val="col"/>
        <c:grouping val="clustered"/>
        <c:ser>
          <c:idx val="1"/>
          <c:order val="0"/>
          <c:tx>
            <c:strRef>
              <c:f>[1]FMGA!$N$2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85396A"/>
            </a:solidFill>
            <a:ln w="12700">
              <a:solidFill>
                <a:srgbClr val="85396A"/>
              </a:solidFill>
              <a:prstDash val="solid"/>
            </a:ln>
          </c:spPr>
          <c:cat>
            <c:numRef>
              <c:f>[1]FMGA!$A$3:$A$80</c:f>
              <c:numCache>
                <c:formatCode>General</c:formatCode>
                <c:ptCount val="78"/>
                <c:pt idx="0">
                  <c:v>37883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37893</c:v>
                </c:pt>
                <c:pt idx="7">
                  <c:v>37894</c:v>
                </c:pt>
                <c:pt idx="8">
                  <c:v>37895</c:v>
                </c:pt>
                <c:pt idx="9">
                  <c:v>37896</c:v>
                </c:pt>
                <c:pt idx="10">
                  <c:v>37897</c:v>
                </c:pt>
                <c:pt idx="11">
                  <c:v>37900</c:v>
                </c:pt>
                <c:pt idx="12">
                  <c:v>37901</c:v>
                </c:pt>
                <c:pt idx="13">
                  <c:v>37902</c:v>
                </c:pt>
                <c:pt idx="14">
                  <c:v>37903</c:v>
                </c:pt>
                <c:pt idx="15">
                  <c:v>37904</c:v>
                </c:pt>
                <c:pt idx="16">
                  <c:v>37907</c:v>
                </c:pt>
                <c:pt idx="17">
                  <c:v>37908</c:v>
                </c:pt>
                <c:pt idx="18">
                  <c:v>37909</c:v>
                </c:pt>
                <c:pt idx="19">
                  <c:v>37910</c:v>
                </c:pt>
                <c:pt idx="20">
                  <c:v>37911</c:v>
                </c:pt>
                <c:pt idx="21">
                  <c:v>37914</c:v>
                </c:pt>
                <c:pt idx="22">
                  <c:v>37915</c:v>
                </c:pt>
                <c:pt idx="23">
                  <c:v>37916</c:v>
                </c:pt>
                <c:pt idx="24">
                  <c:v>37917</c:v>
                </c:pt>
                <c:pt idx="25">
                  <c:v>37921</c:v>
                </c:pt>
                <c:pt idx="26">
                  <c:v>37922</c:v>
                </c:pt>
                <c:pt idx="27">
                  <c:v>37923</c:v>
                </c:pt>
                <c:pt idx="28">
                  <c:v>37924</c:v>
                </c:pt>
                <c:pt idx="29">
                  <c:v>37925</c:v>
                </c:pt>
                <c:pt idx="30">
                  <c:v>37928</c:v>
                </c:pt>
                <c:pt idx="31">
                  <c:v>37929</c:v>
                </c:pt>
                <c:pt idx="32">
                  <c:v>37930</c:v>
                </c:pt>
                <c:pt idx="33">
                  <c:v>37931</c:v>
                </c:pt>
                <c:pt idx="34">
                  <c:v>37932</c:v>
                </c:pt>
                <c:pt idx="35">
                  <c:v>37935</c:v>
                </c:pt>
                <c:pt idx="36">
                  <c:v>37936</c:v>
                </c:pt>
                <c:pt idx="37">
                  <c:v>37937</c:v>
                </c:pt>
                <c:pt idx="38">
                  <c:v>37938</c:v>
                </c:pt>
                <c:pt idx="39">
                  <c:v>37939</c:v>
                </c:pt>
                <c:pt idx="40">
                  <c:v>37942</c:v>
                </c:pt>
                <c:pt idx="41">
                  <c:v>37943</c:v>
                </c:pt>
                <c:pt idx="42">
                  <c:v>37944</c:v>
                </c:pt>
                <c:pt idx="43">
                  <c:v>37945</c:v>
                </c:pt>
                <c:pt idx="44">
                  <c:v>37946</c:v>
                </c:pt>
                <c:pt idx="45">
                  <c:v>37952</c:v>
                </c:pt>
                <c:pt idx="46">
                  <c:v>37953</c:v>
                </c:pt>
                <c:pt idx="47">
                  <c:v>37956</c:v>
                </c:pt>
                <c:pt idx="48">
                  <c:v>37957</c:v>
                </c:pt>
                <c:pt idx="49">
                  <c:v>37958</c:v>
                </c:pt>
                <c:pt idx="50">
                  <c:v>37959</c:v>
                </c:pt>
                <c:pt idx="51">
                  <c:v>37960</c:v>
                </c:pt>
                <c:pt idx="52">
                  <c:v>37963</c:v>
                </c:pt>
                <c:pt idx="53">
                  <c:v>37964</c:v>
                </c:pt>
                <c:pt idx="54">
                  <c:v>37965</c:v>
                </c:pt>
                <c:pt idx="55">
                  <c:v>37966</c:v>
                </c:pt>
                <c:pt idx="56">
                  <c:v>37967</c:v>
                </c:pt>
                <c:pt idx="57">
                  <c:v>37970</c:v>
                </c:pt>
                <c:pt idx="58">
                  <c:v>37971</c:v>
                </c:pt>
                <c:pt idx="59">
                  <c:v>37972</c:v>
                </c:pt>
                <c:pt idx="60">
                  <c:v>37973</c:v>
                </c:pt>
                <c:pt idx="61">
                  <c:v>37974</c:v>
                </c:pt>
                <c:pt idx="62">
                  <c:v>37977</c:v>
                </c:pt>
                <c:pt idx="63">
                  <c:v>37978</c:v>
                </c:pt>
                <c:pt idx="64">
                  <c:v>37979</c:v>
                </c:pt>
                <c:pt idx="65">
                  <c:v>37981</c:v>
                </c:pt>
                <c:pt idx="66">
                  <c:v>37984</c:v>
                </c:pt>
                <c:pt idx="67">
                  <c:v>37985</c:v>
                </c:pt>
                <c:pt idx="68">
                  <c:v>37986</c:v>
                </c:pt>
                <c:pt idx="69">
                  <c:v>37988</c:v>
                </c:pt>
                <c:pt idx="70">
                  <c:v>37991</c:v>
                </c:pt>
                <c:pt idx="71">
                  <c:v>37992</c:v>
                </c:pt>
                <c:pt idx="72">
                  <c:v>37993</c:v>
                </c:pt>
                <c:pt idx="73">
                  <c:v>37994</c:v>
                </c:pt>
                <c:pt idx="74">
                  <c:v>37995</c:v>
                </c:pt>
                <c:pt idx="75">
                  <c:v>37998</c:v>
                </c:pt>
                <c:pt idx="76">
                  <c:v>37999</c:v>
                </c:pt>
                <c:pt idx="77">
                  <c:v>38000</c:v>
                </c:pt>
              </c:numCache>
            </c:numRef>
          </c:cat>
          <c:val>
            <c:numRef>
              <c:f>[1]FMGA!$N$3:$N$80</c:f>
              <c:numCache>
                <c:formatCode>General</c:formatCode>
                <c:ptCount val="78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gapWidth val="0"/>
        <c:axId val="134870144"/>
        <c:axId val="134871680"/>
      </c:barChart>
      <c:lineChart>
        <c:grouping val="standard"/>
        <c:ser>
          <c:idx val="0"/>
          <c:order val="1"/>
          <c:tx>
            <c:strRef>
              <c:f>[1]FMGA!$O$2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2A6FF9"/>
              </a:solidFill>
              <a:prstDash val="solid"/>
            </a:ln>
          </c:spPr>
          <c:marker>
            <c:symbol val="none"/>
          </c:marker>
          <c:cat>
            <c:numRef>
              <c:f>[1]FMGA!$A$3:$A$80</c:f>
              <c:numCache>
                <c:formatCode>General</c:formatCode>
                <c:ptCount val="78"/>
                <c:pt idx="0">
                  <c:v>37883</c:v>
                </c:pt>
                <c:pt idx="1">
                  <c:v>37886</c:v>
                </c:pt>
                <c:pt idx="2">
                  <c:v>37887</c:v>
                </c:pt>
                <c:pt idx="3">
                  <c:v>37888</c:v>
                </c:pt>
                <c:pt idx="4">
                  <c:v>37889</c:v>
                </c:pt>
                <c:pt idx="5">
                  <c:v>37890</c:v>
                </c:pt>
                <c:pt idx="6">
                  <c:v>37893</c:v>
                </c:pt>
                <c:pt idx="7">
                  <c:v>37894</c:v>
                </c:pt>
                <c:pt idx="8">
                  <c:v>37895</c:v>
                </c:pt>
                <c:pt idx="9">
                  <c:v>37896</c:v>
                </c:pt>
                <c:pt idx="10">
                  <c:v>37897</c:v>
                </c:pt>
                <c:pt idx="11">
                  <c:v>37900</c:v>
                </c:pt>
                <c:pt idx="12">
                  <c:v>37901</c:v>
                </c:pt>
                <c:pt idx="13">
                  <c:v>37902</c:v>
                </c:pt>
                <c:pt idx="14">
                  <c:v>37903</c:v>
                </c:pt>
                <c:pt idx="15">
                  <c:v>37904</c:v>
                </c:pt>
                <c:pt idx="16">
                  <c:v>37907</c:v>
                </c:pt>
                <c:pt idx="17">
                  <c:v>37908</c:v>
                </c:pt>
                <c:pt idx="18">
                  <c:v>37909</c:v>
                </c:pt>
                <c:pt idx="19">
                  <c:v>37910</c:v>
                </c:pt>
                <c:pt idx="20">
                  <c:v>37911</c:v>
                </c:pt>
                <c:pt idx="21">
                  <c:v>37914</c:v>
                </c:pt>
                <c:pt idx="22">
                  <c:v>37915</c:v>
                </c:pt>
                <c:pt idx="23">
                  <c:v>37916</c:v>
                </c:pt>
                <c:pt idx="24">
                  <c:v>37917</c:v>
                </c:pt>
                <c:pt idx="25">
                  <c:v>37921</c:v>
                </c:pt>
                <c:pt idx="26">
                  <c:v>37922</c:v>
                </c:pt>
                <c:pt idx="27">
                  <c:v>37923</c:v>
                </c:pt>
                <c:pt idx="28">
                  <c:v>37924</c:v>
                </c:pt>
                <c:pt idx="29">
                  <c:v>37925</c:v>
                </c:pt>
                <c:pt idx="30">
                  <c:v>37928</c:v>
                </c:pt>
                <c:pt idx="31">
                  <c:v>37929</c:v>
                </c:pt>
                <c:pt idx="32">
                  <c:v>37930</c:v>
                </c:pt>
                <c:pt idx="33">
                  <c:v>37931</c:v>
                </c:pt>
                <c:pt idx="34">
                  <c:v>37932</c:v>
                </c:pt>
                <c:pt idx="35">
                  <c:v>37935</c:v>
                </c:pt>
                <c:pt idx="36">
                  <c:v>37936</c:v>
                </c:pt>
                <c:pt idx="37">
                  <c:v>37937</c:v>
                </c:pt>
                <c:pt idx="38">
                  <c:v>37938</c:v>
                </c:pt>
                <c:pt idx="39">
                  <c:v>37939</c:v>
                </c:pt>
                <c:pt idx="40">
                  <c:v>37942</c:v>
                </c:pt>
                <c:pt idx="41">
                  <c:v>37943</c:v>
                </c:pt>
                <c:pt idx="42">
                  <c:v>37944</c:v>
                </c:pt>
                <c:pt idx="43">
                  <c:v>37945</c:v>
                </c:pt>
                <c:pt idx="44">
                  <c:v>37946</c:v>
                </c:pt>
                <c:pt idx="45">
                  <c:v>37952</c:v>
                </c:pt>
                <c:pt idx="46">
                  <c:v>37953</c:v>
                </c:pt>
                <c:pt idx="47">
                  <c:v>37956</c:v>
                </c:pt>
                <c:pt idx="48">
                  <c:v>37957</c:v>
                </c:pt>
                <c:pt idx="49">
                  <c:v>37958</c:v>
                </c:pt>
                <c:pt idx="50">
                  <c:v>37959</c:v>
                </c:pt>
                <c:pt idx="51">
                  <c:v>37960</c:v>
                </c:pt>
                <c:pt idx="52">
                  <c:v>37963</c:v>
                </c:pt>
                <c:pt idx="53">
                  <c:v>37964</c:v>
                </c:pt>
                <c:pt idx="54">
                  <c:v>37965</c:v>
                </c:pt>
                <c:pt idx="55">
                  <c:v>37966</c:v>
                </c:pt>
                <c:pt idx="56">
                  <c:v>37967</c:v>
                </c:pt>
                <c:pt idx="57">
                  <c:v>37970</c:v>
                </c:pt>
                <c:pt idx="58">
                  <c:v>37971</c:v>
                </c:pt>
                <c:pt idx="59">
                  <c:v>37972</c:v>
                </c:pt>
                <c:pt idx="60">
                  <c:v>37973</c:v>
                </c:pt>
                <c:pt idx="61">
                  <c:v>37974</c:v>
                </c:pt>
                <c:pt idx="62">
                  <c:v>37977</c:v>
                </c:pt>
                <c:pt idx="63">
                  <c:v>37978</c:v>
                </c:pt>
                <c:pt idx="64">
                  <c:v>37979</c:v>
                </c:pt>
                <c:pt idx="65">
                  <c:v>37981</c:v>
                </c:pt>
                <c:pt idx="66">
                  <c:v>37984</c:v>
                </c:pt>
                <c:pt idx="67">
                  <c:v>37985</c:v>
                </c:pt>
                <c:pt idx="68">
                  <c:v>37986</c:v>
                </c:pt>
                <c:pt idx="69">
                  <c:v>37988</c:v>
                </c:pt>
                <c:pt idx="70">
                  <c:v>37991</c:v>
                </c:pt>
                <c:pt idx="71">
                  <c:v>37992</c:v>
                </c:pt>
                <c:pt idx="72">
                  <c:v>37993</c:v>
                </c:pt>
                <c:pt idx="73">
                  <c:v>37994</c:v>
                </c:pt>
                <c:pt idx="74">
                  <c:v>37995</c:v>
                </c:pt>
                <c:pt idx="75">
                  <c:v>37998</c:v>
                </c:pt>
                <c:pt idx="76">
                  <c:v>37999</c:v>
                </c:pt>
                <c:pt idx="77">
                  <c:v>38000</c:v>
                </c:pt>
              </c:numCache>
            </c:numRef>
          </c:cat>
          <c:val>
            <c:numRef>
              <c:f>[1]FMGA!$O$3:$O$80</c:f>
              <c:numCache>
                <c:formatCode>General</c:formatCode>
                <c:ptCount val="7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</c:ser>
        <c:marker val="1"/>
        <c:axId val="134877952"/>
        <c:axId val="134879488"/>
      </c:lineChart>
      <c:catAx>
        <c:axId val="134870144"/>
        <c:scaling>
          <c:orientation val="minMax"/>
        </c:scaling>
        <c:axPos val="b"/>
        <c:numFmt formatCode="dd/mmm/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71680"/>
        <c:crossesAt val="0"/>
        <c:lblAlgn val="ctr"/>
        <c:lblOffset val="100"/>
        <c:tickLblSkip val="3"/>
        <c:tickMarkSkip val="1"/>
      </c:catAx>
      <c:valAx>
        <c:axId val="134871680"/>
        <c:scaling>
          <c:orientation val="minMax"/>
          <c:max val="50"/>
          <c:min val="0"/>
        </c:scaling>
        <c:axPos val="l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No. of contracts</a:t>
                </a:r>
              </a:p>
            </c:rich>
          </c:tx>
          <c:layout>
            <c:manualLayout>
              <c:xMode val="edge"/>
              <c:yMode val="edge"/>
              <c:x val="7.1326676176890194E-3"/>
              <c:y val="0.21941018678379981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70144"/>
        <c:crosses val="autoZero"/>
        <c:crossBetween val="midCat"/>
        <c:majorUnit val="5"/>
        <c:minorUnit val="1"/>
      </c:valAx>
      <c:catAx>
        <c:axId val="134877952"/>
        <c:scaling>
          <c:orientation val="minMax"/>
        </c:scaling>
        <c:delete val="1"/>
        <c:axPos val="b"/>
        <c:numFmt formatCode="General" sourceLinked="1"/>
        <c:tickLblPos val="nextTo"/>
        <c:crossAx val="134879488"/>
        <c:crosses val="autoZero"/>
        <c:lblAlgn val="ctr"/>
        <c:lblOffset val="100"/>
      </c:catAx>
      <c:valAx>
        <c:axId val="134879488"/>
        <c:scaling>
          <c:orientation val="minMax"/>
          <c:max val="1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433666191155465"/>
              <c:y val="0.2742627334797497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877952"/>
        <c:crosses val="max"/>
        <c:crossBetween val="midCat"/>
        <c:majorUnit val="10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18402282453637"/>
          <c:y val="9.2827386716223023E-2"/>
          <c:w val="0.40941512125534962"/>
          <c:h val="5.0633120027030722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ko-KR"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36717848794140651"/>
          <c:y val="1.56740051828302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38293493518917E-2"/>
          <c:y val="7.2100423841019112E-2"/>
          <c:w val="0.85478207482179469"/>
          <c:h val="0.65830821767887004"/>
        </c:manualLayout>
      </c:layout>
      <c:barChart>
        <c:barDir val="col"/>
        <c:grouping val="clustered"/>
        <c:ser>
          <c:idx val="2"/>
          <c:order val="0"/>
          <c:tx>
            <c:strRef>
              <c:f>[1]FKLI!$D$1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[1]FKLI!$D$1747:$D$1991</c:f>
              <c:numCache>
                <c:formatCode>General</c:formatCode>
                <c:ptCount val="245"/>
                <c:pt idx="0">
                  <c:v>860</c:v>
                </c:pt>
                <c:pt idx="1">
                  <c:v>786</c:v>
                </c:pt>
                <c:pt idx="2">
                  <c:v>711</c:v>
                </c:pt>
                <c:pt idx="3">
                  <c:v>1124</c:v>
                </c:pt>
                <c:pt idx="4">
                  <c:v>519</c:v>
                </c:pt>
                <c:pt idx="5">
                  <c:v>961</c:v>
                </c:pt>
                <c:pt idx="6">
                  <c:v>1317</c:v>
                </c:pt>
                <c:pt idx="7">
                  <c:v>1909</c:v>
                </c:pt>
                <c:pt idx="8">
                  <c:v>2274</c:v>
                </c:pt>
                <c:pt idx="9">
                  <c:v>1876</c:v>
                </c:pt>
                <c:pt idx="10">
                  <c:v>814</c:v>
                </c:pt>
                <c:pt idx="11">
                  <c:v>387</c:v>
                </c:pt>
                <c:pt idx="12">
                  <c:v>289</c:v>
                </c:pt>
                <c:pt idx="13">
                  <c:v>1270</c:v>
                </c:pt>
                <c:pt idx="14">
                  <c:v>597</c:v>
                </c:pt>
                <c:pt idx="15">
                  <c:v>648</c:v>
                </c:pt>
                <c:pt idx="16">
                  <c:v>585</c:v>
                </c:pt>
                <c:pt idx="17">
                  <c:v>279</c:v>
                </c:pt>
                <c:pt idx="18">
                  <c:v>871</c:v>
                </c:pt>
                <c:pt idx="19">
                  <c:v>443</c:v>
                </c:pt>
                <c:pt idx="20">
                  <c:v>394</c:v>
                </c:pt>
                <c:pt idx="21">
                  <c:v>337</c:v>
                </c:pt>
                <c:pt idx="22">
                  <c:v>273</c:v>
                </c:pt>
                <c:pt idx="23">
                  <c:v>582</c:v>
                </c:pt>
                <c:pt idx="24">
                  <c:v>1228</c:v>
                </c:pt>
                <c:pt idx="25">
                  <c:v>1290</c:v>
                </c:pt>
                <c:pt idx="26">
                  <c:v>2004</c:v>
                </c:pt>
                <c:pt idx="27">
                  <c:v>819</c:v>
                </c:pt>
                <c:pt idx="28">
                  <c:v>236</c:v>
                </c:pt>
                <c:pt idx="29">
                  <c:v>389</c:v>
                </c:pt>
                <c:pt idx="30">
                  <c:v>221</c:v>
                </c:pt>
                <c:pt idx="31">
                  <c:v>376</c:v>
                </c:pt>
                <c:pt idx="32">
                  <c:v>339</c:v>
                </c:pt>
                <c:pt idx="33">
                  <c:v>620</c:v>
                </c:pt>
                <c:pt idx="34">
                  <c:v>662</c:v>
                </c:pt>
                <c:pt idx="35">
                  <c:v>519</c:v>
                </c:pt>
                <c:pt idx="36">
                  <c:v>819</c:v>
                </c:pt>
                <c:pt idx="37">
                  <c:v>548</c:v>
                </c:pt>
                <c:pt idx="38">
                  <c:v>791</c:v>
                </c:pt>
                <c:pt idx="39">
                  <c:v>304</c:v>
                </c:pt>
                <c:pt idx="40">
                  <c:v>1456</c:v>
                </c:pt>
                <c:pt idx="41">
                  <c:v>474</c:v>
                </c:pt>
                <c:pt idx="42">
                  <c:v>748</c:v>
                </c:pt>
                <c:pt idx="43">
                  <c:v>1135</c:v>
                </c:pt>
                <c:pt idx="44">
                  <c:v>1189</c:v>
                </c:pt>
                <c:pt idx="45">
                  <c:v>1266</c:v>
                </c:pt>
                <c:pt idx="46">
                  <c:v>1488</c:v>
                </c:pt>
                <c:pt idx="47">
                  <c:v>1140</c:v>
                </c:pt>
                <c:pt idx="48">
                  <c:v>457</c:v>
                </c:pt>
                <c:pt idx="49">
                  <c:v>374</c:v>
                </c:pt>
                <c:pt idx="50">
                  <c:v>675</c:v>
                </c:pt>
                <c:pt idx="51">
                  <c:v>1195</c:v>
                </c:pt>
                <c:pt idx="52">
                  <c:v>727</c:v>
                </c:pt>
                <c:pt idx="53">
                  <c:v>770</c:v>
                </c:pt>
                <c:pt idx="54">
                  <c:v>712</c:v>
                </c:pt>
                <c:pt idx="55">
                  <c:v>424</c:v>
                </c:pt>
                <c:pt idx="56">
                  <c:v>341</c:v>
                </c:pt>
                <c:pt idx="57">
                  <c:v>498</c:v>
                </c:pt>
                <c:pt idx="58">
                  <c:v>587</c:v>
                </c:pt>
                <c:pt idx="59">
                  <c:v>595</c:v>
                </c:pt>
                <c:pt idx="60">
                  <c:v>248</c:v>
                </c:pt>
                <c:pt idx="61">
                  <c:v>328</c:v>
                </c:pt>
                <c:pt idx="62">
                  <c:v>167</c:v>
                </c:pt>
                <c:pt idx="63">
                  <c:v>401</c:v>
                </c:pt>
                <c:pt idx="64">
                  <c:v>493</c:v>
                </c:pt>
                <c:pt idx="65">
                  <c:v>523</c:v>
                </c:pt>
                <c:pt idx="66">
                  <c:v>1621</c:v>
                </c:pt>
                <c:pt idx="67">
                  <c:v>1996</c:v>
                </c:pt>
                <c:pt idx="68">
                  <c:v>770</c:v>
                </c:pt>
                <c:pt idx="69">
                  <c:v>591</c:v>
                </c:pt>
                <c:pt idx="70">
                  <c:v>148</c:v>
                </c:pt>
                <c:pt idx="71">
                  <c:v>592</c:v>
                </c:pt>
                <c:pt idx="72">
                  <c:v>250</c:v>
                </c:pt>
                <c:pt idx="73">
                  <c:v>307</c:v>
                </c:pt>
                <c:pt idx="74">
                  <c:v>318</c:v>
                </c:pt>
                <c:pt idx="75">
                  <c:v>225</c:v>
                </c:pt>
                <c:pt idx="76">
                  <c:v>275</c:v>
                </c:pt>
                <c:pt idx="77">
                  <c:v>208</c:v>
                </c:pt>
                <c:pt idx="78">
                  <c:v>699</c:v>
                </c:pt>
                <c:pt idx="79">
                  <c:v>692</c:v>
                </c:pt>
                <c:pt idx="80">
                  <c:v>506</c:v>
                </c:pt>
                <c:pt idx="81">
                  <c:v>369</c:v>
                </c:pt>
                <c:pt idx="82">
                  <c:v>663</c:v>
                </c:pt>
                <c:pt idx="83">
                  <c:v>991</c:v>
                </c:pt>
                <c:pt idx="84">
                  <c:v>1583</c:v>
                </c:pt>
                <c:pt idx="85">
                  <c:v>1504</c:v>
                </c:pt>
                <c:pt idx="86">
                  <c:v>1466</c:v>
                </c:pt>
                <c:pt idx="87">
                  <c:v>2091</c:v>
                </c:pt>
                <c:pt idx="88">
                  <c:v>1634</c:v>
                </c:pt>
                <c:pt idx="89">
                  <c:v>654</c:v>
                </c:pt>
                <c:pt idx="90">
                  <c:v>568</c:v>
                </c:pt>
                <c:pt idx="91">
                  <c:v>286</c:v>
                </c:pt>
                <c:pt idx="92">
                  <c:v>1412</c:v>
                </c:pt>
                <c:pt idx="93">
                  <c:v>576</c:v>
                </c:pt>
                <c:pt idx="94">
                  <c:v>379</c:v>
                </c:pt>
                <c:pt idx="95">
                  <c:v>416</c:v>
                </c:pt>
                <c:pt idx="96">
                  <c:v>926</c:v>
                </c:pt>
                <c:pt idx="97">
                  <c:v>1169</c:v>
                </c:pt>
                <c:pt idx="98">
                  <c:v>880</c:v>
                </c:pt>
                <c:pt idx="99">
                  <c:v>705</c:v>
                </c:pt>
                <c:pt idx="100">
                  <c:v>1016</c:v>
                </c:pt>
                <c:pt idx="101">
                  <c:v>656</c:v>
                </c:pt>
                <c:pt idx="102">
                  <c:v>764</c:v>
                </c:pt>
                <c:pt idx="103">
                  <c:v>766</c:v>
                </c:pt>
                <c:pt idx="104">
                  <c:v>1603</c:v>
                </c:pt>
                <c:pt idx="105">
                  <c:v>2020</c:v>
                </c:pt>
                <c:pt idx="106">
                  <c:v>2196</c:v>
                </c:pt>
                <c:pt idx="107">
                  <c:v>1965</c:v>
                </c:pt>
                <c:pt idx="108">
                  <c:v>1445</c:v>
                </c:pt>
                <c:pt idx="109">
                  <c:v>1348</c:v>
                </c:pt>
                <c:pt idx="110">
                  <c:v>589</c:v>
                </c:pt>
                <c:pt idx="111">
                  <c:v>849</c:v>
                </c:pt>
                <c:pt idx="112">
                  <c:v>1931</c:v>
                </c:pt>
                <c:pt idx="113">
                  <c:v>856</c:v>
                </c:pt>
                <c:pt idx="114">
                  <c:v>1110</c:v>
                </c:pt>
                <c:pt idx="115">
                  <c:v>1231</c:v>
                </c:pt>
                <c:pt idx="116">
                  <c:v>760</c:v>
                </c:pt>
                <c:pt idx="117">
                  <c:v>771</c:v>
                </c:pt>
                <c:pt idx="118">
                  <c:v>1073</c:v>
                </c:pt>
                <c:pt idx="119">
                  <c:v>1064</c:v>
                </c:pt>
                <c:pt idx="120">
                  <c:v>985</c:v>
                </c:pt>
                <c:pt idx="121">
                  <c:v>759</c:v>
                </c:pt>
                <c:pt idx="122">
                  <c:v>1275</c:v>
                </c:pt>
                <c:pt idx="123">
                  <c:v>1413</c:v>
                </c:pt>
                <c:pt idx="124">
                  <c:v>950</c:v>
                </c:pt>
                <c:pt idx="125">
                  <c:v>1227</c:v>
                </c:pt>
                <c:pt idx="126">
                  <c:v>1093</c:v>
                </c:pt>
                <c:pt idx="127">
                  <c:v>1461</c:v>
                </c:pt>
                <c:pt idx="128">
                  <c:v>813</c:v>
                </c:pt>
                <c:pt idx="129">
                  <c:v>2318</c:v>
                </c:pt>
                <c:pt idx="130">
                  <c:v>2908</c:v>
                </c:pt>
                <c:pt idx="131">
                  <c:v>2265</c:v>
                </c:pt>
                <c:pt idx="132">
                  <c:v>1306</c:v>
                </c:pt>
                <c:pt idx="133">
                  <c:v>686</c:v>
                </c:pt>
                <c:pt idx="134">
                  <c:v>651</c:v>
                </c:pt>
                <c:pt idx="135">
                  <c:v>1273</c:v>
                </c:pt>
                <c:pt idx="136">
                  <c:v>2160</c:v>
                </c:pt>
                <c:pt idx="137">
                  <c:v>1020</c:v>
                </c:pt>
                <c:pt idx="138">
                  <c:v>406</c:v>
                </c:pt>
                <c:pt idx="139">
                  <c:v>622</c:v>
                </c:pt>
                <c:pt idx="140">
                  <c:v>659</c:v>
                </c:pt>
                <c:pt idx="141">
                  <c:v>617</c:v>
                </c:pt>
                <c:pt idx="142">
                  <c:v>685</c:v>
                </c:pt>
                <c:pt idx="143">
                  <c:v>641</c:v>
                </c:pt>
                <c:pt idx="144">
                  <c:v>466</c:v>
                </c:pt>
                <c:pt idx="145">
                  <c:v>600</c:v>
                </c:pt>
                <c:pt idx="146">
                  <c:v>553</c:v>
                </c:pt>
                <c:pt idx="147">
                  <c:v>1222</c:v>
                </c:pt>
                <c:pt idx="148">
                  <c:v>1060</c:v>
                </c:pt>
                <c:pt idx="149">
                  <c:v>1092</c:v>
                </c:pt>
                <c:pt idx="150">
                  <c:v>1916</c:v>
                </c:pt>
                <c:pt idx="151">
                  <c:v>1975</c:v>
                </c:pt>
                <c:pt idx="152">
                  <c:v>1687</c:v>
                </c:pt>
                <c:pt idx="153">
                  <c:v>1569</c:v>
                </c:pt>
                <c:pt idx="154">
                  <c:v>400</c:v>
                </c:pt>
                <c:pt idx="155">
                  <c:v>761</c:v>
                </c:pt>
                <c:pt idx="156">
                  <c:v>752</c:v>
                </c:pt>
                <c:pt idx="157">
                  <c:v>535</c:v>
                </c:pt>
                <c:pt idx="158">
                  <c:v>579</c:v>
                </c:pt>
                <c:pt idx="159">
                  <c:v>1261</c:v>
                </c:pt>
                <c:pt idx="160">
                  <c:v>953</c:v>
                </c:pt>
                <c:pt idx="161">
                  <c:v>912</c:v>
                </c:pt>
                <c:pt idx="162">
                  <c:v>696</c:v>
                </c:pt>
                <c:pt idx="163">
                  <c:v>337</c:v>
                </c:pt>
                <c:pt idx="164">
                  <c:v>717</c:v>
                </c:pt>
                <c:pt idx="165">
                  <c:v>1318</c:v>
                </c:pt>
                <c:pt idx="166">
                  <c:v>384</c:v>
                </c:pt>
                <c:pt idx="167">
                  <c:v>959</c:v>
                </c:pt>
                <c:pt idx="168">
                  <c:v>1503</c:v>
                </c:pt>
                <c:pt idx="169">
                  <c:v>1544</c:v>
                </c:pt>
                <c:pt idx="170">
                  <c:v>3215</c:v>
                </c:pt>
                <c:pt idx="171">
                  <c:v>3514</c:v>
                </c:pt>
                <c:pt idx="172">
                  <c:v>4146</c:v>
                </c:pt>
                <c:pt idx="173">
                  <c:v>3272</c:v>
                </c:pt>
                <c:pt idx="174">
                  <c:v>1847</c:v>
                </c:pt>
                <c:pt idx="175">
                  <c:v>1734</c:v>
                </c:pt>
                <c:pt idx="176">
                  <c:v>1412</c:v>
                </c:pt>
                <c:pt idx="177">
                  <c:v>620</c:v>
                </c:pt>
                <c:pt idx="178">
                  <c:v>1410</c:v>
                </c:pt>
                <c:pt idx="179">
                  <c:v>1785</c:v>
                </c:pt>
                <c:pt idx="180">
                  <c:v>2331</c:v>
                </c:pt>
                <c:pt idx="181">
                  <c:v>3202</c:v>
                </c:pt>
                <c:pt idx="182">
                  <c:v>4356</c:v>
                </c:pt>
                <c:pt idx="183">
                  <c:v>2135</c:v>
                </c:pt>
                <c:pt idx="184">
                  <c:v>2397</c:v>
                </c:pt>
                <c:pt idx="185">
                  <c:v>2215</c:v>
                </c:pt>
                <c:pt idx="186">
                  <c:v>1155</c:v>
                </c:pt>
                <c:pt idx="187">
                  <c:v>1408</c:v>
                </c:pt>
                <c:pt idx="188">
                  <c:v>1180</c:v>
                </c:pt>
                <c:pt idx="189">
                  <c:v>1978</c:v>
                </c:pt>
                <c:pt idx="190">
                  <c:v>2985</c:v>
                </c:pt>
                <c:pt idx="191">
                  <c:v>3841</c:v>
                </c:pt>
                <c:pt idx="192">
                  <c:v>1641</c:v>
                </c:pt>
                <c:pt idx="193">
                  <c:v>4717</c:v>
                </c:pt>
                <c:pt idx="194">
                  <c:v>6208</c:v>
                </c:pt>
                <c:pt idx="195">
                  <c:v>2787</c:v>
                </c:pt>
                <c:pt idx="196">
                  <c:v>3365</c:v>
                </c:pt>
                <c:pt idx="197">
                  <c:v>1583</c:v>
                </c:pt>
                <c:pt idx="198">
                  <c:v>1278</c:v>
                </c:pt>
                <c:pt idx="199">
                  <c:v>1835</c:v>
                </c:pt>
                <c:pt idx="200">
                  <c:v>2118</c:v>
                </c:pt>
                <c:pt idx="201">
                  <c:v>1262</c:v>
                </c:pt>
                <c:pt idx="202">
                  <c:v>1272</c:v>
                </c:pt>
                <c:pt idx="203">
                  <c:v>2129</c:v>
                </c:pt>
                <c:pt idx="204">
                  <c:v>1863</c:v>
                </c:pt>
                <c:pt idx="205">
                  <c:v>1965</c:v>
                </c:pt>
                <c:pt idx="206">
                  <c:v>1483</c:v>
                </c:pt>
                <c:pt idx="207">
                  <c:v>2717</c:v>
                </c:pt>
                <c:pt idx="208">
                  <c:v>1769</c:v>
                </c:pt>
                <c:pt idx="209">
                  <c:v>3640</c:v>
                </c:pt>
                <c:pt idx="210">
                  <c:v>2735</c:v>
                </c:pt>
                <c:pt idx="211">
                  <c:v>3358</c:v>
                </c:pt>
                <c:pt idx="212">
                  <c:v>8967</c:v>
                </c:pt>
                <c:pt idx="213">
                  <c:v>3576</c:v>
                </c:pt>
                <c:pt idx="214">
                  <c:v>2371</c:v>
                </c:pt>
                <c:pt idx="215">
                  <c:v>3327</c:v>
                </c:pt>
                <c:pt idx="216">
                  <c:v>1158</c:v>
                </c:pt>
                <c:pt idx="217">
                  <c:v>2317</c:v>
                </c:pt>
                <c:pt idx="218">
                  <c:v>1311</c:v>
                </c:pt>
                <c:pt idx="219">
                  <c:v>1056</c:v>
                </c:pt>
                <c:pt idx="220">
                  <c:v>1633</c:v>
                </c:pt>
                <c:pt idx="221">
                  <c:v>1497</c:v>
                </c:pt>
                <c:pt idx="222">
                  <c:v>1177</c:v>
                </c:pt>
                <c:pt idx="223">
                  <c:v>1062</c:v>
                </c:pt>
                <c:pt idx="224">
                  <c:v>1512</c:v>
                </c:pt>
                <c:pt idx="225">
                  <c:v>1606</c:v>
                </c:pt>
                <c:pt idx="226">
                  <c:v>2504</c:v>
                </c:pt>
                <c:pt idx="227">
                  <c:v>3546</c:v>
                </c:pt>
                <c:pt idx="228">
                  <c:v>2705</c:v>
                </c:pt>
                <c:pt idx="229">
                  <c:v>2994</c:v>
                </c:pt>
                <c:pt idx="230">
                  <c:v>4642</c:v>
                </c:pt>
                <c:pt idx="231">
                  <c:v>5455</c:v>
                </c:pt>
                <c:pt idx="232">
                  <c:v>2109</c:v>
                </c:pt>
                <c:pt idx="233">
                  <c:v>5034</c:v>
                </c:pt>
                <c:pt idx="234">
                  <c:v>5044</c:v>
                </c:pt>
                <c:pt idx="235">
                  <c:v>1159</c:v>
                </c:pt>
                <c:pt idx="236">
                  <c:v>1907</c:v>
                </c:pt>
                <c:pt idx="237">
                  <c:v>2348</c:v>
                </c:pt>
                <c:pt idx="238">
                  <c:v>2675</c:v>
                </c:pt>
                <c:pt idx="239">
                  <c:v>3596</c:v>
                </c:pt>
                <c:pt idx="240">
                  <c:v>4363</c:v>
                </c:pt>
                <c:pt idx="241">
                  <c:v>7596</c:v>
                </c:pt>
                <c:pt idx="242">
                  <c:v>3451</c:v>
                </c:pt>
                <c:pt idx="243">
                  <c:v>2800</c:v>
                </c:pt>
                <c:pt idx="244">
                  <c:v>3324</c:v>
                </c:pt>
              </c:numCache>
            </c:numRef>
          </c:val>
        </c:ser>
        <c:gapWidth val="0"/>
        <c:axId val="135232128"/>
        <c:axId val="135233920"/>
      </c:barChart>
      <c:lineChart>
        <c:grouping val="standard"/>
        <c:ser>
          <c:idx val="3"/>
          <c:order val="1"/>
          <c:tx>
            <c:strRef>
              <c:f>[1]FKLI!$E$1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[1]FKLI!$E$1747:$E$1991</c:f>
              <c:numCache>
                <c:formatCode>General</c:formatCode>
                <c:ptCount val="245"/>
                <c:pt idx="0">
                  <c:v>2385</c:v>
                </c:pt>
                <c:pt idx="1">
                  <c:v>2486</c:v>
                </c:pt>
                <c:pt idx="2">
                  <c:v>2723</c:v>
                </c:pt>
                <c:pt idx="3">
                  <c:v>3046</c:v>
                </c:pt>
                <c:pt idx="4">
                  <c:v>3164</c:v>
                </c:pt>
                <c:pt idx="5">
                  <c:v>3331</c:v>
                </c:pt>
                <c:pt idx="6">
                  <c:v>2892</c:v>
                </c:pt>
                <c:pt idx="7">
                  <c:v>2674</c:v>
                </c:pt>
                <c:pt idx="8">
                  <c:v>3132</c:v>
                </c:pt>
                <c:pt idx="9">
                  <c:v>3140</c:v>
                </c:pt>
                <c:pt idx="10">
                  <c:v>2066</c:v>
                </c:pt>
                <c:pt idx="11">
                  <c:v>2099</c:v>
                </c:pt>
                <c:pt idx="12">
                  <c:v>2059</c:v>
                </c:pt>
                <c:pt idx="13">
                  <c:v>2229</c:v>
                </c:pt>
                <c:pt idx="14">
                  <c:v>2338</c:v>
                </c:pt>
                <c:pt idx="15">
                  <c:v>2354</c:v>
                </c:pt>
                <c:pt idx="16">
                  <c:v>2487</c:v>
                </c:pt>
                <c:pt idx="17">
                  <c:v>2496</c:v>
                </c:pt>
                <c:pt idx="18">
                  <c:v>2600</c:v>
                </c:pt>
                <c:pt idx="19">
                  <c:v>2541</c:v>
                </c:pt>
                <c:pt idx="20">
                  <c:v>2509</c:v>
                </c:pt>
                <c:pt idx="21">
                  <c:v>2481</c:v>
                </c:pt>
                <c:pt idx="22">
                  <c:v>2456</c:v>
                </c:pt>
                <c:pt idx="23">
                  <c:v>2536</c:v>
                </c:pt>
                <c:pt idx="24">
                  <c:v>2666</c:v>
                </c:pt>
                <c:pt idx="25">
                  <c:v>2645</c:v>
                </c:pt>
                <c:pt idx="26">
                  <c:v>2699</c:v>
                </c:pt>
                <c:pt idx="27">
                  <c:v>1659</c:v>
                </c:pt>
                <c:pt idx="28">
                  <c:v>1711</c:v>
                </c:pt>
                <c:pt idx="29">
                  <c:v>1697</c:v>
                </c:pt>
                <c:pt idx="30">
                  <c:v>1734</c:v>
                </c:pt>
                <c:pt idx="31">
                  <c:v>1857</c:v>
                </c:pt>
                <c:pt idx="32">
                  <c:v>1905</c:v>
                </c:pt>
                <c:pt idx="33">
                  <c:v>1998</c:v>
                </c:pt>
                <c:pt idx="34">
                  <c:v>2206</c:v>
                </c:pt>
                <c:pt idx="35">
                  <c:v>2302</c:v>
                </c:pt>
                <c:pt idx="36">
                  <c:v>2362</c:v>
                </c:pt>
                <c:pt idx="37">
                  <c:v>2435</c:v>
                </c:pt>
                <c:pt idx="38">
                  <c:v>2538</c:v>
                </c:pt>
                <c:pt idx="39">
                  <c:v>2629</c:v>
                </c:pt>
                <c:pt idx="40">
                  <c:v>2835</c:v>
                </c:pt>
                <c:pt idx="41">
                  <c:v>2897</c:v>
                </c:pt>
                <c:pt idx="42">
                  <c:v>2965</c:v>
                </c:pt>
                <c:pt idx="43">
                  <c:v>2974</c:v>
                </c:pt>
                <c:pt idx="44">
                  <c:v>3200</c:v>
                </c:pt>
                <c:pt idx="45">
                  <c:v>3381</c:v>
                </c:pt>
                <c:pt idx="46">
                  <c:v>3655</c:v>
                </c:pt>
                <c:pt idx="47">
                  <c:v>1774</c:v>
                </c:pt>
                <c:pt idx="48">
                  <c:v>1801</c:v>
                </c:pt>
                <c:pt idx="49">
                  <c:v>1798</c:v>
                </c:pt>
                <c:pt idx="50">
                  <c:v>1952</c:v>
                </c:pt>
                <c:pt idx="51">
                  <c:v>2185</c:v>
                </c:pt>
                <c:pt idx="52">
                  <c:v>1846</c:v>
                </c:pt>
                <c:pt idx="53">
                  <c:v>1828</c:v>
                </c:pt>
                <c:pt idx="54">
                  <c:v>1788</c:v>
                </c:pt>
                <c:pt idx="55">
                  <c:v>1795</c:v>
                </c:pt>
                <c:pt idx="56">
                  <c:v>1815</c:v>
                </c:pt>
                <c:pt idx="57">
                  <c:v>1790</c:v>
                </c:pt>
                <c:pt idx="58">
                  <c:v>1858</c:v>
                </c:pt>
                <c:pt idx="59">
                  <c:v>1889</c:v>
                </c:pt>
                <c:pt idx="60">
                  <c:v>1898</c:v>
                </c:pt>
                <c:pt idx="61">
                  <c:v>1874</c:v>
                </c:pt>
                <c:pt idx="62">
                  <c:v>1868</c:v>
                </c:pt>
                <c:pt idx="63">
                  <c:v>1901</c:v>
                </c:pt>
                <c:pt idx="64">
                  <c:v>1957</c:v>
                </c:pt>
                <c:pt idx="65">
                  <c:v>1968</c:v>
                </c:pt>
                <c:pt idx="66">
                  <c:v>2032</c:v>
                </c:pt>
                <c:pt idx="67">
                  <c:v>2013</c:v>
                </c:pt>
                <c:pt idx="68">
                  <c:v>2079</c:v>
                </c:pt>
                <c:pt idx="69">
                  <c:v>1567</c:v>
                </c:pt>
                <c:pt idx="70">
                  <c:v>1516</c:v>
                </c:pt>
                <c:pt idx="71">
                  <c:v>1822</c:v>
                </c:pt>
                <c:pt idx="72">
                  <c:v>1822</c:v>
                </c:pt>
                <c:pt idx="73">
                  <c:v>1809</c:v>
                </c:pt>
                <c:pt idx="74">
                  <c:v>1800</c:v>
                </c:pt>
                <c:pt idx="75">
                  <c:v>1763</c:v>
                </c:pt>
                <c:pt idx="76">
                  <c:v>1781</c:v>
                </c:pt>
                <c:pt idx="77">
                  <c:v>1786</c:v>
                </c:pt>
                <c:pt idx="78">
                  <c:v>1905</c:v>
                </c:pt>
                <c:pt idx="79">
                  <c:v>2040</c:v>
                </c:pt>
                <c:pt idx="80">
                  <c:v>1806</c:v>
                </c:pt>
                <c:pt idx="81">
                  <c:v>1866</c:v>
                </c:pt>
                <c:pt idx="82">
                  <c:v>1898</c:v>
                </c:pt>
                <c:pt idx="83">
                  <c:v>2160</c:v>
                </c:pt>
                <c:pt idx="84">
                  <c:v>2368</c:v>
                </c:pt>
                <c:pt idx="85">
                  <c:v>2492</c:v>
                </c:pt>
                <c:pt idx="86">
                  <c:v>2798</c:v>
                </c:pt>
                <c:pt idx="87">
                  <c:v>3205</c:v>
                </c:pt>
                <c:pt idx="88">
                  <c:v>2489</c:v>
                </c:pt>
                <c:pt idx="89">
                  <c:v>2676</c:v>
                </c:pt>
                <c:pt idx="90">
                  <c:v>2711</c:v>
                </c:pt>
                <c:pt idx="91">
                  <c:v>2768</c:v>
                </c:pt>
                <c:pt idx="92">
                  <c:v>3005</c:v>
                </c:pt>
                <c:pt idx="93">
                  <c:v>3185</c:v>
                </c:pt>
                <c:pt idx="94">
                  <c:v>3300</c:v>
                </c:pt>
                <c:pt idx="95">
                  <c:v>3368</c:v>
                </c:pt>
                <c:pt idx="96">
                  <c:v>3739</c:v>
                </c:pt>
                <c:pt idx="97">
                  <c:v>3860</c:v>
                </c:pt>
                <c:pt idx="98">
                  <c:v>3861</c:v>
                </c:pt>
                <c:pt idx="99">
                  <c:v>3888</c:v>
                </c:pt>
                <c:pt idx="100">
                  <c:v>4159</c:v>
                </c:pt>
                <c:pt idx="101">
                  <c:v>4308</c:v>
                </c:pt>
                <c:pt idx="102">
                  <c:v>4400</c:v>
                </c:pt>
                <c:pt idx="103">
                  <c:v>4614</c:v>
                </c:pt>
                <c:pt idx="104">
                  <c:v>5421</c:v>
                </c:pt>
                <c:pt idx="105">
                  <c:v>5074</c:v>
                </c:pt>
                <c:pt idx="106">
                  <c:v>5574</c:v>
                </c:pt>
                <c:pt idx="107">
                  <c:v>5084</c:v>
                </c:pt>
                <c:pt idx="108">
                  <c:v>4777</c:v>
                </c:pt>
                <c:pt idx="109">
                  <c:v>3736</c:v>
                </c:pt>
                <c:pt idx="110">
                  <c:v>3816</c:v>
                </c:pt>
                <c:pt idx="111">
                  <c:v>3982</c:v>
                </c:pt>
                <c:pt idx="112">
                  <c:v>3832</c:v>
                </c:pt>
                <c:pt idx="113">
                  <c:v>3864</c:v>
                </c:pt>
                <c:pt idx="114">
                  <c:v>4511</c:v>
                </c:pt>
                <c:pt idx="115">
                  <c:v>4044</c:v>
                </c:pt>
                <c:pt idx="116">
                  <c:v>3913</c:v>
                </c:pt>
                <c:pt idx="117">
                  <c:v>4006</c:v>
                </c:pt>
                <c:pt idx="118">
                  <c:v>4290</c:v>
                </c:pt>
                <c:pt idx="119">
                  <c:v>4472</c:v>
                </c:pt>
                <c:pt idx="120">
                  <c:v>4553</c:v>
                </c:pt>
                <c:pt idx="121">
                  <c:v>4666</c:v>
                </c:pt>
                <c:pt idx="122">
                  <c:v>4645</c:v>
                </c:pt>
                <c:pt idx="123">
                  <c:v>4724</c:v>
                </c:pt>
                <c:pt idx="124">
                  <c:v>4817</c:v>
                </c:pt>
                <c:pt idx="125">
                  <c:v>4893</c:v>
                </c:pt>
                <c:pt idx="126">
                  <c:v>4686</c:v>
                </c:pt>
                <c:pt idx="127">
                  <c:v>4607</c:v>
                </c:pt>
                <c:pt idx="128">
                  <c:v>4679</c:v>
                </c:pt>
                <c:pt idx="129">
                  <c:v>5162</c:v>
                </c:pt>
                <c:pt idx="130">
                  <c:v>5407</c:v>
                </c:pt>
                <c:pt idx="131">
                  <c:v>5038</c:v>
                </c:pt>
                <c:pt idx="132">
                  <c:v>4001</c:v>
                </c:pt>
                <c:pt idx="133">
                  <c:v>4204</c:v>
                </c:pt>
                <c:pt idx="134">
                  <c:v>4240</c:v>
                </c:pt>
                <c:pt idx="135">
                  <c:v>4302</c:v>
                </c:pt>
                <c:pt idx="136">
                  <c:v>4588</c:v>
                </c:pt>
                <c:pt idx="137">
                  <c:v>4821</c:v>
                </c:pt>
                <c:pt idx="138">
                  <c:v>3763</c:v>
                </c:pt>
                <c:pt idx="139">
                  <c:v>3780</c:v>
                </c:pt>
                <c:pt idx="140">
                  <c:v>3812</c:v>
                </c:pt>
                <c:pt idx="141">
                  <c:v>3774</c:v>
                </c:pt>
                <c:pt idx="142">
                  <c:v>3828</c:v>
                </c:pt>
                <c:pt idx="143">
                  <c:v>3878</c:v>
                </c:pt>
                <c:pt idx="144">
                  <c:v>3915</c:v>
                </c:pt>
                <c:pt idx="145">
                  <c:v>3932</c:v>
                </c:pt>
                <c:pt idx="146">
                  <c:v>4038</c:v>
                </c:pt>
                <c:pt idx="147">
                  <c:v>4097</c:v>
                </c:pt>
                <c:pt idx="148">
                  <c:v>3844</c:v>
                </c:pt>
                <c:pt idx="149">
                  <c:v>3902</c:v>
                </c:pt>
                <c:pt idx="150">
                  <c:v>3970</c:v>
                </c:pt>
                <c:pt idx="151">
                  <c:v>3980</c:v>
                </c:pt>
                <c:pt idx="152">
                  <c:v>3807</c:v>
                </c:pt>
                <c:pt idx="153">
                  <c:v>2774</c:v>
                </c:pt>
                <c:pt idx="154">
                  <c:v>2849</c:v>
                </c:pt>
                <c:pt idx="155">
                  <c:v>2946</c:v>
                </c:pt>
                <c:pt idx="156">
                  <c:v>2735</c:v>
                </c:pt>
                <c:pt idx="157">
                  <c:v>2648</c:v>
                </c:pt>
                <c:pt idx="158">
                  <c:v>2646</c:v>
                </c:pt>
                <c:pt idx="159">
                  <c:v>2683</c:v>
                </c:pt>
                <c:pt idx="160">
                  <c:v>2724</c:v>
                </c:pt>
                <c:pt idx="161">
                  <c:v>2780</c:v>
                </c:pt>
                <c:pt idx="162">
                  <c:v>2938</c:v>
                </c:pt>
                <c:pt idx="163">
                  <c:v>2929</c:v>
                </c:pt>
                <c:pt idx="164">
                  <c:v>2915</c:v>
                </c:pt>
                <c:pt idx="165">
                  <c:v>2821</c:v>
                </c:pt>
                <c:pt idx="166">
                  <c:v>5546</c:v>
                </c:pt>
                <c:pt idx="167">
                  <c:v>5817</c:v>
                </c:pt>
                <c:pt idx="168">
                  <c:v>5891</c:v>
                </c:pt>
                <c:pt idx="169">
                  <c:v>6191</c:v>
                </c:pt>
                <c:pt idx="170">
                  <c:v>6920</c:v>
                </c:pt>
                <c:pt idx="171">
                  <c:v>7179</c:v>
                </c:pt>
                <c:pt idx="172">
                  <c:v>7904</c:v>
                </c:pt>
                <c:pt idx="173">
                  <c:v>7836</c:v>
                </c:pt>
                <c:pt idx="174">
                  <c:v>5690</c:v>
                </c:pt>
                <c:pt idx="175">
                  <c:v>5611</c:v>
                </c:pt>
                <c:pt idx="176">
                  <c:v>5774</c:v>
                </c:pt>
                <c:pt idx="177">
                  <c:v>5721</c:v>
                </c:pt>
                <c:pt idx="178">
                  <c:v>5489</c:v>
                </c:pt>
                <c:pt idx="179">
                  <c:v>5481</c:v>
                </c:pt>
                <c:pt idx="180">
                  <c:v>5777</c:v>
                </c:pt>
                <c:pt idx="181">
                  <c:v>6248</c:v>
                </c:pt>
                <c:pt idx="182">
                  <c:v>6546</c:v>
                </c:pt>
                <c:pt idx="183">
                  <c:v>6926</c:v>
                </c:pt>
                <c:pt idx="184">
                  <c:v>7155</c:v>
                </c:pt>
                <c:pt idx="185">
                  <c:v>7631</c:v>
                </c:pt>
                <c:pt idx="186">
                  <c:v>7947</c:v>
                </c:pt>
                <c:pt idx="187">
                  <c:v>8132</c:v>
                </c:pt>
                <c:pt idx="188">
                  <c:v>8343</c:v>
                </c:pt>
                <c:pt idx="189">
                  <c:v>8797</c:v>
                </c:pt>
                <c:pt idx="190">
                  <c:v>8449</c:v>
                </c:pt>
                <c:pt idx="191">
                  <c:v>8556</c:v>
                </c:pt>
                <c:pt idx="192">
                  <c:v>8584</c:v>
                </c:pt>
                <c:pt idx="193">
                  <c:v>8893</c:v>
                </c:pt>
                <c:pt idx="194">
                  <c:v>9417</c:v>
                </c:pt>
                <c:pt idx="195">
                  <c:v>8907</c:v>
                </c:pt>
                <c:pt idx="196">
                  <c:v>7602</c:v>
                </c:pt>
                <c:pt idx="197">
                  <c:v>8063</c:v>
                </c:pt>
                <c:pt idx="198">
                  <c:v>8229</c:v>
                </c:pt>
                <c:pt idx="199">
                  <c:v>9194</c:v>
                </c:pt>
                <c:pt idx="200">
                  <c:v>9483</c:v>
                </c:pt>
                <c:pt idx="201">
                  <c:v>9434</c:v>
                </c:pt>
                <c:pt idx="202">
                  <c:v>9334</c:v>
                </c:pt>
                <c:pt idx="203">
                  <c:v>9405</c:v>
                </c:pt>
                <c:pt idx="204">
                  <c:v>9577</c:v>
                </c:pt>
                <c:pt idx="205">
                  <c:v>10137</c:v>
                </c:pt>
                <c:pt idx="206">
                  <c:v>10206</c:v>
                </c:pt>
                <c:pt idx="207">
                  <c:v>10081</c:v>
                </c:pt>
                <c:pt idx="208">
                  <c:v>10187</c:v>
                </c:pt>
                <c:pt idx="209">
                  <c:v>10815</c:v>
                </c:pt>
                <c:pt idx="210">
                  <c:v>10788</c:v>
                </c:pt>
                <c:pt idx="211">
                  <c:v>10961</c:v>
                </c:pt>
                <c:pt idx="212">
                  <c:v>11870</c:v>
                </c:pt>
                <c:pt idx="213">
                  <c:v>7681</c:v>
                </c:pt>
                <c:pt idx="214">
                  <c:v>7881</c:v>
                </c:pt>
                <c:pt idx="215">
                  <c:v>8404</c:v>
                </c:pt>
                <c:pt idx="216">
                  <c:v>8362</c:v>
                </c:pt>
                <c:pt idx="217">
                  <c:v>8718</c:v>
                </c:pt>
                <c:pt idx="218">
                  <c:v>8945</c:v>
                </c:pt>
                <c:pt idx="219">
                  <c:v>9100</c:v>
                </c:pt>
                <c:pt idx="220">
                  <c:v>9000</c:v>
                </c:pt>
                <c:pt idx="221">
                  <c:v>9306</c:v>
                </c:pt>
                <c:pt idx="222">
                  <c:v>9270</c:v>
                </c:pt>
                <c:pt idx="223">
                  <c:v>9358</c:v>
                </c:pt>
                <c:pt idx="224">
                  <c:v>9407</c:v>
                </c:pt>
                <c:pt idx="225">
                  <c:v>9475</c:v>
                </c:pt>
                <c:pt idx="226">
                  <c:v>9331</c:v>
                </c:pt>
                <c:pt idx="227">
                  <c:v>9530</c:v>
                </c:pt>
                <c:pt idx="228">
                  <c:v>9291</c:v>
                </c:pt>
                <c:pt idx="229">
                  <c:v>9675</c:v>
                </c:pt>
                <c:pt idx="230">
                  <c:v>10005</c:v>
                </c:pt>
                <c:pt idx="231">
                  <c:v>10037</c:v>
                </c:pt>
                <c:pt idx="232">
                  <c:v>9851</c:v>
                </c:pt>
                <c:pt idx="233">
                  <c:v>9834</c:v>
                </c:pt>
                <c:pt idx="234">
                  <c:v>11003</c:v>
                </c:pt>
                <c:pt idx="235">
                  <c:v>8993</c:v>
                </c:pt>
                <c:pt idx="236">
                  <c:v>8989</c:v>
                </c:pt>
                <c:pt idx="237">
                  <c:v>9661</c:v>
                </c:pt>
                <c:pt idx="238">
                  <c:v>10271</c:v>
                </c:pt>
                <c:pt idx="239">
                  <c:v>10989</c:v>
                </c:pt>
                <c:pt idx="240">
                  <c:v>11262</c:v>
                </c:pt>
                <c:pt idx="241">
                  <c:v>14151</c:v>
                </c:pt>
                <c:pt idx="242">
                  <c:v>14961</c:v>
                </c:pt>
                <c:pt idx="243">
                  <c:v>15476</c:v>
                </c:pt>
                <c:pt idx="244">
                  <c:v>16406</c:v>
                </c:pt>
              </c:numCache>
            </c:numRef>
          </c:val>
        </c:ser>
        <c:marker val="1"/>
        <c:axId val="135235840"/>
        <c:axId val="135254016"/>
      </c:lineChart>
      <c:catAx>
        <c:axId val="135232128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33920"/>
        <c:crosses val="autoZero"/>
        <c:lblAlgn val="ctr"/>
        <c:lblOffset val="100"/>
        <c:tickLblSkip val="10"/>
        <c:tickMarkSkip val="1"/>
      </c:catAx>
      <c:valAx>
        <c:axId val="135233920"/>
        <c:scaling>
          <c:orientation val="minMax"/>
          <c:max val="10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930398263631679"/>
              <c:y val="0.2601884860349819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32128"/>
        <c:crosses val="autoZero"/>
        <c:crossBetween val="between"/>
        <c:majorUnit val="1000"/>
      </c:valAx>
      <c:catAx>
        <c:axId val="135235840"/>
        <c:scaling>
          <c:orientation val="minMax"/>
        </c:scaling>
        <c:delete val="1"/>
        <c:axPos val="b"/>
        <c:numFmt formatCode="General" sourceLinked="1"/>
        <c:tickLblPos val="nextTo"/>
        <c:crossAx val="135254016"/>
        <c:crossesAt val="0"/>
        <c:lblAlgn val="ctr"/>
        <c:lblOffset val="100"/>
      </c:catAx>
      <c:valAx>
        <c:axId val="135254016"/>
        <c:scaling>
          <c:orientation val="minMax"/>
          <c:max val="18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5.9031911244599106E-3"/>
              <c:y val="0.3134801036566048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235840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49487362040313"/>
          <c:y val="0.9310359078601157"/>
          <c:w val="0.38134614664011002"/>
          <c:h val="5.329161762162279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FKLI Vs. KLSE CI</a:t>
            </a:r>
          </a:p>
        </c:rich>
      </c:tx>
      <c:layout>
        <c:manualLayout>
          <c:xMode val="edge"/>
          <c:yMode val="edge"/>
          <c:x val="0.44444495748023499"/>
          <c:y val="1.6666720920315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465791991947426E-2"/>
          <c:y val="5.0000162760946487E-2"/>
          <c:w val="0.91134856972675815"/>
          <c:h val="0.64666877170824122"/>
        </c:manualLayout>
      </c:layout>
      <c:areaChart>
        <c:grouping val="stacked"/>
        <c:ser>
          <c:idx val="2"/>
          <c:order val="0"/>
          <c:tx>
            <c:strRef>
              <c:f>[1]FKLI!$B$1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808080"/>
              </a:solidFill>
              <a:prstDash val="solid"/>
            </a:ln>
          </c:spP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[1]FKLI!$B$1747:$B$1991</c:f>
              <c:numCache>
                <c:formatCode>General</c:formatCode>
                <c:ptCount val="245"/>
                <c:pt idx="0">
                  <c:v>670.14</c:v>
                </c:pt>
                <c:pt idx="1">
                  <c:v>670.53</c:v>
                </c:pt>
                <c:pt idx="2">
                  <c:v>666.36</c:v>
                </c:pt>
                <c:pt idx="3">
                  <c:v>675.87</c:v>
                </c:pt>
                <c:pt idx="4">
                  <c:v>672.41</c:v>
                </c:pt>
                <c:pt idx="5">
                  <c:v>670.78</c:v>
                </c:pt>
                <c:pt idx="6">
                  <c:v>668.81</c:v>
                </c:pt>
                <c:pt idx="7">
                  <c:v>664.62</c:v>
                </c:pt>
                <c:pt idx="8">
                  <c:v>671.63</c:v>
                </c:pt>
                <c:pt idx="9">
                  <c:v>665.44</c:v>
                </c:pt>
                <c:pt idx="10">
                  <c:v>664.77</c:v>
                </c:pt>
                <c:pt idx="11">
                  <c:v>668.18</c:v>
                </c:pt>
                <c:pt idx="12">
                  <c:v>664.95</c:v>
                </c:pt>
                <c:pt idx="13">
                  <c:v>661.25</c:v>
                </c:pt>
                <c:pt idx="14">
                  <c:v>658.46</c:v>
                </c:pt>
                <c:pt idx="15">
                  <c:v>659.95</c:v>
                </c:pt>
                <c:pt idx="16">
                  <c:v>656.54</c:v>
                </c:pt>
                <c:pt idx="17">
                  <c:v>656.95</c:v>
                </c:pt>
                <c:pt idx="18">
                  <c:v>659.33</c:v>
                </c:pt>
                <c:pt idx="19">
                  <c:v>657.45</c:v>
                </c:pt>
                <c:pt idx="20">
                  <c:v>660.96</c:v>
                </c:pt>
                <c:pt idx="21">
                  <c:v>655.32000000000005</c:v>
                </c:pt>
                <c:pt idx="22">
                  <c:v>654.49</c:v>
                </c:pt>
                <c:pt idx="23">
                  <c:v>646.6</c:v>
                </c:pt>
                <c:pt idx="24">
                  <c:v>653.13</c:v>
                </c:pt>
                <c:pt idx="25">
                  <c:v>650.71</c:v>
                </c:pt>
                <c:pt idx="26">
                  <c:v>652.44000000000005</c:v>
                </c:pt>
                <c:pt idx="27">
                  <c:v>646.79999999999995</c:v>
                </c:pt>
                <c:pt idx="28">
                  <c:v>649.22</c:v>
                </c:pt>
                <c:pt idx="29">
                  <c:v>643.07000000000005</c:v>
                </c:pt>
                <c:pt idx="30">
                  <c:v>642.42999999999995</c:v>
                </c:pt>
                <c:pt idx="31">
                  <c:v>635.66</c:v>
                </c:pt>
                <c:pt idx="32">
                  <c:v>624.78</c:v>
                </c:pt>
                <c:pt idx="33">
                  <c:v>619.22</c:v>
                </c:pt>
                <c:pt idx="34">
                  <c:v>629.1</c:v>
                </c:pt>
                <c:pt idx="35">
                  <c:v>627.46</c:v>
                </c:pt>
                <c:pt idx="36">
                  <c:v>628.54999999999995</c:v>
                </c:pt>
                <c:pt idx="37">
                  <c:v>622.61</c:v>
                </c:pt>
                <c:pt idx="38">
                  <c:v>627.08000000000004</c:v>
                </c:pt>
                <c:pt idx="39">
                  <c:v>627.94000000000005</c:v>
                </c:pt>
                <c:pt idx="40">
                  <c:v>632.03</c:v>
                </c:pt>
                <c:pt idx="41">
                  <c:v>632.16999999999996</c:v>
                </c:pt>
                <c:pt idx="42">
                  <c:v>633.13</c:v>
                </c:pt>
                <c:pt idx="43">
                  <c:v>629.66</c:v>
                </c:pt>
                <c:pt idx="44">
                  <c:v>632.99</c:v>
                </c:pt>
                <c:pt idx="45">
                  <c:v>632.84</c:v>
                </c:pt>
                <c:pt idx="46">
                  <c:v>634.96</c:v>
                </c:pt>
                <c:pt idx="47">
                  <c:v>635.72</c:v>
                </c:pt>
                <c:pt idx="48">
                  <c:v>627.11</c:v>
                </c:pt>
                <c:pt idx="49">
                  <c:v>628.97</c:v>
                </c:pt>
                <c:pt idx="50">
                  <c:v>628.54</c:v>
                </c:pt>
                <c:pt idx="51">
                  <c:v>631.02</c:v>
                </c:pt>
                <c:pt idx="52">
                  <c:v>640.35</c:v>
                </c:pt>
                <c:pt idx="53">
                  <c:v>640.08000000000004</c:v>
                </c:pt>
                <c:pt idx="54">
                  <c:v>634.41</c:v>
                </c:pt>
                <c:pt idx="55">
                  <c:v>629.91999999999996</c:v>
                </c:pt>
                <c:pt idx="56">
                  <c:v>629.69000000000005</c:v>
                </c:pt>
                <c:pt idx="57">
                  <c:v>624.21</c:v>
                </c:pt>
                <c:pt idx="58">
                  <c:v>631.16999999999996</c:v>
                </c:pt>
                <c:pt idx="59">
                  <c:v>633.77</c:v>
                </c:pt>
                <c:pt idx="60">
                  <c:v>631.37</c:v>
                </c:pt>
                <c:pt idx="61">
                  <c:v>635.61</c:v>
                </c:pt>
                <c:pt idx="62">
                  <c:v>634.29999999999995</c:v>
                </c:pt>
                <c:pt idx="63">
                  <c:v>632.99</c:v>
                </c:pt>
                <c:pt idx="64">
                  <c:v>629.62</c:v>
                </c:pt>
                <c:pt idx="65">
                  <c:v>624.66</c:v>
                </c:pt>
                <c:pt idx="66">
                  <c:v>627.73</c:v>
                </c:pt>
                <c:pt idx="67">
                  <c:v>624.17999999999995</c:v>
                </c:pt>
                <c:pt idx="68">
                  <c:v>628.04</c:v>
                </c:pt>
                <c:pt idx="69">
                  <c:v>630.37</c:v>
                </c:pt>
                <c:pt idx="70">
                  <c:v>627.26</c:v>
                </c:pt>
                <c:pt idx="71">
                  <c:v>631.41</c:v>
                </c:pt>
                <c:pt idx="72">
                  <c:v>631.83000000000004</c:v>
                </c:pt>
                <c:pt idx="73">
                  <c:v>632.28</c:v>
                </c:pt>
                <c:pt idx="74">
                  <c:v>630.84</c:v>
                </c:pt>
                <c:pt idx="75">
                  <c:v>630.14</c:v>
                </c:pt>
                <c:pt idx="76">
                  <c:v>633.95000000000005</c:v>
                </c:pt>
                <c:pt idx="77">
                  <c:v>635.78</c:v>
                </c:pt>
                <c:pt idx="78">
                  <c:v>636.26</c:v>
                </c:pt>
                <c:pt idx="79">
                  <c:v>636.67999999999995</c:v>
                </c:pt>
                <c:pt idx="80">
                  <c:v>636.96</c:v>
                </c:pt>
                <c:pt idx="81">
                  <c:v>640.37</c:v>
                </c:pt>
                <c:pt idx="82">
                  <c:v>642.25</c:v>
                </c:pt>
                <c:pt idx="83">
                  <c:v>653.79999999999995</c:v>
                </c:pt>
                <c:pt idx="84">
                  <c:v>655.74</c:v>
                </c:pt>
                <c:pt idx="85">
                  <c:v>652.11</c:v>
                </c:pt>
                <c:pt idx="86">
                  <c:v>664</c:v>
                </c:pt>
                <c:pt idx="87">
                  <c:v>672.05</c:v>
                </c:pt>
                <c:pt idx="88">
                  <c:v>671.46</c:v>
                </c:pt>
                <c:pt idx="89">
                  <c:v>671.84</c:v>
                </c:pt>
                <c:pt idx="90">
                  <c:v>674.57</c:v>
                </c:pt>
                <c:pt idx="91">
                  <c:v>672.84</c:v>
                </c:pt>
                <c:pt idx="92">
                  <c:v>691</c:v>
                </c:pt>
                <c:pt idx="93">
                  <c:v>681.57</c:v>
                </c:pt>
                <c:pt idx="94">
                  <c:v>684.41</c:v>
                </c:pt>
                <c:pt idx="95">
                  <c:v>682.07</c:v>
                </c:pt>
                <c:pt idx="96">
                  <c:v>688.61</c:v>
                </c:pt>
                <c:pt idx="97">
                  <c:v>690.32</c:v>
                </c:pt>
                <c:pt idx="98">
                  <c:v>689.94</c:v>
                </c:pt>
                <c:pt idx="99">
                  <c:v>683.27</c:v>
                </c:pt>
                <c:pt idx="100">
                  <c:v>685.06</c:v>
                </c:pt>
                <c:pt idx="101">
                  <c:v>683.76</c:v>
                </c:pt>
                <c:pt idx="102">
                  <c:v>681.69</c:v>
                </c:pt>
                <c:pt idx="103">
                  <c:v>682.44</c:v>
                </c:pt>
                <c:pt idx="104">
                  <c:v>684.91</c:v>
                </c:pt>
                <c:pt idx="105">
                  <c:v>678.73</c:v>
                </c:pt>
                <c:pt idx="106">
                  <c:v>682.32</c:v>
                </c:pt>
                <c:pt idx="107">
                  <c:v>682.72</c:v>
                </c:pt>
                <c:pt idx="108">
                  <c:v>691.45</c:v>
                </c:pt>
                <c:pt idx="109">
                  <c:v>691.96</c:v>
                </c:pt>
                <c:pt idx="110">
                  <c:v>693.58</c:v>
                </c:pt>
                <c:pt idx="111">
                  <c:v>703.26</c:v>
                </c:pt>
                <c:pt idx="112">
                  <c:v>721.93</c:v>
                </c:pt>
                <c:pt idx="113">
                  <c:v>725.11</c:v>
                </c:pt>
                <c:pt idx="114">
                  <c:v>730.4</c:v>
                </c:pt>
                <c:pt idx="115">
                  <c:v>727</c:v>
                </c:pt>
                <c:pt idx="116">
                  <c:v>725.67</c:v>
                </c:pt>
                <c:pt idx="117">
                  <c:v>723.85</c:v>
                </c:pt>
                <c:pt idx="118">
                  <c:v>723.9</c:v>
                </c:pt>
                <c:pt idx="119">
                  <c:v>727.11</c:v>
                </c:pt>
                <c:pt idx="120">
                  <c:v>729.39</c:v>
                </c:pt>
                <c:pt idx="121">
                  <c:v>724.35</c:v>
                </c:pt>
                <c:pt idx="122">
                  <c:v>715.65</c:v>
                </c:pt>
                <c:pt idx="123">
                  <c:v>716.52</c:v>
                </c:pt>
                <c:pt idx="124">
                  <c:v>719.66</c:v>
                </c:pt>
                <c:pt idx="125">
                  <c:v>712.86</c:v>
                </c:pt>
                <c:pt idx="126">
                  <c:v>712.87</c:v>
                </c:pt>
                <c:pt idx="127">
                  <c:v>710.37</c:v>
                </c:pt>
                <c:pt idx="128">
                  <c:v>710.53</c:v>
                </c:pt>
                <c:pt idx="129">
                  <c:v>708.24</c:v>
                </c:pt>
                <c:pt idx="130">
                  <c:v>711.68</c:v>
                </c:pt>
                <c:pt idx="131">
                  <c:v>720.71</c:v>
                </c:pt>
                <c:pt idx="132">
                  <c:v>720.56</c:v>
                </c:pt>
                <c:pt idx="133">
                  <c:v>723.03</c:v>
                </c:pt>
                <c:pt idx="134">
                  <c:v>723.24</c:v>
                </c:pt>
                <c:pt idx="135">
                  <c:v>722.23</c:v>
                </c:pt>
                <c:pt idx="136">
                  <c:v>718.91</c:v>
                </c:pt>
                <c:pt idx="137">
                  <c:v>719.79</c:v>
                </c:pt>
                <c:pt idx="138">
                  <c:v>722.21</c:v>
                </c:pt>
                <c:pt idx="139">
                  <c:v>726.83</c:v>
                </c:pt>
                <c:pt idx="140">
                  <c:v>724.21</c:v>
                </c:pt>
                <c:pt idx="141">
                  <c:v>724.23</c:v>
                </c:pt>
                <c:pt idx="142">
                  <c:v>727.46</c:v>
                </c:pt>
                <c:pt idx="143">
                  <c:v>728.51</c:v>
                </c:pt>
                <c:pt idx="144">
                  <c:v>728.84</c:v>
                </c:pt>
                <c:pt idx="145">
                  <c:v>732.07</c:v>
                </c:pt>
                <c:pt idx="146">
                  <c:v>732.24</c:v>
                </c:pt>
                <c:pt idx="147">
                  <c:v>739.96</c:v>
                </c:pt>
                <c:pt idx="148">
                  <c:v>743.35</c:v>
                </c:pt>
                <c:pt idx="149">
                  <c:v>742.26</c:v>
                </c:pt>
                <c:pt idx="150">
                  <c:v>741.02</c:v>
                </c:pt>
                <c:pt idx="151">
                  <c:v>744.62</c:v>
                </c:pt>
                <c:pt idx="152">
                  <c:v>746.49</c:v>
                </c:pt>
                <c:pt idx="153">
                  <c:v>743.3</c:v>
                </c:pt>
                <c:pt idx="154">
                  <c:v>742.02</c:v>
                </c:pt>
                <c:pt idx="155">
                  <c:v>745.17</c:v>
                </c:pt>
                <c:pt idx="156">
                  <c:v>752.26</c:v>
                </c:pt>
                <c:pt idx="157">
                  <c:v>756.48</c:v>
                </c:pt>
                <c:pt idx="158">
                  <c:v>748.86</c:v>
                </c:pt>
                <c:pt idx="159">
                  <c:v>742.83</c:v>
                </c:pt>
                <c:pt idx="160">
                  <c:v>736.23</c:v>
                </c:pt>
                <c:pt idx="161">
                  <c:v>743</c:v>
                </c:pt>
                <c:pt idx="162">
                  <c:v>740.94</c:v>
                </c:pt>
                <c:pt idx="163">
                  <c:v>743.01</c:v>
                </c:pt>
                <c:pt idx="164">
                  <c:v>741.76</c:v>
                </c:pt>
                <c:pt idx="165">
                  <c:v>747</c:v>
                </c:pt>
                <c:pt idx="166">
                  <c:v>743.43</c:v>
                </c:pt>
                <c:pt idx="167">
                  <c:v>744.17</c:v>
                </c:pt>
                <c:pt idx="168">
                  <c:v>738.36</c:v>
                </c:pt>
                <c:pt idx="169">
                  <c:v>737.24</c:v>
                </c:pt>
                <c:pt idx="170">
                  <c:v>744.99</c:v>
                </c:pt>
                <c:pt idx="171">
                  <c:v>742.67</c:v>
                </c:pt>
                <c:pt idx="172">
                  <c:v>742.22</c:v>
                </c:pt>
                <c:pt idx="173">
                  <c:v>736.16</c:v>
                </c:pt>
                <c:pt idx="174">
                  <c:v>733.45</c:v>
                </c:pt>
                <c:pt idx="175">
                  <c:v>737.64</c:v>
                </c:pt>
                <c:pt idx="176">
                  <c:v>737.43</c:v>
                </c:pt>
                <c:pt idx="177">
                  <c:v>740.2</c:v>
                </c:pt>
                <c:pt idx="178">
                  <c:v>742.73</c:v>
                </c:pt>
                <c:pt idx="179">
                  <c:v>748.55</c:v>
                </c:pt>
                <c:pt idx="180">
                  <c:v>759.62</c:v>
                </c:pt>
                <c:pt idx="181">
                  <c:v>779.41</c:v>
                </c:pt>
                <c:pt idx="182">
                  <c:v>790.66</c:v>
                </c:pt>
                <c:pt idx="183">
                  <c:v>791.74</c:v>
                </c:pt>
                <c:pt idx="184">
                  <c:v>782.63</c:v>
                </c:pt>
                <c:pt idx="185">
                  <c:v>783.21</c:v>
                </c:pt>
                <c:pt idx="186">
                  <c:v>784.12</c:v>
                </c:pt>
                <c:pt idx="187">
                  <c:v>781.05</c:v>
                </c:pt>
                <c:pt idx="188">
                  <c:v>781.45</c:v>
                </c:pt>
                <c:pt idx="189">
                  <c:v>790.31</c:v>
                </c:pt>
                <c:pt idx="190">
                  <c:v>805.11</c:v>
                </c:pt>
                <c:pt idx="191">
                  <c:v>804.43</c:v>
                </c:pt>
                <c:pt idx="192">
                  <c:v>803.52</c:v>
                </c:pt>
                <c:pt idx="193">
                  <c:v>805.64</c:v>
                </c:pt>
                <c:pt idx="194">
                  <c:v>809.97</c:v>
                </c:pt>
                <c:pt idx="195">
                  <c:v>812.1</c:v>
                </c:pt>
                <c:pt idx="196">
                  <c:v>817.12</c:v>
                </c:pt>
                <c:pt idx="197">
                  <c:v>813.09</c:v>
                </c:pt>
                <c:pt idx="198">
                  <c:v>815.99</c:v>
                </c:pt>
                <c:pt idx="199">
                  <c:v>813.49</c:v>
                </c:pt>
                <c:pt idx="200">
                  <c:v>809.14</c:v>
                </c:pt>
                <c:pt idx="201">
                  <c:v>806.78</c:v>
                </c:pt>
                <c:pt idx="202">
                  <c:v>800.96</c:v>
                </c:pt>
                <c:pt idx="203">
                  <c:v>795.28</c:v>
                </c:pt>
                <c:pt idx="204">
                  <c:v>790.31</c:v>
                </c:pt>
                <c:pt idx="205">
                  <c:v>791.49</c:v>
                </c:pt>
                <c:pt idx="206">
                  <c:v>792.23</c:v>
                </c:pt>
                <c:pt idx="207">
                  <c:v>781.95</c:v>
                </c:pt>
                <c:pt idx="208">
                  <c:v>782.17</c:v>
                </c:pt>
                <c:pt idx="209">
                  <c:v>765.95</c:v>
                </c:pt>
                <c:pt idx="210">
                  <c:v>777.21</c:v>
                </c:pt>
                <c:pt idx="211">
                  <c:v>784.47</c:v>
                </c:pt>
                <c:pt idx="212">
                  <c:v>778.37</c:v>
                </c:pt>
                <c:pt idx="213">
                  <c:v>779.28</c:v>
                </c:pt>
                <c:pt idx="214">
                  <c:v>790.56</c:v>
                </c:pt>
                <c:pt idx="215">
                  <c:v>797.8</c:v>
                </c:pt>
                <c:pt idx="216">
                  <c:v>795.57</c:v>
                </c:pt>
                <c:pt idx="217">
                  <c:v>790.13</c:v>
                </c:pt>
                <c:pt idx="218">
                  <c:v>786.98</c:v>
                </c:pt>
                <c:pt idx="219">
                  <c:v>784.03</c:v>
                </c:pt>
                <c:pt idx="220">
                  <c:v>788.47</c:v>
                </c:pt>
                <c:pt idx="221">
                  <c:v>794.51</c:v>
                </c:pt>
                <c:pt idx="222">
                  <c:v>793.6</c:v>
                </c:pt>
                <c:pt idx="223">
                  <c:v>791.94</c:v>
                </c:pt>
                <c:pt idx="224">
                  <c:v>788.01</c:v>
                </c:pt>
                <c:pt idx="225">
                  <c:v>782.08</c:v>
                </c:pt>
                <c:pt idx="226">
                  <c:v>775.13</c:v>
                </c:pt>
                <c:pt idx="227">
                  <c:v>766.59</c:v>
                </c:pt>
                <c:pt idx="228">
                  <c:v>769.75</c:v>
                </c:pt>
                <c:pt idx="229">
                  <c:v>775.3</c:v>
                </c:pt>
                <c:pt idx="230">
                  <c:v>777.63</c:v>
                </c:pt>
                <c:pt idx="231">
                  <c:v>777.37</c:v>
                </c:pt>
                <c:pt idx="232">
                  <c:v>780.02</c:v>
                </c:pt>
                <c:pt idx="233">
                  <c:v>787.8</c:v>
                </c:pt>
                <c:pt idx="234">
                  <c:v>792.72</c:v>
                </c:pt>
                <c:pt idx="235">
                  <c:v>793.94</c:v>
                </c:pt>
                <c:pt idx="236">
                  <c:v>788.49</c:v>
                </c:pt>
                <c:pt idx="237">
                  <c:v>792.66</c:v>
                </c:pt>
                <c:pt idx="238">
                  <c:v>787.29</c:v>
                </c:pt>
                <c:pt idx="239">
                  <c:v>805.76</c:v>
                </c:pt>
                <c:pt idx="240">
                  <c:v>813.2</c:v>
                </c:pt>
                <c:pt idx="241">
                  <c:v>841</c:v>
                </c:pt>
                <c:pt idx="242">
                  <c:v>823.68</c:v>
                </c:pt>
                <c:pt idx="243">
                  <c:v>827</c:v>
                </c:pt>
                <c:pt idx="244">
                  <c:v>815.98</c:v>
                </c:pt>
              </c:numCache>
            </c:numRef>
          </c:val>
        </c:ser>
        <c:axId val="135140480"/>
        <c:axId val="135142016"/>
      </c:areaChart>
      <c:lineChart>
        <c:grouping val="standard"/>
        <c:ser>
          <c:idx val="3"/>
          <c:order val="1"/>
          <c:tx>
            <c:strRef>
              <c:f>[1]FKLI!$C$1</c:f>
              <c:strCache>
                <c:ptCount val="1"/>
                <c:pt idx="0">
                  <c:v>FKLI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[1]FKLI!$A$1747:$A$1991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[1]FKLI!$C$1747:$C$1991</c:f>
              <c:numCache>
                <c:formatCode>General</c:formatCode>
                <c:ptCount val="245"/>
                <c:pt idx="0">
                  <c:v>677</c:v>
                </c:pt>
                <c:pt idx="1">
                  <c:v>677.4</c:v>
                </c:pt>
                <c:pt idx="2">
                  <c:v>675.4</c:v>
                </c:pt>
                <c:pt idx="3">
                  <c:v>681.3</c:v>
                </c:pt>
                <c:pt idx="4">
                  <c:v>679.1</c:v>
                </c:pt>
                <c:pt idx="5">
                  <c:v>673</c:v>
                </c:pt>
                <c:pt idx="6">
                  <c:v>667</c:v>
                </c:pt>
                <c:pt idx="7">
                  <c:v>659</c:v>
                </c:pt>
                <c:pt idx="8">
                  <c:v>673.8</c:v>
                </c:pt>
                <c:pt idx="9">
                  <c:v>661.5</c:v>
                </c:pt>
                <c:pt idx="10">
                  <c:v>660.5</c:v>
                </c:pt>
                <c:pt idx="11">
                  <c:v>666.5</c:v>
                </c:pt>
                <c:pt idx="12">
                  <c:v>663.9</c:v>
                </c:pt>
                <c:pt idx="13">
                  <c:v>648.9</c:v>
                </c:pt>
                <c:pt idx="14">
                  <c:v>647</c:v>
                </c:pt>
                <c:pt idx="15">
                  <c:v>651</c:v>
                </c:pt>
                <c:pt idx="16">
                  <c:v>647.5</c:v>
                </c:pt>
                <c:pt idx="17">
                  <c:v>650.70000000000005</c:v>
                </c:pt>
                <c:pt idx="18">
                  <c:v>657.2</c:v>
                </c:pt>
                <c:pt idx="19">
                  <c:v>654</c:v>
                </c:pt>
                <c:pt idx="20">
                  <c:v>654.5</c:v>
                </c:pt>
                <c:pt idx="21">
                  <c:v>647.6</c:v>
                </c:pt>
                <c:pt idx="22">
                  <c:v>646.1</c:v>
                </c:pt>
                <c:pt idx="23">
                  <c:v>651.55999999999995</c:v>
                </c:pt>
                <c:pt idx="24">
                  <c:v>647.5</c:v>
                </c:pt>
                <c:pt idx="25">
                  <c:v>645.20000000000005</c:v>
                </c:pt>
                <c:pt idx="26">
                  <c:v>648.1</c:v>
                </c:pt>
                <c:pt idx="27">
                  <c:v>647.79999999999995</c:v>
                </c:pt>
                <c:pt idx="28">
                  <c:v>647</c:v>
                </c:pt>
                <c:pt idx="29">
                  <c:v>634.20000000000005</c:v>
                </c:pt>
                <c:pt idx="30">
                  <c:v>631.9</c:v>
                </c:pt>
                <c:pt idx="31">
                  <c:v>626.5</c:v>
                </c:pt>
                <c:pt idx="32">
                  <c:v>613</c:v>
                </c:pt>
                <c:pt idx="33">
                  <c:v>613</c:v>
                </c:pt>
                <c:pt idx="34">
                  <c:v>616</c:v>
                </c:pt>
                <c:pt idx="35">
                  <c:v>613.9</c:v>
                </c:pt>
                <c:pt idx="36">
                  <c:v>617.20000000000005</c:v>
                </c:pt>
                <c:pt idx="37">
                  <c:v>602.5</c:v>
                </c:pt>
                <c:pt idx="38">
                  <c:v>615.9</c:v>
                </c:pt>
                <c:pt idx="39">
                  <c:v>614.29999999999995</c:v>
                </c:pt>
                <c:pt idx="40">
                  <c:v>623.5</c:v>
                </c:pt>
                <c:pt idx="41">
                  <c:v>623.1</c:v>
                </c:pt>
                <c:pt idx="42">
                  <c:v>622</c:v>
                </c:pt>
                <c:pt idx="43">
                  <c:v>620.1</c:v>
                </c:pt>
                <c:pt idx="44">
                  <c:v>623.29999999999995</c:v>
                </c:pt>
                <c:pt idx="45">
                  <c:v>624</c:v>
                </c:pt>
                <c:pt idx="46">
                  <c:v>629.4</c:v>
                </c:pt>
                <c:pt idx="47">
                  <c:v>631.79999999999995</c:v>
                </c:pt>
                <c:pt idx="48">
                  <c:v>617.79999999999995</c:v>
                </c:pt>
                <c:pt idx="49">
                  <c:v>623.6</c:v>
                </c:pt>
                <c:pt idx="50">
                  <c:v>627</c:v>
                </c:pt>
                <c:pt idx="51">
                  <c:v>631.4</c:v>
                </c:pt>
                <c:pt idx="52">
                  <c:v>648</c:v>
                </c:pt>
                <c:pt idx="53">
                  <c:v>642.1</c:v>
                </c:pt>
                <c:pt idx="54">
                  <c:v>629.79999999999995</c:v>
                </c:pt>
                <c:pt idx="55">
                  <c:v>631.9</c:v>
                </c:pt>
                <c:pt idx="56">
                  <c:v>630</c:v>
                </c:pt>
                <c:pt idx="57">
                  <c:v>622.20000000000005</c:v>
                </c:pt>
                <c:pt idx="58">
                  <c:v>632.1</c:v>
                </c:pt>
                <c:pt idx="59">
                  <c:v>632</c:v>
                </c:pt>
                <c:pt idx="60">
                  <c:v>631</c:v>
                </c:pt>
                <c:pt idx="61">
                  <c:v>636.5</c:v>
                </c:pt>
                <c:pt idx="62">
                  <c:v>633.9</c:v>
                </c:pt>
                <c:pt idx="63">
                  <c:v>628.6</c:v>
                </c:pt>
                <c:pt idx="64">
                  <c:v>628.6</c:v>
                </c:pt>
                <c:pt idx="65">
                  <c:v>621.79999999999995</c:v>
                </c:pt>
                <c:pt idx="66">
                  <c:v>625.4</c:v>
                </c:pt>
                <c:pt idx="67">
                  <c:v>626</c:v>
                </c:pt>
                <c:pt idx="68">
                  <c:v>630.4</c:v>
                </c:pt>
                <c:pt idx="69">
                  <c:v>630.79999999999995</c:v>
                </c:pt>
                <c:pt idx="70">
                  <c:v>625</c:v>
                </c:pt>
                <c:pt idx="71">
                  <c:v>629.20000000000005</c:v>
                </c:pt>
                <c:pt idx="72">
                  <c:v>632</c:v>
                </c:pt>
                <c:pt idx="73">
                  <c:v>631</c:v>
                </c:pt>
                <c:pt idx="74">
                  <c:v>627.6</c:v>
                </c:pt>
                <c:pt idx="75">
                  <c:v>630.5</c:v>
                </c:pt>
                <c:pt idx="76">
                  <c:v>635</c:v>
                </c:pt>
                <c:pt idx="77">
                  <c:v>636</c:v>
                </c:pt>
                <c:pt idx="78">
                  <c:v>639.1</c:v>
                </c:pt>
                <c:pt idx="79">
                  <c:v>639.9</c:v>
                </c:pt>
                <c:pt idx="80">
                  <c:v>642.79999999999995</c:v>
                </c:pt>
                <c:pt idx="81">
                  <c:v>638.1</c:v>
                </c:pt>
                <c:pt idx="82">
                  <c:v>644</c:v>
                </c:pt>
                <c:pt idx="83">
                  <c:v>650.88</c:v>
                </c:pt>
                <c:pt idx="84">
                  <c:v>660.3</c:v>
                </c:pt>
                <c:pt idx="85">
                  <c:v>655.4</c:v>
                </c:pt>
                <c:pt idx="86">
                  <c:v>666</c:v>
                </c:pt>
                <c:pt idx="87">
                  <c:v>674</c:v>
                </c:pt>
                <c:pt idx="88">
                  <c:v>673.4</c:v>
                </c:pt>
                <c:pt idx="89">
                  <c:v>678</c:v>
                </c:pt>
                <c:pt idx="90">
                  <c:v>679</c:v>
                </c:pt>
                <c:pt idx="91">
                  <c:v>678</c:v>
                </c:pt>
                <c:pt idx="92">
                  <c:v>682.43</c:v>
                </c:pt>
                <c:pt idx="93">
                  <c:v>690.8</c:v>
                </c:pt>
                <c:pt idx="94">
                  <c:v>692.8</c:v>
                </c:pt>
                <c:pt idx="95">
                  <c:v>690</c:v>
                </c:pt>
                <c:pt idx="96">
                  <c:v>693</c:v>
                </c:pt>
                <c:pt idx="97">
                  <c:v>698.8</c:v>
                </c:pt>
                <c:pt idx="98">
                  <c:v>698.5</c:v>
                </c:pt>
                <c:pt idx="99">
                  <c:v>689</c:v>
                </c:pt>
                <c:pt idx="100">
                  <c:v>692.9</c:v>
                </c:pt>
                <c:pt idx="101">
                  <c:v>691.5</c:v>
                </c:pt>
                <c:pt idx="102">
                  <c:v>690.8</c:v>
                </c:pt>
                <c:pt idx="103">
                  <c:v>690</c:v>
                </c:pt>
                <c:pt idx="104">
                  <c:v>687.1</c:v>
                </c:pt>
                <c:pt idx="105">
                  <c:v>679</c:v>
                </c:pt>
                <c:pt idx="106">
                  <c:v>683.1</c:v>
                </c:pt>
                <c:pt idx="107">
                  <c:v>686.2</c:v>
                </c:pt>
                <c:pt idx="108">
                  <c:v>693</c:v>
                </c:pt>
                <c:pt idx="109">
                  <c:v>692.9</c:v>
                </c:pt>
                <c:pt idx="110">
                  <c:v>699</c:v>
                </c:pt>
                <c:pt idx="111">
                  <c:v>711.3</c:v>
                </c:pt>
                <c:pt idx="112">
                  <c:v>726.5</c:v>
                </c:pt>
                <c:pt idx="113">
                  <c:v>731.8</c:v>
                </c:pt>
                <c:pt idx="114">
                  <c:v>736.9</c:v>
                </c:pt>
                <c:pt idx="115">
                  <c:v>734.8</c:v>
                </c:pt>
                <c:pt idx="116">
                  <c:v>731.6</c:v>
                </c:pt>
                <c:pt idx="117">
                  <c:v>729.1</c:v>
                </c:pt>
                <c:pt idx="118">
                  <c:v>734.5</c:v>
                </c:pt>
                <c:pt idx="119">
                  <c:v>737.1</c:v>
                </c:pt>
                <c:pt idx="120">
                  <c:v>733.3</c:v>
                </c:pt>
                <c:pt idx="121">
                  <c:v>730.1</c:v>
                </c:pt>
                <c:pt idx="122">
                  <c:v>716.3</c:v>
                </c:pt>
                <c:pt idx="123">
                  <c:v>722.5</c:v>
                </c:pt>
                <c:pt idx="124">
                  <c:v>716.6</c:v>
                </c:pt>
                <c:pt idx="125">
                  <c:v>712</c:v>
                </c:pt>
                <c:pt idx="126">
                  <c:v>708.7</c:v>
                </c:pt>
                <c:pt idx="127">
                  <c:v>713.2</c:v>
                </c:pt>
                <c:pt idx="128">
                  <c:v>708.7</c:v>
                </c:pt>
                <c:pt idx="129">
                  <c:v>710.9</c:v>
                </c:pt>
                <c:pt idx="130">
                  <c:v>713.1</c:v>
                </c:pt>
                <c:pt idx="131">
                  <c:v>722.5</c:v>
                </c:pt>
                <c:pt idx="132">
                  <c:v>719.4</c:v>
                </c:pt>
                <c:pt idx="133">
                  <c:v>726.6</c:v>
                </c:pt>
                <c:pt idx="134">
                  <c:v>723.3</c:v>
                </c:pt>
                <c:pt idx="135">
                  <c:v>719.4</c:v>
                </c:pt>
                <c:pt idx="136">
                  <c:v>713</c:v>
                </c:pt>
                <c:pt idx="137">
                  <c:v>710.6</c:v>
                </c:pt>
                <c:pt idx="138">
                  <c:v>713.9</c:v>
                </c:pt>
                <c:pt idx="139">
                  <c:v>719.6</c:v>
                </c:pt>
                <c:pt idx="140">
                  <c:v>718.6</c:v>
                </c:pt>
                <c:pt idx="141">
                  <c:v>723</c:v>
                </c:pt>
                <c:pt idx="142">
                  <c:v>727.8</c:v>
                </c:pt>
                <c:pt idx="143">
                  <c:v>726.3</c:v>
                </c:pt>
                <c:pt idx="144">
                  <c:v>730.7</c:v>
                </c:pt>
                <c:pt idx="145">
                  <c:v>735.1</c:v>
                </c:pt>
                <c:pt idx="146">
                  <c:v>731</c:v>
                </c:pt>
                <c:pt idx="147">
                  <c:v>742.7</c:v>
                </c:pt>
                <c:pt idx="148">
                  <c:v>743.7</c:v>
                </c:pt>
                <c:pt idx="149">
                  <c:v>741</c:v>
                </c:pt>
                <c:pt idx="150">
                  <c:v>741.5</c:v>
                </c:pt>
                <c:pt idx="151">
                  <c:v>743.7</c:v>
                </c:pt>
                <c:pt idx="152">
                  <c:v>744.1</c:v>
                </c:pt>
                <c:pt idx="153">
                  <c:v>742.6</c:v>
                </c:pt>
                <c:pt idx="154">
                  <c:v>743.6</c:v>
                </c:pt>
                <c:pt idx="155">
                  <c:v>750</c:v>
                </c:pt>
                <c:pt idx="156">
                  <c:v>755</c:v>
                </c:pt>
                <c:pt idx="157">
                  <c:v>754.9</c:v>
                </c:pt>
                <c:pt idx="158">
                  <c:v>750.4</c:v>
                </c:pt>
                <c:pt idx="159">
                  <c:v>739.5</c:v>
                </c:pt>
                <c:pt idx="160">
                  <c:v>738.6</c:v>
                </c:pt>
                <c:pt idx="161">
                  <c:v>745.5</c:v>
                </c:pt>
                <c:pt idx="162">
                  <c:v>739</c:v>
                </c:pt>
                <c:pt idx="163">
                  <c:v>741.1</c:v>
                </c:pt>
                <c:pt idx="164">
                  <c:v>747.5</c:v>
                </c:pt>
                <c:pt idx="165">
                  <c:v>753</c:v>
                </c:pt>
                <c:pt idx="166">
                  <c:v>749</c:v>
                </c:pt>
                <c:pt idx="167">
                  <c:v>751</c:v>
                </c:pt>
                <c:pt idx="168">
                  <c:v>741</c:v>
                </c:pt>
                <c:pt idx="169">
                  <c:v>742</c:v>
                </c:pt>
                <c:pt idx="170">
                  <c:v>753</c:v>
                </c:pt>
                <c:pt idx="171">
                  <c:v>747</c:v>
                </c:pt>
                <c:pt idx="172">
                  <c:v>744.5</c:v>
                </c:pt>
                <c:pt idx="173">
                  <c:v>738.5</c:v>
                </c:pt>
                <c:pt idx="174">
                  <c:v>734</c:v>
                </c:pt>
                <c:pt idx="175">
                  <c:v>735</c:v>
                </c:pt>
                <c:pt idx="176">
                  <c:v>736.5</c:v>
                </c:pt>
                <c:pt idx="177">
                  <c:v>740.5</c:v>
                </c:pt>
                <c:pt idx="178">
                  <c:v>746.5</c:v>
                </c:pt>
                <c:pt idx="179">
                  <c:v>751.5</c:v>
                </c:pt>
                <c:pt idx="180">
                  <c:v>763.5</c:v>
                </c:pt>
                <c:pt idx="181">
                  <c:v>779.5</c:v>
                </c:pt>
                <c:pt idx="182">
                  <c:v>795</c:v>
                </c:pt>
                <c:pt idx="183">
                  <c:v>797.5</c:v>
                </c:pt>
                <c:pt idx="184">
                  <c:v>790.5</c:v>
                </c:pt>
                <c:pt idx="185">
                  <c:v>790.5</c:v>
                </c:pt>
                <c:pt idx="186">
                  <c:v>791</c:v>
                </c:pt>
                <c:pt idx="187">
                  <c:v>786.5</c:v>
                </c:pt>
                <c:pt idx="188">
                  <c:v>789</c:v>
                </c:pt>
                <c:pt idx="189">
                  <c:v>799.5</c:v>
                </c:pt>
                <c:pt idx="190">
                  <c:v>807.5</c:v>
                </c:pt>
                <c:pt idx="191">
                  <c:v>799</c:v>
                </c:pt>
                <c:pt idx="192">
                  <c:v>808</c:v>
                </c:pt>
                <c:pt idx="193">
                  <c:v>812.5</c:v>
                </c:pt>
                <c:pt idx="194">
                  <c:v>816.5</c:v>
                </c:pt>
                <c:pt idx="195">
                  <c:v>815.5</c:v>
                </c:pt>
                <c:pt idx="196">
                  <c:v>812</c:v>
                </c:pt>
                <c:pt idx="197">
                  <c:v>820.5</c:v>
                </c:pt>
                <c:pt idx="198">
                  <c:v>826</c:v>
                </c:pt>
                <c:pt idx="199">
                  <c:v>824.5</c:v>
                </c:pt>
                <c:pt idx="200">
                  <c:v>812</c:v>
                </c:pt>
                <c:pt idx="201">
                  <c:v>818.5</c:v>
                </c:pt>
                <c:pt idx="202">
                  <c:v>811</c:v>
                </c:pt>
                <c:pt idx="203">
                  <c:v>799</c:v>
                </c:pt>
                <c:pt idx="204">
                  <c:v>801.5</c:v>
                </c:pt>
                <c:pt idx="205">
                  <c:v>799.5</c:v>
                </c:pt>
                <c:pt idx="206">
                  <c:v>795</c:v>
                </c:pt>
                <c:pt idx="207">
                  <c:v>777</c:v>
                </c:pt>
                <c:pt idx="208">
                  <c:v>781</c:v>
                </c:pt>
                <c:pt idx="209">
                  <c:v>767</c:v>
                </c:pt>
                <c:pt idx="210">
                  <c:v>772</c:v>
                </c:pt>
                <c:pt idx="211">
                  <c:v>775.5</c:v>
                </c:pt>
                <c:pt idx="212">
                  <c:v>779.5</c:v>
                </c:pt>
                <c:pt idx="213">
                  <c:v>777</c:v>
                </c:pt>
                <c:pt idx="214">
                  <c:v>803</c:v>
                </c:pt>
                <c:pt idx="215">
                  <c:v>806</c:v>
                </c:pt>
                <c:pt idx="216">
                  <c:v>802</c:v>
                </c:pt>
                <c:pt idx="217">
                  <c:v>791.5</c:v>
                </c:pt>
                <c:pt idx="218">
                  <c:v>789.5</c:v>
                </c:pt>
                <c:pt idx="219">
                  <c:v>784</c:v>
                </c:pt>
                <c:pt idx="220">
                  <c:v>794.5</c:v>
                </c:pt>
                <c:pt idx="221">
                  <c:v>796.5</c:v>
                </c:pt>
                <c:pt idx="222">
                  <c:v>797</c:v>
                </c:pt>
                <c:pt idx="223">
                  <c:v>795</c:v>
                </c:pt>
                <c:pt idx="224">
                  <c:v>796.5</c:v>
                </c:pt>
                <c:pt idx="225">
                  <c:v>786</c:v>
                </c:pt>
                <c:pt idx="226">
                  <c:v>774</c:v>
                </c:pt>
                <c:pt idx="227">
                  <c:v>762.5</c:v>
                </c:pt>
                <c:pt idx="228">
                  <c:v>771.5</c:v>
                </c:pt>
                <c:pt idx="229">
                  <c:v>773</c:v>
                </c:pt>
                <c:pt idx="230">
                  <c:v>780</c:v>
                </c:pt>
                <c:pt idx="231">
                  <c:v>784</c:v>
                </c:pt>
                <c:pt idx="232">
                  <c:v>785</c:v>
                </c:pt>
                <c:pt idx="233">
                  <c:v>792.5</c:v>
                </c:pt>
                <c:pt idx="234">
                  <c:v>795</c:v>
                </c:pt>
                <c:pt idx="235">
                  <c:v>792</c:v>
                </c:pt>
                <c:pt idx="236">
                  <c:v>795</c:v>
                </c:pt>
                <c:pt idx="237">
                  <c:v>801</c:v>
                </c:pt>
                <c:pt idx="238">
                  <c:v>794.5</c:v>
                </c:pt>
                <c:pt idx="239">
                  <c:v>812</c:v>
                </c:pt>
                <c:pt idx="240">
                  <c:v>820</c:v>
                </c:pt>
                <c:pt idx="241">
                  <c:v>825.42</c:v>
                </c:pt>
                <c:pt idx="242">
                  <c:v>836</c:v>
                </c:pt>
                <c:pt idx="243">
                  <c:v>818.42</c:v>
                </c:pt>
                <c:pt idx="244">
                  <c:v>823.5</c:v>
                </c:pt>
              </c:numCache>
            </c:numRef>
          </c:val>
        </c:ser>
        <c:marker val="1"/>
        <c:axId val="135140480"/>
        <c:axId val="135142016"/>
      </c:lineChart>
      <c:catAx>
        <c:axId val="135140480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42016"/>
        <c:crossesAt val="44"/>
        <c:lblAlgn val="ctr"/>
        <c:lblOffset val="100"/>
        <c:tickLblSkip val="10"/>
        <c:tickMarkSkip val="1"/>
      </c:catAx>
      <c:valAx>
        <c:axId val="135142016"/>
        <c:scaling>
          <c:orientation val="minMax"/>
          <c:max val="860"/>
          <c:min val="580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Index</a:t>
                </a:r>
              </a:p>
            </c:rich>
          </c:tx>
          <c:layout>
            <c:manualLayout>
              <c:xMode val="edge"/>
              <c:yMode val="edge"/>
              <c:x val="5.9101723069180196E-3"/>
              <c:y val="0.300000976565679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40480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742354580325844"/>
          <c:y val="0.91333630643328922"/>
          <c:w val="0.34633609718539587"/>
          <c:h val="5.33335069450096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3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[2]DATA!$C$489:$C$734</c:f>
              <c:numCache>
                <c:formatCode>General</c:formatCode>
                <c:ptCount val="246"/>
                <c:pt idx="0">
                  <c:v>2747</c:v>
                </c:pt>
                <c:pt idx="1">
                  <c:v>1980</c:v>
                </c:pt>
                <c:pt idx="2">
                  <c:v>3054</c:v>
                </c:pt>
                <c:pt idx="3">
                  <c:v>3972</c:v>
                </c:pt>
                <c:pt idx="4">
                  <c:v>4505</c:v>
                </c:pt>
                <c:pt idx="5">
                  <c:v>1931</c:v>
                </c:pt>
                <c:pt idx="6">
                  <c:v>1832</c:v>
                </c:pt>
                <c:pt idx="7">
                  <c:v>3393</c:v>
                </c:pt>
                <c:pt idx="8">
                  <c:v>3346</c:v>
                </c:pt>
                <c:pt idx="9">
                  <c:v>2291</c:v>
                </c:pt>
                <c:pt idx="10">
                  <c:v>3128</c:v>
                </c:pt>
                <c:pt idx="11">
                  <c:v>3031</c:v>
                </c:pt>
                <c:pt idx="12">
                  <c:v>3905</c:v>
                </c:pt>
                <c:pt idx="13">
                  <c:v>2213</c:v>
                </c:pt>
                <c:pt idx="14">
                  <c:v>1879</c:v>
                </c:pt>
                <c:pt idx="15">
                  <c:v>2358</c:v>
                </c:pt>
                <c:pt idx="16">
                  <c:v>1526</c:v>
                </c:pt>
                <c:pt idx="17">
                  <c:v>647</c:v>
                </c:pt>
                <c:pt idx="18">
                  <c:v>1757</c:v>
                </c:pt>
                <c:pt idx="19">
                  <c:v>1047</c:v>
                </c:pt>
                <c:pt idx="20">
                  <c:v>1030</c:v>
                </c:pt>
                <c:pt idx="21">
                  <c:v>738</c:v>
                </c:pt>
                <c:pt idx="22">
                  <c:v>869</c:v>
                </c:pt>
                <c:pt idx="23">
                  <c:v>1082</c:v>
                </c:pt>
                <c:pt idx="24">
                  <c:v>2688</c:v>
                </c:pt>
                <c:pt idx="25">
                  <c:v>2892</c:v>
                </c:pt>
                <c:pt idx="26">
                  <c:v>2452</c:v>
                </c:pt>
                <c:pt idx="27">
                  <c:v>1669</c:v>
                </c:pt>
                <c:pt idx="28">
                  <c:v>2550</c:v>
                </c:pt>
                <c:pt idx="29">
                  <c:v>3564</c:v>
                </c:pt>
                <c:pt idx="30">
                  <c:v>3382</c:v>
                </c:pt>
                <c:pt idx="31">
                  <c:v>2343</c:v>
                </c:pt>
                <c:pt idx="32">
                  <c:v>3555</c:v>
                </c:pt>
                <c:pt idx="33">
                  <c:v>3037</c:v>
                </c:pt>
                <c:pt idx="34">
                  <c:v>4549</c:v>
                </c:pt>
                <c:pt idx="35">
                  <c:v>5362</c:v>
                </c:pt>
                <c:pt idx="36">
                  <c:v>4571</c:v>
                </c:pt>
                <c:pt idx="37">
                  <c:v>3464</c:v>
                </c:pt>
                <c:pt idx="38">
                  <c:v>5981</c:v>
                </c:pt>
                <c:pt idx="39">
                  <c:v>3429</c:v>
                </c:pt>
                <c:pt idx="40">
                  <c:v>2328</c:v>
                </c:pt>
                <c:pt idx="41">
                  <c:v>3598</c:v>
                </c:pt>
                <c:pt idx="42">
                  <c:v>2946</c:v>
                </c:pt>
                <c:pt idx="43">
                  <c:v>3009</c:v>
                </c:pt>
                <c:pt idx="44">
                  <c:v>3500</c:v>
                </c:pt>
                <c:pt idx="45">
                  <c:v>3046</c:v>
                </c:pt>
                <c:pt idx="46">
                  <c:v>3756</c:v>
                </c:pt>
                <c:pt idx="47">
                  <c:v>2410</c:v>
                </c:pt>
                <c:pt idx="48">
                  <c:v>2172</c:v>
                </c:pt>
                <c:pt idx="49">
                  <c:v>3080</c:v>
                </c:pt>
                <c:pt idx="50">
                  <c:v>3040</c:v>
                </c:pt>
                <c:pt idx="51">
                  <c:v>4497</c:v>
                </c:pt>
                <c:pt idx="52">
                  <c:v>4836</c:v>
                </c:pt>
                <c:pt idx="53">
                  <c:v>5755</c:v>
                </c:pt>
                <c:pt idx="54">
                  <c:v>4660</c:v>
                </c:pt>
                <c:pt idx="55">
                  <c:v>4127</c:v>
                </c:pt>
                <c:pt idx="56">
                  <c:v>3942</c:v>
                </c:pt>
                <c:pt idx="57">
                  <c:v>1571</c:v>
                </c:pt>
                <c:pt idx="58">
                  <c:v>2206</c:v>
                </c:pt>
                <c:pt idx="59">
                  <c:v>2711</c:v>
                </c:pt>
                <c:pt idx="60">
                  <c:v>3275</c:v>
                </c:pt>
                <c:pt idx="61">
                  <c:v>2048</c:v>
                </c:pt>
                <c:pt idx="62">
                  <c:v>1350</c:v>
                </c:pt>
                <c:pt idx="63">
                  <c:v>2837</c:v>
                </c:pt>
                <c:pt idx="64">
                  <c:v>2259</c:v>
                </c:pt>
                <c:pt idx="65">
                  <c:v>1703</c:v>
                </c:pt>
                <c:pt idx="66">
                  <c:v>1847</c:v>
                </c:pt>
                <c:pt idx="67">
                  <c:v>1185</c:v>
                </c:pt>
                <c:pt idx="68">
                  <c:v>1486</c:v>
                </c:pt>
                <c:pt idx="69">
                  <c:v>1731</c:v>
                </c:pt>
                <c:pt idx="70">
                  <c:v>2970</c:v>
                </c:pt>
                <c:pt idx="71">
                  <c:v>2853</c:v>
                </c:pt>
                <c:pt idx="72">
                  <c:v>3861</c:v>
                </c:pt>
                <c:pt idx="73">
                  <c:v>4224</c:v>
                </c:pt>
                <c:pt idx="74">
                  <c:v>4978</c:v>
                </c:pt>
                <c:pt idx="75">
                  <c:v>3580</c:v>
                </c:pt>
                <c:pt idx="76">
                  <c:v>3326</c:v>
                </c:pt>
                <c:pt idx="77">
                  <c:v>2728</c:v>
                </c:pt>
                <c:pt idx="78">
                  <c:v>3263</c:v>
                </c:pt>
                <c:pt idx="79">
                  <c:v>2089</c:v>
                </c:pt>
                <c:pt idx="80">
                  <c:v>2605</c:v>
                </c:pt>
                <c:pt idx="81">
                  <c:v>4380</c:v>
                </c:pt>
                <c:pt idx="82">
                  <c:v>1483</c:v>
                </c:pt>
                <c:pt idx="83">
                  <c:v>7509</c:v>
                </c:pt>
                <c:pt idx="84">
                  <c:v>3532</c:v>
                </c:pt>
                <c:pt idx="85">
                  <c:v>1542</c:v>
                </c:pt>
                <c:pt idx="86">
                  <c:v>725</c:v>
                </c:pt>
                <c:pt idx="87">
                  <c:v>2005</c:v>
                </c:pt>
                <c:pt idx="88">
                  <c:v>5564</c:v>
                </c:pt>
                <c:pt idx="89">
                  <c:v>4664</c:v>
                </c:pt>
                <c:pt idx="90">
                  <c:v>5475</c:v>
                </c:pt>
                <c:pt idx="91">
                  <c:v>5135</c:v>
                </c:pt>
                <c:pt idx="92">
                  <c:v>4504</c:v>
                </c:pt>
                <c:pt idx="93">
                  <c:v>7464</c:v>
                </c:pt>
                <c:pt idx="94">
                  <c:v>5523</c:v>
                </c:pt>
                <c:pt idx="95">
                  <c:v>4347</c:v>
                </c:pt>
                <c:pt idx="96">
                  <c:v>6700</c:v>
                </c:pt>
                <c:pt idx="97">
                  <c:v>4865</c:v>
                </c:pt>
                <c:pt idx="98">
                  <c:v>4449</c:v>
                </c:pt>
                <c:pt idx="99">
                  <c:v>2354</c:v>
                </c:pt>
                <c:pt idx="100">
                  <c:v>2528</c:v>
                </c:pt>
                <c:pt idx="101">
                  <c:v>3219</c:v>
                </c:pt>
                <c:pt idx="102">
                  <c:v>7449</c:v>
                </c:pt>
                <c:pt idx="103">
                  <c:v>2546</c:v>
                </c:pt>
                <c:pt idx="104">
                  <c:v>2069</c:v>
                </c:pt>
                <c:pt idx="105">
                  <c:v>3705</c:v>
                </c:pt>
                <c:pt idx="106">
                  <c:v>5021</c:v>
                </c:pt>
                <c:pt idx="107">
                  <c:v>5222</c:v>
                </c:pt>
                <c:pt idx="108">
                  <c:v>4369</c:v>
                </c:pt>
                <c:pt idx="109">
                  <c:v>6637</c:v>
                </c:pt>
                <c:pt idx="110">
                  <c:v>5054</c:v>
                </c:pt>
                <c:pt idx="111">
                  <c:v>7165</c:v>
                </c:pt>
                <c:pt idx="112">
                  <c:v>4581</c:v>
                </c:pt>
                <c:pt idx="113">
                  <c:v>3593</c:v>
                </c:pt>
                <c:pt idx="114">
                  <c:v>4896</c:v>
                </c:pt>
                <c:pt idx="115">
                  <c:v>4454</c:v>
                </c:pt>
                <c:pt idx="116">
                  <c:v>4709</c:v>
                </c:pt>
                <c:pt idx="117">
                  <c:v>4034</c:v>
                </c:pt>
                <c:pt idx="118">
                  <c:v>2279</c:v>
                </c:pt>
                <c:pt idx="119">
                  <c:v>2668</c:v>
                </c:pt>
                <c:pt idx="120">
                  <c:v>2926</c:v>
                </c:pt>
                <c:pt idx="121">
                  <c:v>4924</c:v>
                </c:pt>
                <c:pt idx="122">
                  <c:v>3691</c:v>
                </c:pt>
                <c:pt idx="123">
                  <c:v>2936</c:v>
                </c:pt>
                <c:pt idx="124">
                  <c:v>2399</c:v>
                </c:pt>
                <c:pt idx="125">
                  <c:v>3198</c:v>
                </c:pt>
                <c:pt idx="126">
                  <c:v>4102</c:v>
                </c:pt>
                <c:pt idx="127">
                  <c:v>3641</c:v>
                </c:pt>
                <c:pt idx="128">
                  <c:v>2652</c:v>
                </c:pt>
                <c:pt idx="129">
                  <c:v>4290</c:v>
                </c:pt>
                <c:pt idx="130">
                  <c:v>6674</c:v>
                </c:pt>
                <c:pt idx="131">
                  <c:v>8532</c:v>
                </c:pt>
                <c:pt idx="132">
                  <c:v>8557</c:v>
                </c:pt>
                <c:pt idx="133">
                  <c:v>4247</c:v>
                </c:pt>
                <c:pt idx="134">
                  <c:v>3673</c:v>
                </c:pt>
                <c:pt idx="135">
                  <c:v>7044</c:v>
                </c:pt>
                <c:pt idx="136">
                  <c:v>6187</c:v>
                </c:pt>
                <c:pt idx="137">
                  <c:v>2479</c:v>
                </c:pt>
                <c:pt idx="138">
                  <c:v>4163</c:v>
                </c:pt>
                <c:pt idx="139">
                  <c:v>3588</c:v>
                </c:pt>
                <c:pt idx="140">
                  <c:v>2566</c:v>
                </c:pt>
                <c:pt idx="141">
                  <c:v>3802</c:v>
                </c:pt>
                <c:pt idx="142">
                  <c:v>2922</c:v>
                </c:pt>
                <c:pt idx="143">
                  <c:v>1182</c:v>
                </c:pt>
                <c:pt idx="144">
                  <c:v>2742</c:v>
                </c:pt>
                <c:pt idx="145">
                  <c:v>3009</c:v>
                </c:pt>
                <c:pt idx="146">
                  <c:v>3063</c:v>
                </c:pt>
                <c:pt idx="147">
                  <c:v>7150</c:v>
                </c:pt>
                <c:pt idx="148">
                  <c:v>3042</c:v>
                </c:pt>
                <c:pt idx="149">
                  <c:v>3922</c:v>
                </c:pt>
                <c:pt idx="150">
                  <c:v>4663</c:v>
                </c:pt>
                <c:pt idx="151">
                  <c:v>6206</c:v>
                </c:pt>
                <c:pt idx="152">
                  <c:v>4023</c:v>
                </c:pt>
                <c:pt idx="153">
                  <c:v>6649</c:v>
                </c:pt>
                <c:pt idx="154">
                  <c:v>5114</c:v>
                </c:pt>
                <c:pt idx="155">
                  <c:v>6742</c:v>
                </c:pt>
                <c:pt idx="156">
                  <c:v>6958</c:v>
                </c:pt>
                <c:pt idx="157">
                  <c:v>3454</c:v>
                </c:pt>
                <c:pt idx="158">
                  <c:v>3819</c:v>
                </c:pt>
                <c:pt idx="159">
                  <c:v>4177</c:v>
                </c:pt>
                <c:pt idx="160">
                  <c:v>3631</c:v>
                </c:pt>
                <c:pt idx="161">
                  <c:v>4270</c:v>
                </c:pt>
                <c:pt idx="162">
                  <c:v>2423</c:v>
                </c:pt>
                <c:pt idx="163">
                  <c:v>2240</c:v>
                </c:pt>
                <c:pt idx="164">
                  <c:v>2911</c:v>
                </c:pt>
                <c:pt idx="165">
                  <c:v>2314</c:v>
                </c:pt>
                <c:pt idx="166">
                  <c:v>3541</c:v>
                </c:pt>
                <c:pt idx="167">
                  <c:v>1448</c:v>
                </c:pt>
                <c:pt idx="168">
                  <c:v>4404</c:v>
                </c:pt>
                <c:pt idx="169">
                  <c:v>4574</c:v>
                </c:pt>
                <c:pt idx="170">
                  <c:v>4229</c:v>
                </c:pt>
                <c:pt idx="171">
                  <c:v>3458</c:v>
                </c:pt>
                <c:pt idx="172">
                  <c:v>2972</c:v>
                </c:pt>
                <c:pt idx="173">
                  <c:v>4018</c:v>
                </c:pt>
                <c:pt idx="174">
                  <c:v>6889</c:v>
                </c:pt>
                <c:pt idx="175">
                  <c:v>9013</c:v>
                </c:pt>
                <c:pt idx="176">
                  <c:v>7398</c:v>
                </c:pt>
                <c:pt idx="177">
                  <c:v>6613</c:v>
                </c:pt>
                <c:pt idx="178">
                  <c:v>6458</c:v>
                </c:pt>
                <c:pt idx="179">
                  <c:v>6534</c:v>
                </c:pt>
                <c:pt idx="180">
                  <c:v>6475</c:v>
                </c:pt>
                <c:pt idx="181">
                  <c:v>5015</c:v>
                </c:pt>
                <c:pt idx="182">
                  <c:v>6549</c:v>
                </c:pt>
                <c:pt idx="183">
                  <c:v>6966</c:v>
                </c:pt>
                <c:pt idx="184">
                  <c:v>10171</c:v>
                </c:pt>
                <c:pt idx="185">
                  <c:v>6865</c:v>
                </c:pt>
                <c:pt idx="186">
                  <c:v>11238</c:v>
                </c:pt>
                <c:pt idx="187">
                  <c:v>7896</c:v>
                </c:pt>
                <c:pt idx="188">
                  <c:v>5113</c:v>
                </c:pt>
                <c:pt idx="189">
                  <c:v>2701</c:v>
                </c:pt>
                <c:pt idx="190">
                  <c:v>2154</c:v>
                </c:pt>
                <c:pt idx="191">
                  <c:v>3014</c:v>
                </c:pt>
                <c:pt idx="192">
                  <c:v>3070</c:v>
                </c:pt>
                <c:pt idx="193">
                  <c:v>1686</c:v>
                </c:pt>
                <c:pt idx="194">
                  <c:v>1213</c:v>
                </c:pt>
                <c:pt idx="195">
                  <c:v>1486</c:v>
                </c:pt>
                <c:pt idx="196">
                  <c:v>1109</c:v>
                </c:pt>
                <c:pt idx="197">
                  <c:v>524</c:v>
                </c:pt>
                <c:pt idx="198">
                  <c:v>641</c:v>
                </c:pt>
                <c:pt idx="199">
                  <c:v>757</c:v>
                </c:pt>
                <c:pt idx="200">
                  <c:v>799</c:v>
                </c:pt>
                <c:pt idx="201">
                  <c:v>728</c:v>
                </c:pt>
                <c:pt idx="202">
                  <c:v>668</c:v>
                </c:pt>
                <c:pt idx="203">
                  <c:v>594</c:v>
                </c:pt>
                <c:pt idx="204">
                  <c:v>615</c:v>
                </c:pt>
                <c:pt idx="205">
                  <c:v>377</c:v>
                </c:pt>
                <c:pt idx="206">
                  <c:v>936</c:v>
                </c:pt>
                <c:pt idx="207">
                  <c:v>1050</c:v>
                </c:pt>
                <c:pt idx="208">
                  <c:v>445</c:v>
                </c:pt>
                <c:pt idx="209">
                  <c:v>316</c:v>
                </c:pt>
                <c:pt idx="210">
                  <c:v>903</c:v>
                </c:pt>
                <c:pt idx="211">
                  <c:v>953</c:v>
                </c:pt>
                <c:pt idx="212">
                  <c:v>400</c:v>
                </c:pt>
                <c:pt idx="213">
                  <c:v>494</c:v>
                </c:pt>
                <c:pt idx="214">
                  <c:v>1459</c:v>
                </c:pt>
                <c:pt idx="215">
                  <c:v>1081</c:v>
                </c:pt>
                <c:pt idx="216">
                  <c:v>1622</c:v>
                </c:pt>
                <c:pt idx="217">
                  <c:v>938</c:v>
                </c:pt>
                <c:pt idx="218">
                  <c:v>1049</c:v>
                </c:pt>
                <c:pt idx="219">
                  <c:v>954</c:v>
                </c:pt>
                <c:pt idx="220">
                  <c:v>695</c:v>
                </c:pt>
                <c:pt idx="221">
                  <c:v>532</c:v>
                </c:pt>
                <c:pt idx="222">
                  <c:v>685</c:v>
                </c:pt>
                <c:pt idx="223">
                  <c:v>795</c:v>
                </c:pt>
                <c:pt idx="224">
                  <c:v>812</c:v>
                </c:pt>
                <c:pt idx="225">
                  <c:v>1468</c:v>
                </c:pt>
                <c:pt idx="226">
                  <c:v>1045</c:v>
                </c:pt>
                <c:pt idx="227">
                  <c:v>1419</c:v>
                </c:pt>
                <c:pt idx="228">
                  <c:v>1220</c:v>
                </c:pt>
                <c:pt idx="229">
                  <c:v>1246</c:v>
                </c:pt>
                <c:pt idx="230">
                  <c:v>1272</c:v>
                </c:pt>
                <c:pt idx="231">
                  <c:v>1567</c:v>
                </c:pt>
                <c:pt idx="232">
                  <c:v>1542</c:v>
                </c:pt>
                <c:pt idx="233">
                  <c:v>1401</c:v>
                </c:pt>
                <c:pt idx="234">
                  <c:v>1243</c:v>
                </c:pt>
                <c:pt idx="235">
                  <c:v>913</c:v>
                </c:pt>
                <c:pt idx="236">
                  <c:v>638</c:v>
                </c:pt>
                <c:pt idx="237">
                  <c:v>628</c:v>
                </c:pt>
                <c:pt idx="238">
                  <c:v>639</c:v>
                </c:pt>
                <c:pt idx="239">
                  <c:v>945</c:v>
                </c:pt>
                <c:pt idx="240">
                  <c:v>1354</c:v>
                </c:pt>
                <c:pt idx="241">
                  <c:v>1474</c:v>
                </c:pt>
                <c:pt idx="242">
                  <c:v>1731</c:v>
                </c:pt>
                <c:pt idx="243">
                  <c:v>1279</c:v>
                </c:pt>
                <c:pt idx="244">
                  <c:v>1648</c:v>
                </c:pt>
                <c:pt idx="245">
                  <c:v>1521</c:v>
                </c:pt>
              </c:numCache>
            </c:numRef>
          </c:val>
        </c:ser>
        <c:gapWidth val="0"/>
        <c:axId val="135192576"/>
        <c:axId val="135194112"/>
      </c:barChart>
      <c:lineChart>
        <c:grouping val="standard"/>
        <c:ser>
          <c:idx val="2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[2]DATA!$B$489:$B$734</c:f>
              <c:numCache>
                <c:formatCode>General</c:formatCode>
                <c:ptCount val="246"/>
                <c:pt idx="0">
                  <c:v>8314</c:v>
                </c:pt>
                <c:pt idx="1">
                  <c:v>9094</c:v>
                </c:pt>
                <c:pt idx="2">
                  <c:v>9342</c:v>
                </c:pt>
                <c:pt idx="3">
                  <c:v>10508</c:v>
                </c:pt>
                <c:pt idx="4">
                  <c:v>11511</c:v>
                </c:pt>
                <c:pt idx="5">
                  <c:v>11170</c:v>
                </c:pt>
                <c:pt idx="6">
                  <c:v>11219</c:v>
                </c:pt>
                <c:pt idx="7">
                  <c:v>9421</c:v>
                </c:pt>
                <c:pt idx="8">
                  <c:v>10060</c:v>
                </c:pt>
                <c:pt idx="9">
                  <c:v>9725</c:v>
                </c:pt>
                <c:pt idx="10">
                  <c:v>10050</c:v>
                </c:pt>
                <c:pt idx="11">
                  <c:v>11511</c:v>
                </c:pt>
                <c:pt idx="12">
                  <c:v>11793</c:v>
                </c:pt>
                <c:pt idx="13">
                  <c:v>11090</c:v>
                </c:pt>
                <c:pt idx="14">
                  <c:v>11489</c:v>
                </c:pt>
                <c:pt idx="15">
                  <c:v>13165</c:v>
                </c:pt>
                <c:pt idx="16">
                  <c:v>13470</c:v>
                </c:pt>
                <c:pt idx="17">
                  <c:v>12481</c:v>
                </c:pt>
                <c:pt idx="18">
                  <c:v>11811</c:v>
                </c:pt>
                <c:pt idx="19">
                  <c:v>11482</c:v>
                </c:pt>
                <c:pt idx="20">
                  <c:v>7614</c:v>
                </c:pt>
                <c:pt idx="21">
                  <c:v>7851</c:v>
                </c:pt>
                <c:pt idx="22">
                  <c:v>7885</c:v>
                </c:pt>
                <c:pt idx="23">
                  <c:v>8193</c:v>
                </c:pt>
                <c:pt idx="24">
                  <c:v>8432</c:v>
                </c:pt>
                <c:pt idx="25">
                  <c:v>9345</c:v>
                </c:pt>
                <c:pt idx="26">
                  <c:v>9335</c:v>
                </c:pt>
                <c:pt idx="27">
                  <c:v>9770</c:v>
                </c:pt>
                <c:pt idx="28">
                  <c:v>9522</c:v>
                </c:pt>
                <c:pt idx="29">
                  <c:v>10560</c:v>
                </c:pt>
                <c:pt idx="30">
                  <c:v>11716</c:v>
                </c:pt>
                <c:pt idx="31">
                  <c:v>11375</c:v>
                </c:pt>
                <c:pt idx="32">
                  <c:v>12696</c:v>
                </c:pt>
                <c:pt idx="33">
                  <c:v>10348</c:v>
                </c:pt>
                <c:pt idx="34">
                  <c:v>12293</c:v>
                </c:pt>
                <c:pt idx="35">
                  <c:v>13864</c:v>
                </c:pt>
                <c:pt idx="36">
                  <c:v>15131</c:v>
                </c:pt>
                <c:pt idx="37">
                  <c:v>8787</c:v>
                </c:pt>
                <c:pt idx="38">
                  <c:v>11059</c:v>
                </c:pt>
                <c:pt idx="39">
                  <c:v>10987</c:v>
                </c:pt>
                <c:pt idx="40">
                  <c:v>10537</c:v>
                </c:pt>
                <c:pt idx="41">
                  <c:v>12034</c:v>
                </c:pt>
                <c:pt idx="42">
                  <c:v>12329</c:v>
                </c:pt>
                <c:pt idx="43">
                  <c:v>13172</c:v>
                </c:pt>
                <c:pt idx="44">
                  <c:v>13328</c:v>
                </c:pt>
                <c:pt idx="45">
                  <c:v>14030</c:v>
                </c:pt>
                <c:pt idx="46">
                  <c:v>14952</c:v>
                </c:pt>
                <c:pt idx="47">
                  <c:v>12921</c:v>
                </c:pt>
                <c:pt idx="48">
                  <c:v>12555</c:v>
                </c:pt>
                <c:pt idx="49">
                  <c:v>11122</c:v>
                </c:pt>
                <c:pt idx="50">
                  <c:v>11753</c:v>
                </c:pt>
                <c:pt idx="51">
                  <c:v>13435</c:v>
                </c:pt>
                <c:pt idx="52">
                  <c:v>15324</c:v>
                </c:pt>
                <c:pt idx="53">
                  <c:v>15640</c:v>
                </c:pt>
                <c:pt idx="54">
                  <c:v>15288</c:v>
                </c:pt>
                <c:pt idx="55">
                  <c:v>14605</c:v>
                </c:pt>
                <c:pt idx="56">
                  <c:v>8844</c:v>
                </c:pt>
                <c:pt idx="57">
                  <c:v>9345</c:v>
                </c:pt>
                <c:pt idx="58">
                  <c:v>9912</c:v>
                </c:pt>
                <c:pt idx="59">
                  <c:v>10809</c:v>
                </c:pt>
                <c:pt idx="60">
                  <c:v>11262</c:v>
                </c:pt>
                <c:pt idx="61">
                  <c:v>11285</c:v>
                </c:pt>
                <c:pt idx="62">
                  <c:v>11522</c:v>
                </c:pt>
                <c:pt idx="63">
                  <c:v>12001</c:v>
                </c:pt>
                <c:pt idx="64">
                  <c:v>12463</c:v>
                </c:pt>
                <c:pt idx="65">
                  <c:v>12240</c:v>
                </c:pt>
                <c:pt idx="66">
                  <c:v>12782</c:v>
                </c:pt>
                <c:pt idx="67">
                  <c:v>12737</c:v>
                </c:pt>
                <c:pt idx="68">
                  <c:v>12801</c:v>
                </c:pt>
                <c:pt idx="69">
                  <c:v>12644</c:v>
                </c:pt>
                <c:pt idx="70">
                  <c:v>13470</c:v>
                </c:pt>
                <c:pt idx="71">
                  <c:v>13773</c:v>
                </c:pt>
                <c:pt idx="72">
                  <c:v>15739</c:v>
                </c:pt>
                <c:pt idx="73">
                  <c:v>16508</c:v>
                </c:pt>
                <c:pt idx="74">
                  <c:v>18232</c:v>
                </c:pt>
                <c:pt idx="75">
                  <c:v>18476</c:v>
                </c:pt>
                <c:pt idx="76">
                  <c:v>17535</c:v>
                </c:pt>
                <c:pt idx="77">
                  <c:v>16307</c:v>
                </c:pt>
                <c:pt idx="78">
                  <c:v>8603</c:v>
                </c:pt>
                <c:pt idx="79">
                  <c:v>9025</c:v>
                </c:pt>
                <c:pt idx="80">
                  <c:v>10015</c:v>
                </c:pt>
                <c:pt idx="81">
                  <c:v>10985</c:v>
                </c:pt>
                <c:pt idx="82">
                  <c:v>11333</c:v>
                </c:pt>
                <c:pt idx="83">
                  <c:v>15700</c:v>
                </c:pt>
                <c:pt idx="84">
                  <c:v>16603</c:v>
                </c:pt>
                <c:pt idx="85">
                  <c:v>16253</c:v>
                </c:pt>
                <c:pt idx="86">
                  <c:v>15686</c:v>
                </c:pt>
                <c:pt idx="87">
                  <c:v>16958</c:v>
                </c:pt>
                <c:pt idx="88">
                  <c:v>18923</c:v>
                </c:pt>
                <c:pt idx="89">
                  <c:v>20041</c:v>
                </c:pt>
                <c:pt idx="90">
                  <c:v>21831</c:v>
                </c:pt>
                <c:pt idx="91">
                  <c:v>23966</c:v>
                </c:pt>
                <c:pt idx="92">
                  <c:v>23023</c:v>
                </c:pt>
                <c:pt idx="93">
                  <c:v>26218</c:v>
                </c:pt>
                <c:pt idx="94">
                  <c:v>24545</c:v>
                </c:pt>
                <c:pt idx="95">
                  <c:v>25676</c:v>
                </c:pt>
                <c:pt idx="96">
                  <c:v>27394</c:v>
                </c:pt>
                <c:pt idx="97">
                  <c:v>25485</c:v>
                </c:pt>
                <c:pt idx="98">
                  <c:v>14527</c:v>
                </c:pt>
                <c:pt idx="99">
                  <c:v>15326</c:v>
                </c:pt>
                <c:pt idx="100">
                  <c:v>15897</c:v>
                </c:pt>
                <c:pt idx="101">
                  <c:v>16800</c:v>
                </c:pt>
                <c:pt idx="102">
                  <c:v>20610</c:v>
                </c:pt>
                <c:pt idx="103">
                  <c:v>18728</c:v>
                </c:pt>
                <c:pt idx="104">
                  <c:v>17595</c:v>
                </c:pt>
                <c:pt idx="105">
                  <c:v>18729</c:v>
                </c:pt>
                <c:pt idx="106">
                  <c:v>20702</c:v>
                </c:pt>
                <c:pt idx="107">
                  <c:v>23246</c:v>
                </c:pt>
                <c:pt idx="108">
                  <c:v>22293</c:v>
                </c:pt>
                <c:pt idx="109">
                  <c:v>24523</c:v>
                </c:pt>
                <c:pt idx="110">
                  <c:v>25329</c:v>
                </c:pt>
                <c:pt idx="111">
                  <c:v>28435</c:v>
                </c:pt>
                <c:pt idx="112">
                  <c:v>27669</c:v>
                </c:pt>
                <c:pt idx="113">
                  <c:v>28491</c:v>
                </c:pt>
                <c:pt idx="114">
                  <c:v>28107</c:v>
                </c:pt>
                <c:pt idx="115">
                  <c:v>29857</c:v>
                </c:pt>
                <c:pt idx="116">
                  <c:v>28422</c:v>
                </c:pt>
                <c:pt idx="117">
                  <c:v>15973</c:v>
                </c:pt>
                <c:pt idx="118">
                  <c:v>16957</c:v>
                </c:pt>
                <c:pt idx="119">
                  <c:v>16919</c:v>
                </c:pt>
                <c:pt idx="120">
                  <c:v>17506</c:v>
                </c:pt>
                <c:pt idx="121">
                  <c:v>19964</c:v>
                </c:pt>
                <c:pt idx="122">
                  <c:v>20827</c:v>
                </c:pt>
                <c:pt idx="123">
                  <c:v>21109</c:v>
                </c:pt>
                <c:pt idx="124">
                  <c:v>19304</c:v>
                </c:pt>
                <c:pt idx="125">
                  <c:v>20689</c:v>
                </c:pt>
                <c:pt idx="126">
                  <c:v>22421</c:v>
                </c:pt>
                <c:pt idx="127">
                  <c:v>21396</c:v>
                </c:pt>
                <c:pt idx="128">
                  <c:v>22644</c:v>
                </c:pt>
                <c:pt idx="129">
                  <c:v>24485</c:v>
                </c:pt>
                <c:pt idx="130">
                  <c:v>25898</c:v>
                </c:pt>
                <c:pt idx="131">
                  <c:v>29431</c:v>
                </c:pt>
                <c:pt idx="132">
                  <c:v>31861</c:v>
                </c:pt>
                <c:pt idx="133">
                  <c:v>27768</c:v>
                </c:pt>
                <c:pt idx="134">
                  <c:v>25154</c:v>
                </c:pt>
                <c:pt idx="135">
                  <c:v>28400</c:v>
                </c:pt>
                <c:pt idx="136">
                  <c:v>32570</c:v>
                </c:pt>
                <c:pt idx="137">
                  <c:v>33243</c:v>
                </c:pt>
                <c:pt idx="138">
                  <c:v>32215</c:v>
                </c:pt>
                <c:pt idx="139">
                  <c:v>18442</c:v>
                </c:pt>
                <c:pt idx="140">
                  <c:v>19181</c:v>
                </c:pt>
                <c:pt idx="141">
                  <c:v>20906</c:v>
                </c:pt>
                <c:pt idx="142">
                  <c:v>21704</c:v>
                </c:pt>
                <c:pt idx="143">
                  <c:v>21517</c:v>
                </c:pt>
                <c:pt idx="144">
                  <c:v>20368</c:v>
                </c:pt>
                <c:pt idx="145">
                  <c:v>21401</c:v>
                </c:pt>
                <c:pt idx="146">
                  <c:v>22734</c:v>
                </c:pt>
                <c:pt idx="147">
                  <c:v>23776</c:v>
                </c:pt>
                <c:pt idx="148">
                  <c:v>24646</c:v>
                </c:pt>
                <c:pt idx="149">
                  <c:v>25425</c:v>
                </c:pt>
                <c:pt idx="150">
                  <c:v>25948</c:v>
                </c:pt>
                <c:pt idx="151">
                  <c:v>27860</c:v>
                </c:pt>
                <c:pt idx="152">
                  <c:v>25929</c:v>
                </c:pt>
                <c:pt idx="153">
                  <c:v>27840</c:v>
                </c:pt>
                <c:pt idx="154">
                  <c:v>24511</c:v>
                </c:pt>
                <c:pt idx="155">
                  <c:v>27483</c:v>
                </c:pt>
                <c:pt idx="156">
                  <c:v>30508</c:v>
                </c:pt>
                <c:pt idx="157">
                  <c:v>28275</c:v>
                </c:pt>
                <c:pt idx="158">
                  <c:v>29869</c:v>
                </c:pt>
                <c:pt idx="159">
                  <c:v>30710</c:v>
                </c:pt>
                <c:pt idx="160">
                  <c:v>28330</c:v>
                </c:pt>
                <c:pt idx="161">
                  <c:v>16446</c:v>
                </c:pt>
                <c:pt idx="162">
                  <c:v>17304</c:v>
                </c:pt>
                <c:pt idx="163">
                  <c:v>17833</c:v>
                </c:pt>
                <c:pt idx="164">
                  <c:v>18564</c:v>
                </c:pt>
                <c:pt idx="165">
                  <c:v>18976</c:v>
                </c:pt>
                <c:pt idx="166">
                  <c:v>19621</c:v>
                </c:pt>
                <c:pt idx="167">
                  <c:v>19835</c:v>
                </c:pt>
                <c:pt idx="168">
                  <c:v>21070</c:v>
                </c:pt>
                <c:pt idx="169">
                  <c:v>23355</c:v>
                </c:pt>
                <c:pt idx="170">
                  <c:v>21701</c:v>
                </c:pt>
                <c:pt idx="171">
                  <c:v>21289</c:v>
                </c:pt>
                <c:pt idx="172">
                  <c:v>22112</c:v>
                </c:pt>
                <c:pt idx="173">
                  <c:v>23863</c:v>
                </c:pt>
                <c:pt idx="174">
                  <c:v>25081</c:v>
                </c:pt>
                <c:pt idx="175">
                  <c:v>28112</c:v>
                </c:pt>
                <c:pt idx="176">
                  <c:v>30064</c:v>
                </c:pt>
                <c:pt idx="177">
                  <c:v>32362</c:v>
                </c:pt>
                <c:pt idx="178">
                  <c:v>30814</c:v>
                </c:pt>
                <c:pt idx="179">
                  <c:v>29254</c:v>
                </c:pt>
                <c:pt idx="180">
                  <c:v>30713</c:v>
                </c:pt>
                <c:pt idx="181">
                  <c:v>14293</c:v>
                </c:pt>
                <c:pt idx="182">
                  <c:v>16151</c:v>
                </c:pt>
                <c:pt idx="183">
                  <c:v>18052</c:v>
                </c:pt>
                <c:pt idx="184">
                  <c:v>20377</c:v>
                </c:pt>
                <c:pt idx="185">
                  <c:v>14489</c:v>
                </c:pt>
                <c:pt idx="186">
                  <c:v>18329</c:v>
                </c:pt>
                <c:pt idx="187">
                  <c:v>18823</c:v>
                </c:pt>
                <c:pt idx="188">
                  <c:v>14951</c:v>
                </c:pt>
                <c:pt idx="189">
                  <c:v>12888</c:v>
                </c:pt>
                <c:pt idx="190">
                  <c:v>9970</c:v>
                </c:pt>
                <c:pt idx="191">
                  <c:v>10340</c:v>
                </c:pt>
                <c:pt idx="192">
                  <c:v>9529</c:v>
                </c:pt>
                <c:pt idx="193">
                  <c:v>9140</c:v>
                </c:pt>
                <c:pt idx="194">
                  <c:v>7439</c:v>
                </c:pt>
                <c:pt idx="195">
                  <c:v>7432</c:v>
                </c:pt>
                <c:pt idx="196">
                  <c:v>7551</c:v>
                </c:pt>
                <c:pt idx="197">
                  <c:v>6967</c:v>
                </c:pt>
                <c:pt idx="198">
                  <c:v>7029</c:v>
                </c:pt>
                <c:pt idx="199">
                  <c:v>3814</c:v>
                </c:pt>
                <c:pt idx="200">
                  <c:v>3815</c:v>
                </c:pt>
                <c:pt idx="201">
                  <c:v>3534</c:v>
                </c:pt>
                <c:pt idx="202">
                  <c:v>681</c:v>
                </c:pt>
                <c:pt idx="203">
                  <c:v>940</c:v>
                </c:pt>
                <c:pt idx="204">
                  <c:v>1075</c:v>
                </c:pt>
                <c:pt idx="205">
                  <c:v>1051</c:v>
                </c:pt>
                <c:pt idx="206">
                  <c:v>1184</c:v>
                </c:pt>
                <c:pt idx="207">
                  <c:v>1221</c:v>
                </c:pt>
                <c:pt idx="208">
                  <c:v>1255</c:v>
                </c:pt>
                <c:pt idx="209">
                  <c:v>1313</c:v>
                </c:pt>
                <c:pt idx="210">
                  <c:v>1376</c:v>
                </c:pt>
                <c:pt idx="211">
                  <c:v>1405</c:v>
                </c:pt>
                <c:pt idx="212">
                  <c:v>1474</c:v>
                </c:pt>
                <c:pt idx="213">
                  <c:v>1608</c:v>
                </c:pt>
                <c:pt idx="214">
                  <c:v>1722</c:v>
                </c:pt>
                <c:pt idx="215">
                  <c:v>1827</c:v>
                </c:pt>
                <c:pt idx="216">
                  <c:v>2158</c:v>
                </c:pt>
                <c:pt idx="217">
                  <c:v>2211</c:v>
                </c:pt>
                <c:pt idx="218">
                  <c:v>2221</c:v>
                </c:pt>
                <c:pt idx="219">
                  <c:v>2106</c:v>
                </c:pt>
                <c:pt idx="220">
                  <c:v>2147</c:v>
                </c:pt>
                <c:pt idx="221">
                  <c:v>2261</c:v>
                </c:pt>
                <c:pt idx="222">
                  <c:v>2147</c:v>
                </c:pt>
                <c:pt idx="223">
                  <c:v>1240</c:v>
                </c:pt>
                <c:pt idx="224">
                  <c:v>1416</c:v>
                </c:pt>
                <c:pt idx="225">
                  <c:v>1635</c:v>
                </c:pt>
                <c:pt idx="226">
                  <c:v>1835</c:v>
                </c:pt>
                <c:pt idx="227">
                  <c:v>2174</c:v>
                </c:pt>
                <c:pt idx="228">
                  <c:v>1953</c:v>
                </c:pt>
                <c:pt idx="229">
                  <c:v>2182</c:v>
                </c:pt>
                <c:pt idx="230">
                  <c:v>2172</c:v>
                </c:pt>
                <c:pt idx="231">
                  <c:v>2476</c:v>
                </c:pt>
                <c:pt idx="232">
                  <c:v>2374</c:v>
                </c:pt>
                <c:pt idx="233">
                  <c:v>2441</c:v>
                </c:pt>
                <c:pt idx="234">
                  <c:v>2625</c:v>
                </c:pt>
                <c:pt idx="235">
                  <c:v>2528</c:v>
                </c:pt>
                <c:pt idx="236">
                  <c:v>2428</c:v>
                </c:pt>
                <c:pt idx="237">
                  <c:v>2538</c:v>
                </c:pt>
                <c:pt idx="238">
                  <c:v>2533</c:v>
                </c:pt>
                <c:pt idx="239">
                  <c:v>2544</c:v>
                </c:pt>
                <c:pt idx="240">
                  <c:v>2613</c:v>
                </c:pt>
                <c:pt idx="241">
                  <c:v>2536</c:v>
                </c:pt>
                <c:pt idx="242">
                  <c:v>2536</c:v>
                </c:pt>
                <c:pt idx="243">
                  <c:v>2722</c:v>
                </c:pt>
                <c:pt idx="244">
                  <c:v>2237</c:v>
                </c:pt>
                <c:pt idx="245">
                  <c:v>1974</c:v>
                </c:pt>
              </c:numCache>
            </c:numRef>
          </c:val>
        </c:ser>
        <c:marker val="1"/>
        <c:axId val="135181056"/>
        <c:axId val="135182592"/>
      </c:lineChart>
      <c:catAx>
        <c:axId val="13518105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82592"/>
        <c:crosses val="autoZero"/>
        <c:lblAlgn val="ctr"/>
        <c:lblOffset val="100"/>
        <c:tickLblSkip val="2"/>
        <c:tickMarkSkip val="1"/>
      </c:catAx>
      <c:valAx>
        <c:axId val="135182592"/>
        <c:scaling>
          <c:orientation val="minMax"/>
          <c:max val="36000"/>
          <c:min val="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81056"/>
        <c:crosses val="autoZero"/>
        <c:crossBetween val="between"/>
        <c:majorUnit val="4000"/>
      </c:valAx>
      <c:catAx>
        <c:axId val="135192576"/>
        <c:scaling>
          <c:orientation val="minMax"/>
        </c:scaling>
        <c:delete val="1"/>
        <c:axPos val="b"/>
        <c:numFmt formatCode="General" sourceLinked="1"/>
        <c:tickLblPos val="nextTo"/>
        <c:crossAx val="135194112"/>
        <c:crosses val="autoZero"/>
        <c:lblAlgn val="ctr"/>
        <c:lblOffset val="100"/>
      </c:catAx>
      <c:valAx>
        <c:axId val="135194112"/>
        <c:scaling>
          <c:orientation val="minMax"/>
          <c:max val="14000"/>
          <c:min val="0"/>
        </c:scaling>
        <c:axPos val="r"/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192576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OKLI (At the money Premium Value)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3"/>
          <c:order val="1"/>
          <c:tx>
            <c:strRef>
              <c:f>[2]DATA!$E$3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808080"/>
              </a:solidFill>
              <a:prstDash val="solid"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[2]DATA!$E$489:$E$734</c:f>
              <c:numCache>
                <c:formatCode>General</c:formatCode>
                <c:ptCount val="246"/>
                <c:pt idx="0">
                  <c:v>536.95000000000005</c:v>
                </c:pt>
                <c:pt idx="1">
                  <c:v>548.05999999999995</c:v>
                </c:pt>
                <c:pt idx="2">
                  <c:v>575.89</c:v>
                </c:pt>
                <c:pt idx="3">
                  <c:v>607.4</c:v>
                </c:pt>
                <c:pt idx="4">
                  <c:v>676.47</c:v>
                </c:pt>
                <c:pt idx="5">
                  <c:v>629.15</c:v>
                </c:pt>
                <c:pt idx="6">
                  <c:v>636.36</c:v>
                </c:pt>
                <c:pt idx="7">
                  <c:v>589.17999999999995</c:v>
                </c:pt>
                <c:pt idx="8">
                  <c:v>574.91999999999996</c:v>
                </c:pt>
                <c:pt idx="9">
                  <c:v>558.47</c:v>
                </c:pt>
                <c:pt idx="10">
                  <c:v>544.30999999999995</c:v>
                </c:pt>
                <c:pt idx="11">
                  <c:v>556.79</c:v>
                </c:pt>
                <c:pt idx="12">
                  <c:v>577.58000000000004</c:v>
                </c:pt>
                <c:pt idx="13">
                  <c:v>578.76</c:v>
                </c:pt>
                <c:pt idx="14">
                  <c:v>569.83000000000004</c:v>
                </c:pt>
                <c:pt idx="15">
                  <c:v>556.35</c:v>
                </c:pt>
                <c:pt idx="16">
                  <c:v>550.35</c:v>
                </c:pt>
                <c:pt idx="17">
                  <c:v>560.96</c:v>
                </c:pt>
                <c:pt idx="18">
                  <c:v>568.66</c:v>
                </c:pt>
                <c:pt idx="19">
                  <c:v>589.39</c:v>
                </c:pt>
                <c:pt idx="20">
                  <c:v>594.44000000000005</c:v>
                </c:pt>
                <c:pt idx="21">
                  <c:v>571.96</c:v>
                </c:pt>
                <c:pt idx="22">
                  <c:v>546.79</c:v>
                </c:pt>
                <c:pt idx="23">
                  <c:v>525.74</c:v>
                </c:pt>
                <c:pt idx="24">
                  <c:v>521</c:v>
                </c:pt>
                <c:pt idx="25">
                  <c:v>507.16</c:v>
                </c:pt>
                <c:pt idx="26">
                  <c:v>491.6</c:v>
                </c:pt>
                <c:pt idx="27">
                  <c:v>477.57</c:v>
                </c:pt>
                <c:pt idx="28">
                  <c:v>503.89</c:v>
                </c:pt>
                <c:pt idx="29">
                  <c:v>536.67999999999995</c:v>
                </c:pt>
                <c:pt idx="30">
                  <c:v>525.47</c:v>
                </c:pt>
                <c:pt idx="31">
                  <c:v>539.97</c:v>
                </c:pt>
                <c:pt idx="32">
                  <c:v>589.08000000000004</c:v>
                </c:pt>
                <c:pt idx="33">
                  <c:v>585.35</c:v>
                </c:pt>
                <c:pt idx="34">
                  <c:v>590.54999999999995</c:v>
                </c:pt>
                <c:pt idx="35">
                  <c:v>575.21</c:v>
                </c:pt>
                <c:pt idx="36">
                  <c:v>558.57000000000005</c:v>
                </c:pt>
                <c:pt idx="37">
                  <c:v>569.51</c:v>
                </c:pt>
                <c:pt idx="38">
                  <c:v>701.31</c:v>
                </c:pt>
                <c:pt idx="39">
                  <c:v>690.76</c:v>
                </c:pt>
                <c:pt idx="40">
                  <c:v>712.81</c:v>
                </c:pt>
                <c:pt idx="41">
                  <c:v>728.19</c:v>
                </c:pt>
                <c:pt idx="42">
                  <c:v>727.4</c:v>
                </c:pt>
                <c:pt idx="43">
                  <c:v>742.57</c:v>
                </c:pt>
                <c:pt idx="44">
                  <c:v>739.87</c:v>
                </c:pt>
                <c:pt idx="45">
                  <c:v>697.43</c:v>
                </c:pt>
                <c:pt idx="46">
                  <c:v>685.5</c:v>
                </c:pt>
                <c:pt idx="47">
                  <c:v>661.94</c:v>
                </c:pt>
                <c:pt idx="48">
                  <c:v>690.83</c:v>
                </c:pt>
                <c:pt idx="49">
                  <c:v>704.9</c:v>
                </c:pt>
                <c:pt idx="50">
                  <c:v>723.5</c:v>
                </c:pt>
                <c:pt idx="51">
                  <c:v>728.06</c:v>
                </c:pt>
                <c:pt idx="52">
                  <c:v>720.46</c:v>
                </c:pt>
                <c:pt idx="53">
                  <c:v>729.84</c:v>
                </c:pt>
                <c:pt idx="54">
                  <c:v>712.81</c:v>
                </c:pt>
                <c:pt idx="55">
                  <c:v>727.7</c:v>
                </c:pt>
                <c:pt idx="56">
                  <c:v>745.36</c:v>
                </c:pt>
                <c:pt idx="57">
                  <c:v>745.12</c:v>
                </c:pt>
                <c:pt idx="58">
                  <c:v>733.03</c:v>
                </c:pt>
                <c:pt idx="59">
                  <c:v>705.94</c:v>
                </c:pt>
                <c:pt idx="60">
                  <c:v>696.79</c:v>
                </c:pt>
                <c:pt idx="61">
                  <c:v>690.36</c:v>
                </c:pt>
                <c:pt idx="62">
                  <c:v>685.88</c:v>
                </c:pt>
                <c:pt idx="63">
                  <c:v>710.47</c:v>
                </c:pt>
                <c:pt idx="64">
                  <c:v>709.91</c:v>
                </c:pt>
                <c:pt idx="65">
                  <c:v>698.23</c:v>
                </c:pt>
                <c:pt idx="66">
                  <c:v>708.16</c:v>
                </c:pt>
                <c:pt idx="67">
                  <c:v>703.61</c:v>
                </c:pt>
                <c:pt idx="68">
                  <c:v>700.21</c:v>
                </c:pt>
                <c:pt idx="69">
                  <c:v>706.55</c:v>
                </c:pt>
                <c:pt idx="70">
                  <c:v>731.04</c:v>
                </c:pt>
                <c:pt idx="71">
                  <c:v>731.24</c:v>
                </c:pt>
                <c:pt idx="72">
                  <c:v>735.79</c:v>
                </c:pt>
                <c:pt idx="73">
                  <c:v>731.89</c:v>
                </c:pt>
                <c:pt idx="74">
                  <c:v>736.78</c:v>
                </c:pt>
                <c:pt idx="75">
                  <c:v>733.31</c:v>
                </c:pt>
                <c:pt idx="76">
                  <c:v>727.62</c:v>
                </c:pt>
                <c:pt idx="77">
                  <c:v>722.96</c:v>
                </c:pt>
                <c:pt idx="78">
                  <c:v>719.52</c:v>
                </c:pt>
                <c:pt idx="79">
                  <c:v>700.05</c:v>
                </c:pt>
                <c:pt idx="80">
                  <c:v>684.27</c:v>
                </c:pt>
                <c:pt idx="81">
                  <c:v>666.48</c:v>
                </c:pt>
                <c:pt idx="82">
                  <c:v>663.77</c:v>
                </c:pt>
                <c:pt idx="83">
                  <c:v>664.28</c:v>
                </c:pt>
                <c:pt idx="84">
                  <c:v>675.93</c:v>
                </c:pt>
                <c:pt idx="85">
                  <c:v>673.14</c:v>
                </c:pt>
                <c:pt idx="86">
                  <c:v>666.93</c:v>
                </c:pt>
                <c:pt idx="87">
                  <c:v>664.84</c:v>
                </c:pt>
                <c:pt idx="88">
                  <c:v>644.62</c:v>
                </c:pt>
                <c:pt idx="89">
                  <c:v>629.34</c:v>
                </c:pt>
                <c:pt idx="90">
                  <c:v>628.78</c:v>
                </c:pt>
                <c:pt idx="91">
                  <c:v>634.29</c:v>
                </c:pt>
                <c:pt idx="92">
                  <c:v>623.98</c:v>
                </c:pt>
                <c:pt idx="93">
                  <c:v>619.66999999999996</c:v>
                </c:pt>
                <c:pt idx="94">
                  <c:v>628.24</c:v>
                </c:pt>
                <c:pt idx="95">
                  <c:v>635.11</c:v>
                </c:pt>
                <c:pt idx="96">
                  <c:v>620.79</c:v>
                </c:pt>
                <c:pt idx="97">
                  <c:v>622.83000000000004</c:v>
                </c:pt>
                <c:pt idx="98">
                  <c:v>625.97</c:v>
                </c:pt>
                <c:pt idx="99">
                  <c:v>627.42999999999995</c:v>
                </c:pt>
                <c:pt idx="100">
                  <c:v>608.4</c:v>
                </c:pt>
                <c:pt idx="101">
                  <c:v>584.62</c:v>
                </c:pt>
                <c:pt idx="102">
                  <c:v>586.83000000000004</c:v>
                </c:pt>
                <c:pt idx="103">
                  <c:v>580.04999999999995</c:v>
                </c:pt>
                <c:pt idx="104">
                  <c:v>569.16999999999996</c:v>
                </c:pt>
                <c:pt idx="105">
                  <c:v>548.33000000000004</c:v>
                </c:pt>
                <c:pt idx="106">
                  <c:v>560.5</c:v>
                </c:pt>
                <c:pt idx="107">
                  <c:v>566.85</c:v>
                </c:pt>
                <c:pt idx="108">
                  <c:v>549.99</c:v>
                </c:pt>
                <c:pt idx="109">
                  <c:v>554.41999999999996</c:v>
                </c:pt>
                <c:pt idx="110">
                  <c:v>569.19000000000005</c:v>
                </c:pt>
                <c:pt idx="111">
                  <c:v>593.62</c:v>
                </c:pt>
                <c:pt idx="112">
                  <c:v>577.23</c:v>
                </c:pt>
                <c:pt idx="113">
                  <c:v>570.54999999999995</c:v>
                </c:pt>
                <c:pt idx="114">
                  <c:v>561.28</c:v>
                </c:pt>
                <c:pt idx="115">
                  <c:v>552.28</c:v>
                </c:pt>
                <c:pt idx="116">
                  <c:v>544.74</c:v>
                </c:pt>
                <c:pt idx="117">
                  <c:v>538.24</c:v>
                </c:pt>
                <c:pt idx="118">
                  <c:v>518</c:v>
                </c:pt>
                <c:pt idx="119">
                  <c:v>520.61</c:v>
                </c:pt>
                <c:pt idx="120">
                  <c:v>526.36</c:v>
                </c:pt>
                <c:pt idx="121">
                  <c:v>518.61</c:v>
                </c:pt>
                <c:pt idx="122">
                  <c:v>505.05</c:v>
                </c:pt>
                <c:pt idx="123">
                  <c:v>497.79</c:v>
                </c:pt>
                <c:pt idx="124">
                  <c:v>505.64</c:v>
                </c:pt>
                <c:pt idx="125">
                  <c:v>489.86</c:v>
                </c:pt>
                <c:pt idx="126">
                  <c:v>483</c:v>
                </c:pt>
                <c:pt idx="127">
                  <c:v>472.37</c:v>
                </c:pt>
                <c:pt idx="128">
                  <c:v>452.24</c:v>
                </c:pt>
                <c:pt idx="129">
                  <c:v>435.84</c:v>
                </c:pt>
                <c:pt idx="130">
                  <c:v>448</c:v>
                </c:pt>
                <c:pt idx="131">
                  <c:v>471.82</c:v>
                </c:pt>
                <c:pt idx="132">
                  <c:v>467.61</c:v>
                </c:pt>
                <c:pt idx="133">
                  <c:v>457.61</c:v>
                </c:pt>
                <c:pt idx="134">
                  <c:v>457.25</c:v>
                </c:pt>
                <c:pt idx="135">
                  <c:v>455.37</c:v>
                </c:pt>
                <c:pt idx="136">
                  <c:v>448.42</c:v>
                </c:pt>
                <c:pt idx="137">
                  <c:v>445.67</c:v>
                </c:pt>
                <c:pt idx="138">
                  <c:v>450.77</c:v>
                </c:pt>
                <c:pt idx="139">
                  <c:v>455.64</c:v>
                </c:pt>
                <c:pt idx="140">
                  <c:v>471.23</c:v>
                </c:pt>
                <c:pt idx="141">
                  <c:v>478.2</c:v>
                </c:pt>
                <c:pt idx="142">
                  <c:v>473.78</c:v>
                </c:pt>
                <c:pt idx="143">
                  <c:v>467.55</c:v>
                </c:pt>
                <c:pt idx="144">
                  <c:v>455.28</c:v>
                </c:pt>
                <c:pt idx="145">
                  <c:v>447.89</c:v>
                </c:pt>
                <c:pt idx="146">
                  <c:v>428.62</c:v>
                </c:pt>
                <c:pt idx="147">
                  <c:v>421.31</c:v>
                </c:pt>
                <c:pt idx="148">
                  <c:v>420.33</c:v>
                </c:pt>
                <c:pt idx="149">
                  <c:v>433.54</c:v>
                </c:pt>
                <c:pt idx="150">
                  <c:v>429.99</c:v>
                </c:pt>
                <c:pt idx="151">
                  <c:v>445.31</c:v>
                </c:pt>
                <c:pt idx="152">
                  <c:v>445.28</c:v>
                </c:pt>
                <c:pt idx="153">
                  <c:v>437.82</c:v>
                </c:pt>
                <c:pt idx="154">
                  <c:v>421.91</c:v>
                </c:pt>
                <c:pt idx="155">
                  <c:v>415.4</c:v>
                </c:pt>
                <c:pt idx="156">
                  <c:v>418.4</c:v>
                </c:pt>
                <c:pt idx="157">
                  <c:v>408.04</c:v>
                </c:pt>
                <c:pt idx="158">
                  <c:v>403.98</c:v>
                </c:pt>
                <c:pt idx="159">
                  <c:v>385.97</c:v>
                </c:pt>
                <c:pt idx="160">
                  <c:v>389.53</c:v>
                </c:pt>
                <c:pt idx="161">
                  <c:v>402.65</c:v>
                </c:pt>
                <c:pt idx="162">
                  <c:v>386.27</c:v>
                </c:pt>
                <c:pt idx="163">
                  <c:v>386.44</c:v>
                </c:pt>
                <c:pt idx="164">
                  <c:v>380.29</c:v>
                </c:pt>
                <c:pt idx="165">
                  <c:v>374.78</c:v>
                </c:pt>
                <c:pt idx="166">
                  <c:v>364.05</c:v>
                </c:pt>
                <c:pt idx="167">
                  <c:v>353.28</c:v>
                </c:pt>
                <c:pt idx="168">
                  <c:v>334.7</c:v>
                </c:pt>
                <c:pt idx="169">
                  <c:v>342.19</c:v>
                </c:pt>
                <c:pt idx="170">
                  <c:v>326.73</c:v>
                </c:pt>
                <c:pt idx="171">
                  <c:v>327.98</c:v>
                </c:pt>
                <c:pt idx="172">
                  <c:v>316.24</c:v>
                </c:pt>
                <c:pt idx="173">
                  <c:v>315.66000000000003</c:v>
                </c:pt>
                <c:pt idx="174">
                  <c:v>343.47</c:v>
                </c:pt>
                <c:pt idx="175">
                  <c:v>351.04</c:v>
                </c:pt>
                <c:pt idx="176">
                  <c:v>324.06</c:v>
                </c:pt>
                <c:pt idx="177">
                  <c:v>317.2</c:v>
                </c:pt>
                <c:pt idx="178">
                  <c:v>324.17</c:v>
                </c:pt>
                <c:pt idx="179">
                  <c:v>324.49</c:v>
                </c:pt>
                <c:pt idx="180">
                  <c:v>313.51</c:v>
                </c:pt>
                <c:pt idx="181">
                  <c:v>302.91000000000003</c:v>
                </c:pt>
                <c:pt idx="182">
                  <c:v>262.7</c:v>
                </c:pt>
                <c:pt idx="183">
                  <c:v>294.58999999999997</c:v>
                </c:pt>
                <c:pt idx="184">
                  <c:v>313.07</c:v>
                </c:pt>
                <c:pt idx="185">
                  <c:v>363.44</c:v>
                </c:pt>
                <c:pt idx="186">
                  <c:v>445.06</c:v>
                </c:pt>
                <c:pt idx="187">
                  <c:v>349.56</c:v>
                </c:pt>
                <c:pt idx="188">
                  <c:v>389.65</c:v>
                </c:pt>
                <c:pt idx="189">
                  <c:v>380.2</c:v>
                </c:pt>
                <c:pt idx="190">
                  <c:v>368.53</c:v>
                </c:pt>
                <c:pt idx="191">
                  <c:v>393.24</c:v>
                </c:pt>
                <c:pt idx="192">
                  <c:v>389.08</c:v>
                </c:pt>
                <c:pt idx="193">
                  <c:v>394.04</c:v>
                </c:pt>
                <c:pt idx="194">
                  <c:v>386.55</c:v>
                </c:pt>
                <c:pt idx="195">
                  <c:v>393.3</c:v>
                </c:pt>
                <c:pt idx="196">
                  <c:v>378.32</c:v>
                </c:pt>
                <c:pt idx="197">
                  <c:v>385.45</c:v>
                </c:pt>
                <c:pt idx="198">
                  <c:v>376.26</c:v>
                </c:pt>
                <c:pt idx="199">
                  <c:v>387.46</c:v>
                </c:pt>
                <c:pt idx="200">
                  <c:v>387.27</c:v>
                </c:pt>
                <c:pt idx="201">
                  <c:v>377.52</c:v>
                </c:pt>
                <c:pt idx="202">
                  <c:v>373.52</c:v>
                </c:pt>
                <c:pt idx="203">
                  <c:v>367.64</c:v>
                </c:pt>
                <c:pt idx="204">
                  <c:v>363.06</c:v>
                </c:pt>
                <c:pt idx="205">
                  <c:v>360.1</c:v>
                </c:pt>
                <c:pt idx="206">
                  <c:v>374.45</c:v>
                </c:pt>
                <c:pt idx="207">
                  <c:v>370.9</c:v>
                </c:pt>
                <c:pt idx="208">
                  <c:v>372.99</c:v>
                </c:pt>
                <c:pt idx="209">
                  <c:v>372.22</c:v>
                </c:pt>
                <c:pt idx="210">
                  <c:v>389.5</c:v>
                </c:pt>
                <c:pt idx="211">
                  <c:v>385.04</c:v>
                </c:pt>
                <c:pt idx="212">
                  <c:v>384.22</c:v>
                </c:pt>
                <c:pt idx="213">
                  <c:v>393.25</c:v>
                </c:pt>
                <c:pt idx="214">
                  <c:v>396.26</c:v>
                </c:pt>
                <c:pt idx="215">
                  <c:v>422.97</c:v>
                </c:pt>
                <c:pt idx="216">
                  <c:v>424.37</c:v>
                </c:pt>
                <c:pt idx="217">
                  <c:v>421.56</c:v>
                </c:pt>
                <c:pt idx="218">
                  <c:v>419.72</c:v>
                </c:pt>
                <c:pt idx="219">
                  <c:v>419.11</c:v>
                </c:pt>
                <c:pt idx="220">
                  <c:v>415.96</c:v>
                </c:pt>
                <c:pt idx="221">
                  <c:v>410.49</c:v>
                </c:pt>
                <c:pt idx="222">
                  <c:v>406.35</c:v>
                </c:pt>
                <c:pt idx="223">
                  <c:v>405.33</c:v>
                </c:pt>
                <c:pt idx="224">
                  <c:v>419.78</c:v>
                </c:pt>
                <c:pt idx="225">
                  <c:v>421.91</c:v>
                </c:pt>
                <c:pt idx="226">
                  <c:v>431.7</c:v>
                </c:pt>
                <c:pt idx="227">
                  <c:v>438.66</c:v>
                </c:pt>
                <c:pt idx="228">
                  <c:v>453.29</c:v>
                </c:pt>
                <c:pt idx="229">
                  <c:v>465.69</c:v>
                </c:pt>
                <c:pt idx="230">
                  <c:v>467.54</c:v>
                </c:pt>
                <c:pt idx="231">
                  <c:v>476.12</c:v>
                </c:pt>
                <c:pt idx="232">
                  <c:v>460.77</c:v>
                </c:pt>
                <c:pt idx="233">
                  <c:v>465.08</c:v>
                </c:pt>
                <c:pt idx="234">
                  <c:v>462.02</c:v>
                </c:pt>
                <c:pt idx="235">
                  <c:v>464.12</c:v>
                </c:pt>
                <c:pt idx="236">
                  <c:v>458.34</c:v>
                </c:pt>
                <c:pt idx="237">
                  <c:v>458.58</c:v>
                </c:pt>
                <c:pt idx="238">
                  <c:v>461.56</c:v>
                </c:pt>
                <c:pt idx="239">
                  <c:v>477.17</c:v>
                </c:pt>
                <c:pt idx="240">
                  <c:v>489.66</c:v>
                </c:pt>
                <c:pt idx="241">
                  <c:v>502.15</c:v>
                </c:pt>
                <c:pt idx="242">
                  <c:v>498.69</c:v>
                </c:pt>
                <c:pt idx="243">
                  <c:v>498.08</c:v>
                </c:pt>
                <c:pt idx="244">
                  <c:v>501.47</c:v>
                </c:pt>
                <c:pt idx="245">
                  <c:v>518.75</c:v>
                </c:pt>
              </c:numCache>
            </c:numRef>
          </c:val>
        </c:ser>
        <c:axId val="135354624"/>
        <c:axId val="135356416"/>
      </c:areaChart>
      <c:lineChart>
        <c:grouping val="standard"/>
        <c:ser>
          <c:idx val="2"/>
          <c:order val="0"/>
          <c:tx>
            <c:strRef>
              <c:f>[2]DATA!$D$3</c:f>
              <c:strCache>
                <c:ptCount val="1"/>
                <c:pt idx="0">
                  <c:v>FUTURES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[2]DATA!$D$489:$D$734</c:f>
              <c:numCache>
                <c:formatCode>General</c:formatCode>
                <c:ptCount val="246"/>
                <c:pt idx="0">
                  <c:v>549.9</c:v>
                </c:pt>
                <c:pt idx="1">
                  <c:v>544.1</c:v>
                </c:pt>
                <c:pt idx="2">
                  <c:v>579.4</c:v>
                </c:pt>
                <c:pt idx="3">
                  <c:v>620.5</c:v>
                </c:pt>
                <c:pt idx="4">
                  <c:v>655</c:v>
                </c:pt>
                <c:pt idx="5">
                  <c:v>616</c:v>
                </c:pt>
                <c:pt idx="6">
                  <c:v>635.6</c:v>
                </c:pt>
                <c:pt idx="7">
                  <c:v>576.20000000000005</c:v>
                </c:pt>
                <c:pt idx="8">
                  <c:v>573.1</c:v>
                </c:pt>
                <c:pt idx="9">
                  <c:v>542</c:v>
                </c:pt>
                <c:pt idx="10">
                  <c:v>554</c:v>
                </c:pt>
                <c:pt idx="11">
                  <c:v>566</c:v>
                </c:pt>
                <c:pt idx="12">
                  <c:v>596.9</c:v>
                </c:pt>
                <c:pt idx="13">
                  <c:v>574.20000000000005</c:v>
                </c:pt>
                <c:pt idx="14">
                  <c:v>569</c:v>
                </c:pt>
                <c:pt idx="15">
                  <c:v>564.6</c:v>
                </c:pt>
                <c:pt idx="16">
                  <c:v>560.9</c:v>
                </c:pt>
                <c:pt idx="17">
                  <c:v>566.9</c:v>
                </c:pt>
                <c:pt idx="18">
                  <c:v>577</c:v>
                </c:pt>
                <c:pt idx="19">
                  <c:v>596</c:v>
                </c:pt>
                <c:pt idx="20">
                  <c:v>587</c:v>
                </c:pt>
                <c:pt idx="21">
                  <c:v>560</c:v>
                </c:pt>
                <c:pt idx="22">
                  <c:v>536.5</c:v>
                </c:pt>
                <c:pt idx="23">
                  <c:v>528</c:v>
                </c:pt>
                <c:pt idx="24">
                  <c:v>516</c:v>
                </c:pt>
                <c:pt idx="25">
                  <c:v>488</c:v>
                </c:pt>
                <c:pt idx="26">
                  <c:v>484</c:v>
                </c:pt>
                <c:pt idx="27">
                  <c:v>465.5</c:v>
                </c:pt>
                <c:pt idx="28">
                  <c:v>512</c:v>
                </c:pt>
                <c:pt idx="29">
                  <c:v>538.5</c:v>
                </c:pt>
                <c:pt idx="30">
                  <c:v>507.1</c:v>
                </c:pt>
                <c:pt idx="31">
                  <c:v>543</c:v>
                </c:pt>
                <c:pt idx="32">
                  <c:v>583</c:v>
                </c:pt>
                <c:pt idx="33">
                  <c:v>582</c:v>
                </c:pt>
                <c:pt idx="34">
                  <c:v>588.1</c:v>
                </c:pt>
                <c:pt idx="35">
                  <c:v>557</c:v>
                </c:pt>
                <c:pt idx="36">
                  <c:v>559</c:v>
                </c:pt>
                <c:pt idx="37">
                  <c:v>566.6</c:v>
                </c:pt>
                <c:pt idx="38">
                  <c:v>685</c:v>
                </c:pt>
                <c:pt idx="39">
                  <c:v>678</c:v>
                </c:pt>
                <c:pt idx="40">
                  <c:v>702</c:v>
                </c:pt>
                <c:pt idx="41">
                  <c:v>719</c:v>
                </c:pt>
                <c:pt idx="42">
                  <c:v>717.8</c:v>
                </c:pt>
                <c:pt idx="43">
                  <c:v>757</c:v>
                </c:pt>
                <c:pt idx="44">
                  <c:v>726.5</c:v>
                </c:pt>
                <c:pt idx="45">
                  <c:v>696</c:v>
                </c:pt>
                <c:pt idx="46">
                  <c:v>675</c:v>
                </c:pt>
                <c:pt idx="47">
                  <c:v>648.5</c:v>
                </c:pt>
                <c:pt idx="48">
                  <c:v>680</c:v>
                </c:pt>
                <c:pt idx="49">
                  <c:v>709</c:v>
                </c:pt>
                <c:pt idx="50">
                  <c:v>724</c:v>
                </c:pt>
                <c:pt idx="51">
                  <c:v>734</c:v>
                </c:pt>
                <c:pt idx="52">
                  <c:v>711</c:v>
                </c:pt>
                <c:pt idx="53">
                  <c:v>726</c:v>
                </c:pt>
                <c:pt idx="54">
                  <c:v>701</c:v>
                </c:pt>
                <c:pt idx="55">
                  <c:v>725.6</c:v>
                </c:pt>
                <c:pt idx="56">
                  <c:v>743.6</c:v>
                </c:pt>
                <c:pt idx="57">
                  <c:v>736</c:v>
                </c:pt>
                <c:pt idx="58">
                  <c:v>725</c:v>
                </c:pt>
                <c:pt idx="59">
                  <c:v>688.1</c:v>
                </c:pt>
                <c:pt idx="60">
                  <c:v>670</c:v>
                </c:pt>
                <c:pt idx="61">
                  <c:v>681.6</c:v>
                </c:pt>
                <c:pt idx="62">
                  <c:v>680.7</c:v>
                </c:pt>
                <c:pt idx="63">
                  <c:v>706.5</c:v>
                </c:pt>
                <c:pt idx="64">
                  <c:v>713.5</c:v>
                </c:pt>
                <c:pt idx="65">
                  <c:v>692</c:v>
                </c:pt>
                <c:pt idx="66">
                  <c:v>712</c:v>
                </c:pt>
                <c:pt idx="67">
                  <c:v>701.5</c:v>
                </c:pt>
                <c:pt idx="68">
                  <c:v>703</c:v>
                </c:pt>
                <c:pt idx="69">
                  <c:v>714</c:v>
                </c:pt>
                <c:pt idx="70">
                  <c:v>743.5</c:v>
                </c:pt>
                <c:pt idx="71">
                  <c:v>724</c:v>
                </c:pt>
                <c:pt idx="72">
                  <c:v>745.1</c:v>
                </c:pt>
                <c:pt idx="73">
                  <c:v>727</c:v>
                </c:pt>
                <c:pt idx="74">
                  <c:v>738</c:v>
                </c:pt>
                <c:pt idx="75">
                  <c:v>736.7</c:v>
                </c:pt>
                <c:pt idx="76">
                  <c:v>733.6</c:v>
                </c:pt>
                <c:pt idx="77">
                  <c:v>727.3</c:v>
                </c:pt>
                <c:pt idx="78">
                  <c:v>720.2</c:v>
                </c:pt>
                <c:pt idx="79">
                  <c:v>703</c:v>
                </c:pt>
                <c:pt idx="80">
                  <c:v>687.5</c:v>
                </c:pt>
                <c:pt idx="81">
                  <c:v>659.5</c:v>
                </c:pt>
                <c:pt idx="82">
                  <c:v>652.5</c:v>
                </c:pt>
                <c:pt idx="83">
                  <c:v>643.5</c:v>
                </c:pt>
                <c:pt idx="84">
                  <c:v>654.9</c:v>
                </c:pt>
                <c:pt idx="85">
                  <c:v>650</c:v>
                </c:pt>
                <c:pt idx="86">
                  <c:v>647</c:v>
                </c:pt>
                <c:pt idx="87">
                  <c:v>635</c:v>
                </c:pt>
                <c:pt idx="88">
                  <c:v>618</c:v>
                </c:pt>
                <c:pt idx="89">
                  <c:v>605</c:v>
                </c:pt>
                <c:pt idx="90">
                  <c:v>595</c:v>
                </c:pt>
                <c:pt idx="91">
                  <c:v>615.5</c:v>
                </c:pt>
                <c:pt idx="92">
                  <c:v>590</c:v>
                </c:pt>
                <c:pt idx="93">
                  <c:v>600</c:v>
                </c:pt>
                <c:pt idx="94">
                  <c:v>615</c:v>
                </c:pt>
                <c:pt idx="95">
                  <c:v>617</c:v>
                </c:pt>
                <c:pt idx="96">
                  <c:v>608.9</c:v>
                </c:pt>
                <c:pt idx="97">
                  <c:v>618.9</c:v>
                </c:pt>
                <c:pt idx="98">
                  <c:v>622.29999999999995</c:v>
                </c:pt>
                <c:pt idx="99">
                  <c:v>601</c:v>
                </c:pt>
                <c:pt idx="100">
                  <c:v>577.20000000000005</c:v>
                </c:pt>
                <c:pt idx="101">
                  <c:v>551</c:v>
                </c:pt>
                <c:pt idx="102">
                  <c:v>573</c:v>
                </c:pt>
                <c:pt idx="103">
                  <c:v>561</c:v>
                </c:pt>
                <c:pt idx="104">
                  <c:v>542</c:v>
                </c:pt>
                <c:pt idx="105">
                  <c:v>525.1</c:v>
                </c:pt>
                <c:pt idx="106">
                  <c:v>550</c:v>
                </c:pt>
                <c:pt idx="107">
                  <c:v>556.9</c:v>
                </c:pt>
                <c:pt idx="108">
                  <c:v>539.29999999999995</c:v>
                </c:pt>
                <c:pt idx="109">
                  <c:v>551</c:v>
                </c:pt>
                <c:pt idx="110">
                  <c:v>566.4</c:v>
                </c:pt>
                <c:pt idx="111">
                  <c:v>591</c:v>
                </c:pt>
                <c:pt idx="112">
                  <c:v>564</c:v>
                </c:pt>
                <c:pt idx="113">
                  <c:v>562.9</c:v>
                </c:pt>
                <c:pt idx="114">
                  <c:v>553.79999999999995</c:v>
                </c:pt>
                <c:pt idx="115">
                  <c:v>546.9</c:v>
                </c:pt>
                <c:pt idx="116">
                  <c:v>543.5</c:v>
                </c:pt>
                <c:pt idx="117">
                  <c:v>539.5</c:v>
                </c:pt>
                <c:pt idx="118">
                  <c:v>509</c:v>
                </c:pt>
                <c:pt idx="119">
                  <c:v>514.5</c:v>
                </c:pt>
                <c:pt idx="120">
                  <c:v>528.9</c:v>
                </c:pt>
                <c:pt idx="121">
                  <c:v>509.8</c:v>
                </c:pt>
                <c:pt idx="122">
                  <c:v>499.5</c:v>
                </c:pt>
                <c:pt idx="123">
                  <c:v>493</c:v>
                </c:pt>
                <c:pt idx="124">
                  <c:v>508.2</c:v>
                </c:pt>
                <c:pt idx="125">
                  <c:v>488.1</c:v>
                </c:pt>
                <c:pt idx="126">
                  <c:v>481</c:v>
                </c:pt>
                <c:pt idx="127">
                  <c:v>473.5</c:v>
                </c:pt>
                <c:pt idx="128">
                  <c:v>446</c:v>
                </c:pt>
                <c:pt idx="129">
                  <c:v>436.5</c:v>
                </c:pt>
                <c:pt idx="130">
                  <c:v>450</c:v>
                </c:pt>
                <c:pt idx="131">
                  <c:v>470.1</c:v>
                </c:pt>
                <c:pt idx="132">
                  <c:v>465.5</c:v>
                </c:pt>
                <c:pt idx="133">
                  <c:v>441</c:v>
                </c:pt>
                <c:pt idx="134">
                  <c:v>453</c:v>
                </c:pt>
                <c:pt idx="135">
                  <c:v>458</c:v>
                </c:pt>
                <c:pt idx="136">
                  <c:v>454</c:v>
                </c:pt>
                <c:pt idx="137">
                  <c:v>447.7</c:v>
                </c:pt>
                <c:pt idx="138">
                  <c:v>446.1</c:v>
                </c:pt>
                <c:pt idx="139">
                  <c:v>455.9</c:v>
                </c:pt>
                <c:pt idx="140">
                  <c:v>482.5</c:v>
                </c:pt>
                <c:pt idx="141">
                  <c:v>479.9</c:v>
                </c:pt>
                <c:pt idx="142">
                  <c:v>474</c:v>
                </c:pt>
                <c:pt idx="143">
                  <c:v>470.5</c:v>
                </c:pt>
                <c:pt idx="144">
                  <c:v>456.2</c:v>
                </c:pt>
                <c:pt idx="145">
                  <c:v>441.5</c:v>
                </c:pt>
                <c:pt idx="146">
                  <c:v>423</c:v>
                </c:pt>
                <c:pt idx="147">
                  <c:v>431</c:v>
                </c:pt>
                <c:pt idx="148">
                  <c:v>424.1</c:v>
                </c:pt>
                <c:pt idx="149">
                  <c:v>442.5</c:v>
                </c:pt>
                <c:pt idx="150">
                  <c:v>433.8</c:v>
                </c:pt>
                <c:pt idx="151">
                  <c:v>447</c:v>
                </c:pt>
                <c:pt idx="152">
                  <c:v>442.1</c:v>
                </c:pt>
                <c:pt idx="153">
                  <c:v>438.2</c:v>
                </c:pt>
                <c:pt idx="154">
                  <c:v>414.5</c:v>
                </c:pt>
                <c:pt idx="155">
                  <c:v>415.5</c:v>
                </c:pt>
                <c:pt idx="156">
                  <c:v>422</c:v>
                </c:pt>
                <c:pt idx="157">
                  <c:v>405.8</c:v>
                </c:pt>
                <c:pt idx="158">
                  <c:v>396</c:v>
                </c:pt>
                <c:pt idx="159">
                  <c:v>380</c:v>
                </c:pt>
                <c:pt idx="160">
                  <c:v>390</c:v>
                </c:pt>
                <c:pt idx="161">
                  <c:v>401.9</c:v>
                </c:pt>
                <c:pt idx="162">
                  <c:v>384.6</c:v>
                </c:pt>
                <c:pt idx="163">
                  <c:v>390.5</c:v>
                </c:pt>
                <c:pt idx="164">
                  <c:v>379.8</c:v>
                </c:pt>
                <c:pt idx="165">
                  <c:v>373.8</c:v>
                </c:pt>
                <c:pt idx="166">
                  <c:v>355.4</c:v>
                </c:pt>
                <c:pt idx="167">
                  <c:v>346.6</c:v>
                </c:pt>
                <c:pt idx="168">
                  <c:v>331.7</c:v>
                </c:pt>
                <c:pt idx="169">
                  <c:v>340.5</c:v>
                </c:pt>
                <c:pt idx="170">
                  <c:v>318.60000000000002</c:v>
                </c:pt>
                <c:pt idx="171">
                  <c:v>320.89999999999998</c:v>
                </c:pt>
                <c:pt idx="172">
                  <c:v>309.5</c:v>
                </c:pt>
                <c:pt idx="173">
                  <c:v>317</c:v>
                </c:pt>
                <c:pt idx="174">
                  <c:v>340.5</c:v>
                </c:pt>
                <c:pt idx="175">
                  <c:v>353.6</c:v>
                </c:pt>
                <c:pt idx="176">
                  <c:v>321.5</c:v>
                </c:pt>
                <c:pt idx="177">
                  <c:v>322</c:v>
                </c:pt>
                <c:pt idx="178">
                  <c:v>332.9</c:v>
                </c:pt>
                <c:pt idx="179">
                  <c:v>329</c:v>
                </c:pt>
                <c:pt idx="180">
                  <c:v>311.5</c:v>
                </c:pt>
                <c:pt idx="181">
                  <c:v>303.5</c:v>
                </c:pt>
                <c:pt idx="182">
                  <c:v>274.89999999999998</c:v>
                </c:pt>
                <c:pt idx="183">
                  <c:v>289</c:v>
                </c:pt>
                <c:pt idx="184">
                  <c:v>343.6</c:v>
                </c:pt>
                <c:pt idx="185">
                  <c:v>394</c:v>
                </c:pt>
                <c:pt idx="186">
                  <c:v>525.4</c:v>
                </c:pt>
                <c:pt idx="187">
                  <c:v>356.3</c:v>
                </c:pt>
                <c:pt idx="188">
                  <c:v>393</c:v>
                </c:pt>
                <c:pt idx="189">
                  <c:v>399</c:v>
                </c:pt>
                <c:pt idx="190">
                  <c:v>355</c:v>
                </c:pt>
                <c:pt idx="191">
                  <c:v>400</c:v>
                </c:pt>
                <c:pt idx="192">
                  <c:v>387.1</c:v>
                </c:pt>
                <c:pt idx="193">
                  <c:v>401.1</c:v>
                </c:pt>
                <c:pt idx="194">
                  <c:v>388.3</c:v>
                </c:pt>
                <c:pt idx="195">
                  <c:v>401</c:v>
                </c:pt>
                <c:pt idx="196">
                  <c:v>380.5</c:v>
                </c:pt>
                <c:pt idx="197">
                  <c:v>396.9</c:v>
                </c:pt>
                <c:pt idx="198">
                  <c:v>385.8</c:v>
                </c:pt>
                <c:pt idx="199">
                  <c:v>396.7</c:v>
                </c:pt>
                <c:pt idx="200">
                  <c:v>389.5</c:v>
                </c:pt>
                <c:pt idx="201">
                  <c:v>380.5</c:v>
                </c:pt>
                <c:pt idx="202">
                  <c:v>374</c:v>
                </c:pt>
                <c:pt idx="203">
                  <c:v>379.9</c:v>
                </c:pt>
                <c:pt idx="204">
                  <c:v>375</c:v>
                </c:pt>
                <c:pt idx="205">
                  <c:v>374.9</c:v>
                </c:pt>
                <c:pt idx="206">
                  <c:v>391.7</c:v>
                </c:pt>
                <c:pt idx="207">
                  <c:v>385.8</c:v>
                </c:pt>
                <c:pt idx="208">
                  <c:v>388.9</c:v>
                </c:pt>
                <c:pt idx="209">
                  <c:v>388.5</c:v>
                </c:pt>
                <c:pt idx="210">
                  <c:v>406.1</c:v>
                </c:pt>
                <c:pt idx="211">
                  <c:v>396.5</c:v>
                </c:pt>
                <c:pt idx="212">
                  <c:v>399</c:v>
                </c:pt>
                <c:pt idx="213">
                  <c:v>408</c:v>
                </c:pt>
                <c:pt idx="214">
                  <c:v>415.5</c:v>
                </c:pt>
                <c:pt idx="215">
                  <c:v>434.5</c:v>
                </c:pt>
                <c:pt idx="216">
                  <c:v>433.1</c:v>
                </c:pt>
                <c:pt idx="217">
                  <c:v>428.5</c:v>
                </c:pt>
                <c:pt idx="218">
                  <c:v>419</c:v>
                </c:pt>
                <c:pt idx="219">
                  <c:v>419.5</c:v>
                </c:pt>
                <c:pt idx="220">
                  <c:v>417.1</c:v>
                </c:pt>
                <c:pt idx="221">
                  <c:v>412.8</c:v>
                </c:pt>
                <c:pt idx="222">
                  <c:v>404.8</c:v>
                </c:pt>
                <c:pt idx="223">
                  <c:v>406.2</c:v>
                </c:pt>
                <c:pt idx="224">
                  <c:v>434</c:v>
                </c:pt>
                <c:pt idx="225">
                  <c:v>438.5</c:v>
                </c:pt>
                <c:pt idx="226">
                  <c:v>454.8</c:v>
                </c:pt>
                <c:pt idx="227">
                  <c:v>446</c:v>
                </c:pt>
                <c:pt idx="228">
                  <c:v>466</c:v>
                </c:pt>
                <c:pt idx="229">
                  <c:v>472.5</c:v>
                </c:pt>
                <c:pt idx="230">
                  <c:v>474.1</c:v>
                </c:pt>
                <c:pt idx="231">
                  <c:v>480</c:v>
                </c:pt>
                <c:pt idx="232">
                  <c:v>465</c:v>
                </c:pt>
                <c:pt idx="233">
                  <c:v>479.4</c:v>
                </c:pt>
                <c:pt idx="234">
                  <c:v>479.5</c:v>
                </c:pt>
                <c:pt idx="235">
                  <c:v>478.5</c:v>
                </c:pt>
                <c:pt idx="236">
                  <c:v>473.2</c:v>
                </c:pt>
                <c:pt idx="237">
                  <c:v>474.5</c:v>
                </c:pt>
                <c:pt idx="238">
                  <c:v>470.5</c:v>
                </c:pt>
                <c:pt idx="239">
                  <c:v>484</c:v>
                </c:pt>
                <c:pt idx="240">
                  <c:v>496.8</c:v>
                </c:pt>
                <c:pt idx="241">
                  <c:v>509.5</c:v>
                </c:pt>
                <c:pt idx="242">
                  <c:v>501.5</c:v>
                </c:pt>
                <c:pt idx="243">
                  <c:v>502</c:v>
                </c:pt>
                <c:pt idx="244">
                  <c:v>505</c:v>
                </c:pt>
                <c:pt idx="245">
                  <c:v>535.29999999999995</c:v>
                </c:pt>
              </c:numCache>
            </c:numRef>
          </c:val>
        </c:ser>
        <c:marker val="1"/>
        <c:axId val="135354624"/>
        <c:axId val="135356416"/>
      </c:lineChart>
      <c:catAx>
        <c:axId val="1353546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56416"/>
        <c:crossesAt val="44"/>
        <c:lblAlgn val="ctr"/>
        <c:lblOffset val="100"/>
        <c:tickLblSkip val="2"/>
        <c:tickMarkSkip val="1"/>
      </c:catAx>
      <c:valAx>
        <c:axId val="135356416"/>
        <c:scaling>
          <c:orientation val="minMax"/>
          <c:max val="800"/>
          <c:min val="2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354624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45690699303319682"/>
          <c:y val="2.0408231054126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560846393086814E-2"/>
          <c:y val="5.1020577635315804E-2"/>
          <c:w val="0.84651760724755054"/>
          <c:h val="0.68027436847087763"/>
        </c:manualLayout>
      </c:layout>
      <c:barChart>
        <c:barDir val="col"/>
        <c:grouping val="clustered"/>
        <c:ser>
          <c:idx val="2"/>
          <c:order val="0"/>
          <c:tx>
            <c:strRef>
              <c:f>[1]FCPO!$AL$2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[1]FCPO!$A$5444:$A$5686</c:f>
              <c:numCache>
                <c:formatCode>General</c:formatCode>
                <c:ptCount val="243"/>
                <c:pt idx="0">
                  <c:v>37641</c:v>
                </c:pt>
                <c:pt idx="1">
                  <c:v>37642</c:v>
                </c:pt>
                <c:pt idx="2">
                  <c:v>37643</c:v>
                </c:pt>
                <c:pt idx="3">
                  <c:v>37644</c:v>
                </c:pt>
                <c:pt idx="4">
                  <c:v>37645</c:v>
                </c:pt>
                <c:pt idx="5">
                  <c:v>37648</c:v>
                </c:pt>
                <c:pt idx="6">
                  <c:v>37649</c:v>
                </c:pt>
                <c:pt idx="7">
                  <c:v>37650</c:v>
                </c:pt>
                <c:pt idx="8">
                  <c:v>37651</c:v>
                </c:pt>
                <c:pt idx="9">
                  <c:v>37657</c:v>
                </c:pt>
                <c:pt idx="10">
                  <c:v>37658</c:v>
                </c:pt>
                <c:pt idx="11">
                  <c:v>37659</c:v>
                </c:pt>
                <c:pt idx="12">
                  <c:v>37662</c:v>
                </c:pt>
                <c:pt idx="13">
                  <c:v>37663</c:v>
                </c:pt>
                <c:pt idx="14">
                  <c:v>37665</c:v>
                </c:pt>
                <c:pt idx="15">
                  <c:v>37666</c:v>
                </c:pt>
                <c:pt idx="16">
                  <c:v>37669</c:v>
                </c:pt>
                <c:pt idx="17">
                  <c:v>37670</c:v>
                </c:pt>
                <c:pt idx="18">
                  <c:v>37671</c:v>
                </c:pt>
                <c:pt idx="19">
                  <c:v>37672</c:v>
                </c:pt>
                <c:pt idx="20">
                  <c:v>37673</c:v>
                </c:pt>
                <c:pt idx="21">
                  <c:v>37676</c:v>
                </c:pt>
                <c:pt idx="22">
                  <c:v>37677</c:v>
                </c:pt>
                <c:pt idx="23">
                  <c:v>37678</c:v>
                </c:pt>
                <c:pt idx="24">
                  <c:v>37679</c:v>
                </c:pt>
                <c:pt idx="25">
                  <c:v>37680</c:v>
                </c:pt>
                <c:pt idx="26">
                  <c:v>37683</c:v>
                </c:pt>
                <c:pt idx="27">
                  <c:v>37685</c:v>
                </c:pt>
                <c:pt idx="28">
                  <c:v>37686</c:v>
                </c:pt>
                <c:pt idx="29">
                  <c:v>37687</c:v>
                </c:pt>
                <c:pt idx="30">
                  <c:v>37690</c:v>
                </c:pt>
                <c:pt idx="31">
                  <c:v>37691</c:v>
                </c:pt>
                <c:pt idx="32">
                  <c:v>37692</c:v>
                </c:pt>
                <c:pt idx="33">
                  <c:v>37693</c:v>
                </c:pt>
                <c:pt idx="34">
                  <c:v>37694</c:v>
                </c:pt>
                <c:pt idx="35">
                  <c:v>37697</c:v>
                </c:pt>
                <c:pt idx="36">
                  <c:v>37698</c:v>
                </c:pt>
                <c:pt idx="37">
                  <c:v>37699</c:v>
                </c:pt>
                <c:pt idx="38">
                  <c:v>37700</c:v>
                </c:pt>
                <c:pt idx="39">
                  <c:v>37701</c:v>
                </c:pt>
                <c:pt idx="40">
                  <c:v>37704</c:v>
                </c:pt>
                <c:pt idx="41">
                  <c:v>37705</c:v>
                </c:pt>
                <c:pt idx="42">
                  <c:v>37706</c:v>
                </c:pt>
                <c:pt idx="43">
                  <c:v>37707</c:v>
                </c:pt>
                <c:pt idx="44">
                  <c:v>37708</c:v>
                </c:pt>
                <c:pt idx="45">
                  <c:v>37711</c:v>
                </c:pt>
                <c:pt idx="46">
                  <c:v>37712</c:v>
                </c:pt>
                <c:pt idx="47">
                  <c:v>37713</c:v>
                </c:pt>
                <c:pt idx="48">
                  <c:v>37714</c:v>
                </c:pt>
                <c:pt idx="49">
                  <c:v>37715</c:v>
                </c:pt>
                <c:pt idx="50">
                  <c:v>37718</c:v>
                </c:pt>
                <c:pt idx="51">
                  <c:v>37719</c:v>
                </c:pt>
                <c:pt idx="52">
                  <c:v>37720</c:v>
                </c:pt>
                <c:pt idx="53">
                  <c:v>37721</c:v>
                </c:pt>
                <c:pt idx="54">
                  <c:v>37722</c:v>
                </c:pt>
                <c:pt idx="55">
                  <c:v>37725</c:v>
                </c:pt>
                <c:pt idx="56">
                  <c:v>37726</c:v>
                </c:pt>
                <c:pt idx="57">
                  <c:v>37727</c:v>
                </c:pt>
                <c:pt idx="58">
                  <c:v>37728</c:v>
                </c:pt>
                <c:pt idx="59">
                  <c:v>37729</c:v>
                </c:pt>
                <c:pt idx="60">
                  <c:v>37732</c:v>
                </c:pt>
                <c:pt idx="61">
                  <c:v>37733</c:v>
                </c:pt>
                <c:pt idx="62">
                  <c:v>37734</c:v>
                </c:pt>
                <c:pt idx="63">
                  <c:v>37735</c:v>
                </c:pt>
                <c:pt idx="64">
                  <c:v>37736</c:v>
                </c:pt>
                <c:pt idx="65">
                  <c:v>37739</c:v>
                </c:pt>
                <c:pt idx="66">
                  <c:v>37740</c:v>
                </c:pt>
                <c:pt idx="67">
                  <c:v>37741</c:v>
                </c:pt>
                <c:pt idx="68">
                  <c:v>37743</c:v>
                </c:pt>
                <c:pt idx="69">
                  <c:v>37746</c:v>
                </c:pt>
                <c:pt idx="70">
                  <c:v>37747</c:v>
                </c:pt>
                <c:pt idx="71">
                  <c:v>37748</c:v>
                </c:pt>
                <c:pt idx="72">
                  <c:v>37749</c:v>
                </c:pt>
                <c:pt idx="73">
                  <c:v>37750</c:v>
                </c:pt>
                <c:pt idx="74">
                  <c:v>37753</c:v>
                </c:pt>
                <c:pt idx="75">
                  <c:v>37754</c:v>
                </c:pt>
                <c:pt idx="76">
                  <c:v>37757</c:v>
                </c:pt>
                <c:pt idx="77">
                  <c:v>37760</c:v>
                </c:pt>
                <c:pt idx="78">
                  <c:v>37761</c:v>
                </c:pt>
                <c:pt idx="79">
                  <c:v>37762</c:v>
                </c:pt>
                <c:pt idx="80">
                  <c:v>37763</c:v>
                </c:pt>
                <c:pt idx="81">
                  <c:v>37764</c:v>
                </c:pt>
                <c:pt idx="82">
                  <c:v>37767</c:v>
                </c:pt>
                <c:pt idx="83">
                  <c:v>37768</c:v>
                </c:pt>
                <c:pt idx="84">
                  <c:v>37769</c:v>
                </c:pt>
                <c:pt idx="85">
                  <c:v>37770</c:v>
                </c:pt>
                <c:pt idx="86">
                  <c:v>37771</c:v>
                </c:pt>
                <c:pt idx="87">
                  <c:v>37774</c:v>
                </c:pt>
                <c:pt idx="88">
                  <c:v>37775</c:v>
                </c:pt>
                <c:pt idx="89">
                  <c:v>37776</c:v>
                </c:pt>
                <c:pt idx="90">
                  <c:v>37777</c:v>
                </c:pt>
                <c:pt idx="91">
                  <c:v>37778</c:v>
                </c:pt>
                <c:pt idx="92">
                  <c:v>37781</c:v>
                </c:pt>
                <c:pt idx="93">
                  <c:v>37782</c:v>
                </c:pt>
                <c:pt idx="94">
                  <c:v>37783</c:v>
                </c:pt>
                <c:pt idx="95">
                  <c:v>37784</c:v>
                </c:pt>
                <c:pt idx="96">
                  <c:v>37785</c:v>
                </c:pt>
                <c:pt idx="97">
                  <c:v>37788</c:v>
                </c:pt>
                <c:pt idx="98">
                  <c:v>37789</c:v>
                </c:pt>
                <c:pt idx="99">
                  <c:v>37790</c:v>
                </c:pt>
                <c:pt idx="100">
                  <c:v>37791</c:v>
                </c:pt>
                <c:pt idx="101">
                  <c:v>37792</c:v>
                </c:pt>
                <c:pt idx="102">
                  <c:v>37795</c:v>
                </c:pt>
                <c:pt idx="103">
                  <c:v>37796</c:v>
                </c:pt>
                <c:pt idx="104">
                  <c:v>37797</c:v>
                </c:pt>
                <c:pt idx="105">
                  <c:v>37798</c:v>
                </c:pt>
                <c:pt idx="106">
                  <c:v>37799</c:v>
                </c:pt>
                <c:pt idx="107">
                  <c:v>37802</c:v>
                </c:pt>
                <c:pt idx="108">
                  <c:v>37803</c:v>
                </c:pt>
                <c:pt idx="109">
                  <c:v>37804</c:v>
                </c:pt>
                <c:pt idx="110">
                  <c:v>37805</c:v>
                </c:pt>
                <c:pt idx="111">
                  <c:v>37806</c:v>
                </c:pt>
                <c:pt idx="112">
                  <c:v>37809</c:v>
                </c:pt>
                <c:pt idx="113">
                  <c:v>37810</c:v>
                </c:pt>
                <c:pt idx="114">
                  <c:v>37811</c:v>
                </c:pt>
                <c:pt idx="115">
                  <c:v>37812</c:v>
                </c:pt>
                <c:pt idx="116">
                  <c:v>37813</c:v>
                </c:pt>
                <c:pt idx="117">
                  <c:v>37816</c:v>
                </c:pt>
                <c:pt idx="118">
                  <c:v>37817</c:v>
                </c:pt>
                <c:pt idx="119">
                  <c:v>37818</c:v>
                </c:pt>
                <c:pt idx="120">
                  <c:v>37819</c:v>
                </c:pt>
                <c:pt idx="121">
                  <c:v>37820</c:v>
                </c:pt>
                <c:pt idx="122">
                  <c:v>37823</c:v>
                </c:pt>
                <c:pt idx="123">
                  <c:v>37824</c:v>
                </c:pt>
                <c:pt idx="124">
                  <c:v>37825</c:v>
                </c:pt>
                <c:pt idx="125">
                  <c:v>37826</c:v>
                </c:pt>
                <c:pt idx="126">
                  <c:v>37827</c:v>
                </c:pt>
                <c:pt idx="127">
                  <c:v>37830</c:v>
                </c:pt>
                <c:pt idx="128">
                  <c:v>37831</c:v>
                </c:pt>
                <c:pt idx="129">
                  <c:v>37832</c:v>
                </c:pt>
                <c:pt idx="130">
                  <c:v>37833</c:v>
                </c:pt>
                <c:pt idx="131">
                  <c:v>37834</c:v>
                </c:pt>
                <c:pt idx="132">
                  <c:v>37837</c:v>
                </c:pt>
                <c:pt idx="133">
                  <c:v>37838</c:v>
                </c:pt>
                <c:pt idx="134">
                  <c:v>37839</c:v>
                </c:pt>
                <c:pt idx="135">
                  <c:v>37840</c:v>
                </c:pt>
                <c:pt idx="136">
                  <c:v>37841</c:v>
                </c:pt>
                <c:pt idx="137">
                  <c:v>37844</c:v>
                </c:pt>
                <c:pt idx="138">
                  <c:v>37845</c:v>
                </c:pt>
                <c:pt idx="139">
                  <c:v>37846</c:v>
                </c:pt>
                <c:pt idx="140">
                  <c:v>37847</c:v>
                </c:pt>
                <c:pt idx="141">
                  <c:v>37848</c:v>
                </c:pt>
                <c:pt idx="142">
                  <c:v>37851</c:v>
                </c:pt>
                <c:pt idx="143">
                  <c:v>37852</c:v>
                </c:pt>
                <c:pt idx="144">
                  <c:v>37853</c:v>
                </c:pt>
                <c:pt idx="145">
                  <c:v>37854</c:v>
                </c:pt>
                <c:pt idx="146">
                  <c:v>37855</c:v>
                </c:pt>
                <c:pt idx="147">
                  <c:v>37858</c:v>
                </c:pt>
                <c:pt idx="148">
                  <c:v>37859</c:v>
                </c:pt>
                <c:pt idx="149">
                  <c:v>37860</c:v>
                </c:pt>
                <c:pt idx="150">
                  <c:v>37861</c:v>
                </c:pt>
                <c:pt idx="151">
                  <c:v>37862</c:v>
                </c:pt>
                <c:pt idx="152">
                  <c:v>37866</c:v>
                </c:pt>
                <c:pt idx="153">
                  <c:v>37867</c:v>
                </c:pt>
                <c:pt idx="154">
                  <c:v>37868</c:v>
                </c:pt>
                <c:pt idx="155">
                  <c:v>37869</c:v>
                </c:pt>
                <c:pt idx="156">
                  <c:v>37872</c:v>
                </c:pt>
                <c:pt idx="157">
                  <c:v>37873</c:v>
                </c:pt>
                <c:pt idx="158">
                  <c:v>37874</c:v>
                </c:pt>
                <c:pt idx="159">
                  <c:v>37875</c:v>
                </c:pt>
                <c:pt idx="160">
                  <c:v>37876</c:v>
                </c:pt>
                <c:pt idx="161">
                  <c:v>37879</c:v>
                </c:pt>
                <c:pt idx="162">
                  <c:v>37880</c:v>
                </c:pt>
                <c:pt idx="163">
                  <c:v>37881</c:v>
                </c:pt>
                <c:pt idx="164">
                  <c:v>37882</c:v>
                </c:pt>
                <c:pt idx="165">
                  <c:v>37883</c:v>
                </c:pt>
                <c:pt idx="166">
                  <c:v>37886</c:v>
                </c:pt>
                <c:pt idx="167">
                  <c:v>37887</c:v>
                </c:pt>
                <c:pt idx="168">
                  <c:v>37888</c:v>
                </c:pt>
                <c:pt idx="169">
                  <c:v>37889</c:v>
                </c:pt>
                <c:pt idx="170">
                  <c:v>37890</c:v>
                </c:pt>
                <c:pt idx="171">
                  <c:v>37893</c:v>
                </c:pt>
                <c:pt idx="172">
                  <c:v>37894</c:v>
                </c:pt>
                <c:pt idx="173">
                  <c:v>37895</c:v>
                </c:pt>
                <c:pt idx="174">
                  <c:v>37896</c:v>
                </c:pt>
                <c:pt idx="175">
                  <c:v>37897</c:v>
                </c:pt>
                <c:pt idx="176">
                  <c:v>37900</c:v>
                </c:pt>
                <c:pt idx="177">
                  <c:v>37901</c:v>
                </c:pt>
                <c:pt idx="178">
                  <c:v>37902</c:v>
                </c:pt>
                <c:pt idx="179">
                  <c:v>37903</c:v>
                </c:pt>
                <c:pt idx="180">
                  <c:v>37904</c:v>
                </c:pt>
                <c:pt idx="181">
                  <c:v>37907</c:v>
                </c:pt>
                <c:pt idx="182">
                  <c:v>37908</c:v>
                </c:pt>
                <c:pt idx="183">
                  <c:v>37909</c:v>
                </c:pt>
                <c:pt idx="184">
                  <c:v>37910</c:v>
                </c:pt>
                <c:pt idx="185">
                  <c:v>37911</c:v>
                </c:pt>
                <c:pt idx="186">
                  <c:v>37914</c:v>
                </c:pt>
                <c:pt idx="187">
                  <c:v>37915</c:v>
                </c:pt>
                <c:pt idx="188">
                  <c:v>37916</c:v>
                </c:pt>
                <c:pt idx="189">
                  <c:v>37917</c:v>
                </c:pt>
                <c:pt idx="190">
                  <c:v>37921</c:v>
                </c:pt>
                <c:pt idx="191">
                  <c:v>37922</c:v>
                </c:pt>
                <c:pt idx="192">
                  <c:v>37923</c:v>
                </c:pt>
                <c:pt idx="193">
                  <c:v>37924</c:v>
                </c:pt>
                <c:pt idx="194">
                  <c:v>37925</c:v>
                </c:pt>
                <c:pt idx="195">
                  <c:v>37928</c:v>
                </c:pt>
                <c:pt idx="196">
                  <c:v>37929</c:v>
                </c:pt>
                <c:pt idx="197">
                  <c:v>37930</c:v>
                </c:pt>
                <c:pt idx="198">
                  <c:v>37931</c:v>
                </c:pt>
                <c:pt idx="199">
                  <c:v>37932</c:v>
                </c:pt>
                <c:pt idx="200">
                  <c:v>37935</c:v>
                </c:pt>
                <c:pt idx="201">
                  <c:v>37936</c:v>
                </c:pt>
                <c:pt idx="202">
                  <c:v>37937</c:v>
                </c:pt>
                <c:pt idx="203">
                  <c:v>37938</c:v>
                </c:pt>
                <c:pt idx="204">
                  <c:v>37939</c:v>
                </c:pt>
                <c:pt idx="205">
                  <c:v>37942</c:v>
                </c:pt>
                <c:pt idx="206">
                  <c:v>37943</c:v>
                </c:pt>
                <c:pt idx="207">
                  <c:v>37944</c:v>
                </c:pt>
                <c:pt idx="208">
                  <c:v>37945</c:v>
                </c:pt>
                <c:pt idx="209">
                  <c:v>37946</c:v>
                </c:pt>
                <c:pt idx="210">
                  <c:v>37952</c:v>
                </c:pt>
                <c:pt idx="211">
                  <c:v>37953</c:v>
                </c:pt>
                <c:pt idx="212">
                  <c:v>37956</c:v>
                </c:pt>
                <c:pt idx="213">
                  <c:v>37957</c:v>
                </c:pt>
                <c:pt idx="214">
                  <c:v>37958</c:v>
                </c:pt>
                <c:pt idx="215">
                  <c:v>37959</c:v>
                </c:pt>
                <c:pt idx="216">
                  <c:v>37960</c:v>
                </c:pt>
                <c:pt idx="217">
                  <c:v>37963</c:v>
                </c:pt>
                <c:pt idx="218">
                  <c:v>37964</c:v>
                </c:pt>
                <c:pt idx="219">
                  <c:v>37965</c:v>
                </c:pt>
                <c:pt idx="220">
                  <c:v>37966</c:v>
                </c:pt>
                <c:pt idx="221">
                  <c:v>37967</c:v>
                </c:pt>
                <c:pt idx="222">
                  <c:v>37970</c:v>
                </c:pt>
                <c:pt idx="223">
                  <c:v>37971</c:v>
                </c:pt>
                <c:pt idx="224">
                  <c:v>37972</c:v>
                </c:pt>
                <c:pt idx="225">
                  <c:v>37973</c:v>
                </c:pt>
                <c:pt idx="226">
                  <c:v>37974</c:v>
                </c:pt>
                <c:pt idx="227">
                  <c:v>37977</c:v>
                </c:pt>
                <c:pt idx="228">
                  <c:v>37978</c:v>
                </c:pt>
                <c:pt idx="229">
                  <c:v>37979</c:v>
                </c:pt>
                <c:pt idx="230">
                  <c:v>37981</c:v>
                </c:pt>
                <c:pt idx="231">
                  <c:v>37984</c:v>
                </c:pt>
                <c:pt idx="232">
                  <c:v>37985</c:v>
                </c:pt>
                <c:pt idx="233">
                  <c:v>37986</c:v>
                </c:pt>
                <c:pt idx="234">
                  <c:v>37988</c:v>
                </c:pt>
                <c:pt idx="235">
                  <c:v>37991</c:v>
                </c:pt>
                <c:pt idx="236">
                  <c:v>37992</c:v>
                </c:pt>
                <c:pt idx="237">
                  <c:v>37993</c:v>
                </c:pt>
                <c:pt idx="238">
                  <c:v>37994</c:v>
                </c:pt>
                <c:pt idx="239">
                  <c:v>37995</c:v>
                </c:pt>
                <c:pt idx="240">
                  <c:v>37998</c:v>
                </c:pt>
                <c:pt idx="241">
                  <c:v>37999</c:v>
                </c:pt>
                <c:pt idx="242">
                  <c:v>38000</c:v>
                </c:pt>
              </c:numCache>
            </c:numRef>
          </c:cat>
          <c:val>
            <c:numRef>
              <c:f>[1]FCPO!$AL$5444:$AL$5686</c:f>
              <c:numCache>
                <c:formatCode>General</c:formatCode>
                <c:ptCount val="243"/>
                <c:pt idx="0">
                  <c:v>3449</c:v>
                </c:pt>
                <c:pt idx="1">
                  <c:v>8015</c:v>
                </c:pt>
                <c:pt idx="2">
                  <c:v>5122</c:v>
                </c:pt>
                <c:pt idx="3">
                  <c:v>7748</c:v>
                </c:pt>
                <c:pt idx="4">
                  <c:v>2020</c:v>
                </c:pt>
                <c:pt idx="5">
                  <c:v>3574</c:v>
                </c:pt>
                <c:pt idx="6">
                  <c:v>3147</c:v>
                </c:pt>
                <c:pt idx="7">
                  <c:v>2749</c:v>
                </c:pt>
                <c:pt idx="8">
                  <c:v>4683</c:v>
                </c:pt>
                <c:pt idx="9">
                  <c:v>2992</c:v>
                </c:pt>
                <c:pt idx="10">
                  <c:v>1774</c:v>
                </c:pt>
                <c:pt idx="11">
                  <c:v>4517</c:v>
                </c:pt>
                <c:pt idx="12">
                  <c:v>4785</c:v>
                </c:pt>
                <c:pt idx="13">
                  <c:v>5041</c:v>
                </c:pt>
                <c:pt idx="14">
                  <c:v>3572</c:v>
                </c:pt>
                <c:pt idx="15">
                  <c:v>3404</c:v>
                </c:pt>
                <c:pt idx="16">
                  <c:v>10055</c:v>
                </c:pt>
                <c:pt idx="17">
                  <c:v>6644</c:v>
                </c:pt>
                <c:pt idx="18">
                  <c:v>6642</c:v>
                </c:pt>
                <c:pt idx="19">
                  <c:v>3197</c:v>
                </c:pt>
                <c:pt idx="20">
                  <c:v>2496</c:v>
                </c:pt>
                <c:pt idx="21">
                  <c:v>1525</c:v>
                </c:pt>
                <c:pt idx="22">
                  <c:v>3100</c:v>
                </c:pt>
                <c:pt idx="23">
                  <c:v>1996</c:v>
                </c:pt>
                <c:pt idx="24">
                  <c:v>1234</c:v>
                </c:pt>
                <c:pt idx="25">
                  <c:v>5488</c:v>
                </c:pt>
                <c:pt idx="26">
                  <c:v>3064</c:v>
                </c:pt>
                <c:pt idx="27">
                  <c:v>14003</c:v>
                </c:pt>
                <c:pt idx="28">
                  <c:v>5060</c:v>
                </c:pt>
                <c:pt idx="29">
                  <c:v>7056</c:v>
                </c:pt>
                <c:pt idx="30">
                  <c:v>8538</c:v>
                </c:pt>
                <c:pt idx="31">
                  <c:v>5906</c:v>
                </c:pt>
                <c:pt idx="32">
                  <c:v>6204</c:v>
                </c:pt>
                <c:pt idx="33">
                  <c:v>2633</c:v>
                </c:pt>
                <c:pt idx="34">
                  <c:v>3448</c:v>
                </c:pt>
                <c:pt idx="35">
                  <c:v>10175</c:v>
                </c:pt>
                <c:pt idx="36">
                  <c:v>3984</c:v>
                </c:pt>
                <c:pt idx="37">
                  <c:v>4468</c:v>
                </c:pt>
                <c:pt idx="38">
                  <c:v>6635</c:v>
                </c:pt>
                <c:pt idx="39">
                  <c:v>5527</c:v>
                </c:pt>
                <c:pt idx="40">
                  <c:v>5643</c:v>
                </c:pt>
                <c:pt idx="41">
                  <c:v>11438</c:v>
                </c:pt>
                <c:pt idx="42">
                  <c:v>10258</c:v>
                </c:pt>
                <c:pt idx="43">
                  <c:v>11280</c:v>
                </c:pt>
                <c:pt idx="44">
                  <c:v>8350</c:v>
                </c:pt>
                <c:pt idx="45">
                  <c:v>5268</c:v>
                </c:pt>
                <c:pt idx="46">
                  <c:v>4501</c:v>
                </c:pt>
                <c:pt idx="47">
                  <c:v>6277</c:v>
                </c:pt>
                <c:pt idx="48">
                  <c:v>7705</c:v>
                </c:pt>
                <c:pt idx="49">
                  <c:v>5455</c:v>
                </c:pt>
                <c:pt idx="50">
                  <c:v>6729</c:v>
                </c:pt>
                <c:pt idx="51">
                  <c:v>7934</c:v>
                </c:pt>
                <c:pt idx="52">
                  <c:v>12426</c:v>
                </c:pt>
                <c:pt idx="53">
                  <c:v>4444</c:v>
                </c:pt>
                <c:pt idx="54">
                  <c:v>4188</c:v>
                </c:pt>
                <c:pt idx="55">
                  <c:v>6412</c:v>
                </c:pt>
                <c:pt idx="56">
                  <c:v>6044</c:v>
                </c:pt>
                <c:pt idx="57">
                  <c:v>7655</c:v>
                </c:pt>
                <c:pt idx="58">
                  <c:v>7140</c:v>
                </c:pt>
                <c:pt idx="59">
                  <c:v>3898</c:v>
                </c:pt>
                <c:pt idx="60">
                  <c:v>4272</c:v>
                </c:pt>
                <c:pt idx="61">
                  <c:v>6865</c:v>
                </c:pt>
                <c:pt idx="62">
                  <c:v>7169</c:v>
                </c:pt>
                <c:pt idx="63">
                  <c:v>5024</c:v>
                </c:pt>
                <c:pt idx="64">
                  <c:v>4687</c:v>
                </c:pt>
                <c:pt idx="65">
                  <c:v>4507</c:v>
                </c:pt>
                <c:pt idx="66">
                  <c:v>5279</c:v>
                </c:pt>
                <c:pt idx="67">
                  <c:v>5573</c:v>
                </c:pt>
                <c:pt idx="68">
                  <c:v>5208</c:v>
                </c:pt>
                <c:pt idx="69">
                  <c:v>2795</c:v>
                </c:pt>
                <c:pt idx="70">
                  <c:v>3566</c:v>
                </c:pt>
                <c:pt idx="71">
                  <c:v>4861</c:v>
                </c:pt>
                <c:pt idx="72">
                  <c:v>4681</c:v>
                </c:pt>
                <c:pt idx="73">
                  <c:v>6932</c:v>
                </c:pt>
                <c:pt idx="74">
                  <c:v>8698</c:v>
                </c:pt>
                <c:pt idx="75">
                  <c:v>6325</c:v>
                </c:pt>
                <c:pt idx="76">
                  <c:v>8296</c:v>
                </c:pt>
                <c:pt idx="77">
                  <c:v>8052</c:v>
                </c:pt>
                <c:pt idx="78">
                  <c:v>4257</c:v>
                </c:pt>
                <c:pt idx="79">
                  <c:v>6078</c:v>
                </c:pt>
                <c:pt idx="80">
                  <c:v>6170</c:v>
                </c:pt>
                <c:pt idx="81">
                  <c:v>5797</c:v>
                </c:pt>
                <c:pt idx="82">
                  <c:v>3784</c:v>
                </c:pt>
                <c:pt idx="83">
                  <c:v>5921</c:v>
                </c:pt>
                <c:pt idx="84">
                  <c:v>6575</c:v>
                </c:pt>
                <c:pt idx="85">
                  <c:v>5075</c:v>
                </c:pt>
                <c:pt idx="86">
                  <c:v>6154</c:v>
                </c:pt>
                <c:pt idx="87">
                  <c:v>3592</c:v>
                </c:pt>
                <c:pt idx="88">
                  <c:v>5336</c:v>
                </c:pt>
                <c:pt idx="89">
                  <c:v>6147</c:v>
                </c:pt>
                <c:pt idx="90">
                  <c:v>6260</c:v>
                </c:pt>
                <c:pt idx="91">
                  <c:v>7066</c:v>
                </c:pt>
                <c:pt idx="92">
                  <c:v>6289</c:v>
                </c:pt>
                <c:pt idx="93">
                  <c:v>6993</c:v>
                </c:pt>
                <c:pt idx="94">
                  <c:v>6194</c:v>
                </c:pt>
                <c:pt idx="95">
                  <c:v>6130</c:v>
                </c:pt>
                <c:pt idx="96">
                  <c:v>4326</c:v>
                </c:pt>
                <c:pt idx="97">
                  <c:v>5573</c:v>
                </c:pt>
                <c:pt idx="98">
                  <c:v>5079</c:v>
                </c:pt>
                <c:pt idx="99">
                  <c:v>6964</c:v>
                </c:pt>
                <c:pt idx="100">
                  <c:v>6139</c:v>
                </c:pt>
                <c:pt idx="101">
                  <c:v>3183</c:v>
                </c:pt>
                <c:pt idx="102">
                  <c:v>4852</c:v>
                </c:pt>
                <c:pt idx="103">
                  <c:v>5910</c:v>
                </c:pt>
                <c:pt idx="104">
                  <c:v>3594</c:v>
                </c:pt>
                <c:pt idx="105">
                  <c:v>6194</c:v>
                </c:pt>
                <c:pt idx="106">
                  <c:v>8823</c:v>
                </c:pt>
                <c:pt idx="107">
                  <c:v>2587</c:v>
                </c:pt>
                <c:pt idx="108">
                  <c:v>2122</c:v>
                </c:pt>
                <c:pt idx="109">
                  <c:v>5174</c:v>
                </c:pt>
                <c:pt idx="110">
                  <c:v>5463</c:v>
                </c:pt>
                <c:pt idx="111">
                  <c:v>3870</c:v>
                </c:pt>
                <c:pt idx="112">
                  <c:v>5693</c:v>
                </c:pt>
                <c:pt idx="113">
                  <c:v>4000</c:v>
                </c:pt>
                <c:pt idx="114">
                  <c:v>4444</c:v>
                </c:pt>
                <c:pt idx="115">
                  <c:v>3265</c:v>
                </c:pt>
                <c:pt idx="116">
                  <c:v>3753</c:v>
                </c:pt>
                <c:pt idx="117">
                  <c:v>2658</c:v>
                </c:pt>
                <c:pt idx="118">
                  <c:v>3735</c:v>
                </c:pt>
                <c:pt idx="119">
                  <c:v>4445</c:v>
                </c:pt>
                <c:pt idx="120">
                  <c:v>5433</c:v>
                </c:pt>
                <c:pt idx="121">
                  <c:v>5641</c:v>
                </c:pt>
                <c:pt idx="122">
                  <c:v>4823</c:v>
                </c:pt>
                <c:pt idx="123">
                  <c:v>6365</c:v>
                </c:pt>
                <c:pt idx="124">
                  <c:v>10482</c:v>
                </c:pt>
                <c:pt idx="125">
                  <c:v>3690</c:v>
                </c:pt>
                <c:pt idx="126">
                  <c:v>3851</c:v>
                </c:pt>
                <c:pt idx="127">
                  <c:v>5826</c:v>
                </c:pt>
                <c:pt idx="128">
                  <c:v>6322</c:v>
                </c:pt>
                <c:pt idx="129">
                  <c:v>6880</c:v>
                </c:pt>
                <c:pt idx="130">
                  <c:v>4855</c:v>
                </c:pt>
                <c:pt idx="131">
                  <c:v>6067</c:v>
                </c:pt>
                <c:pt idx="132">
                  <c:v>5848</c:v>
                </c:pt>
                <c:pt idx="133">
                  <c:v>3860</c:v>
                </c:pt>
                <c:pt idx="134">
                  <c:v>7454</c:v>
                </c:pt>
                <c:pt idx="135">
                  <c:v>8326</c:v>
                </c:pt>
                <c:pt idx="136">
                  <c:v>5531</c:v>
                </c:pt>
                <c:pt idx="137">
                  <c:v>3618</c:v>
                </c:pt>
                <c:pt idx="138">
                  <c:v>4079</c:v>
                </c:pt>
                <c:pt idx="139">
                  <c:v>5556</c:v>
                </c:pt>
                <c:pt idx="140">
                  <c:v>5049</c:v>
                </c:pt>
                <c:pt idx="141">
                  <c:v>5223</c:v>
                </c:pt>
                <c:pt idx="142">
                  <c:v>5484</c:v>
                </c:pt>
                <c:pt idx="143">
                  <c:v>5949</c:v>
                </c:pt>
                <c:pt idx="144">
                  <c:v>5402</c:v>
                </c:pt>
                <c:pt idx="145">
                  <c:v>11610</c:v>
                </c:pt>
                <c:pt idx="146">
                  <c:v>3193</c:v>
                </c:pt>
                <c:pt idx="147">
                  <c:v>3767</c:v>
                </c:pt>
                <c:pt idx="148">
                  <c:v>3543</c:v>
                </c:pt>
                <c:pt idx="149">
                  <c:v>4210</c:v>
                </c:pt>
                <c:pt idx="150">
                  <c:v>6988</c:v>
                </c:pt>
                <c:pt idx="151">
                  <c:v>5887</c:v>
                </c:pt>
                <c:pt idx="152">
                  <c:v>4787</c:v>
                </c:pt>
                <c:pt idx="153">
                  <c:v>6780</c:v>
                </c:pt>
                <c:pt idx="154">
                  <c:v>5240</c:v>
                </c:pt>
                <c:pt idx="155">
                  <c:v>2447</c:v>
                </c:pt>
                <c:pt idx="156">
                  <c:v>2872</c:v>
                </c:pt>
                <c:pt idx="157">
                  <c:v>5021</c:v>
                </c:pt>
                <c:pt idx="158">
                  <c:v>6718</c:v>
                </c:pt>
                <c:pt idx="159">
                  <c:v>5288</c:v>
                </c:pt>
                <c:pt idx="160">
                  <c:v>9533</c:v>
                </c:pt>
                <c:pt idx="161">
                  <c:v>4879</c:v>
                </c:pt>
                <c:pt idx="162">
                  <c:v>3494</c:v>
                </c:pt>
                <c:pt idx="163">
                  <c:v>10162</c:v>
                </c:pt>
                <c:pt idx="164">
                  <c:v>6928</c:v>
                </c:pt>
                <c:pt idx="165">
                  <c:v>8451</c:v>
                </c:pt>
                <c:pt idx="166">
                  <c:v>7897</c:v>
                </c:pt>
                <c:pt idx="167">
                  <c:v>7115</c:v>
                </c:pt>
                <c:pt idx="168">
                  <c:v>5414</c:v>
                </c:pt>
                <c:pt idx="169">
                  <c:v>7064</c:v>
                </c:pt>
                <c:pt idx="170">
                  <c:v>4715</c:v>
                </c:pt>
                <c:pt idx="171">
                  <c:v>10288</c:v>
                </c:pt>
                <c:pt idx="172">
                  <c:v>8112</c:v>
                </c:pt>
                <c:pt idx="173">
                  <c:v>6225</c:v>
                </c:pt>
                <c:pt idx="174">
                  <c:v>12076</c:v>
                </c:pt>
                <c:pt idx="175">
                  <c:v>6240</c:v>
                </c:pt>
                <c:pt idx="176">
                  <c:v>5995</c:v>
                </c:pt>
                <c:pt idx="177">
                  <c:v>5264</c:v>
                </c:pt>
                <c:pt idx="178">
                  <c:v>7459</c:v>
                </c:pt>
                <c:pt idx="179">
                  <c:v>5525</c:v>
                </c:pt>
                <c:pt idx="180">
                  <c:v>6035</c:v>
                </c:pt>
                <c:pt idx="181">
                  <c:v>5837</c:v>
                </c:pt>
                <c:pt idx="182">
                  <c:v>12225</c:v>
                </c:pt>
                <c:pt idx="183">
                  <c:v>7557</c:v>
                </c:pt>
                <c:pt idx="184">
                  <c:v>8432</c:v>
                </c:pt>
                <c:pt idx="185">
                  <c:v>11015</c:v>
                </c:pt>
                <c:pt idx="186">
                  <c:v>10526</c:v>
                </c:pt>
                <c:pt idx="187">
                  <c:v>14508</c:v>
                </c:pt>
                <c:pt idx="188">
                  <c:v>6832</c:v>
                </c:pt>
                <c:pt idx="189">
                  <c:v>8426</c:v>
                </c:pt>
                <c:pt idx="190">
                  <c:v>8264</c:v>
                </c:pt>
                <c:pt idx="191">
                  <c:v>7141</c:v>
                </c:pt>
                <c:pt idx="192">
                  <c:v>8361</c:v>
                </c:pt>
                <c:pt idx="193">
                  <c:v>6464</c:v>
                </c:pt>
                <c:pt idx="194">
                  <c:v>6914</c:v>
                </c:pt>
                <c:pt idx="195">
                  <c:v>6482</c:v>
                </c:pt>
                <c:pt idx="196">
                  <c:v>6935</c:v>
                </c:pt>
                <c:pt idx="197">
                  <c:v>6002</c:v>
                </c:pt>
                <c:pt idx="198">
                  <c:v>7384</c:v>
                </c:pt>
                <c:pt idx="199">
                  <c:v>7220</c:v>
                </c:pt>
                <c:pt idx="200">
                  <c:v>10674</c:v>
                </c:pt>
                <c:pt idx="201">
                  <c:v>7395</c:v>
                </c:pt>
                <c:pt idx="202">
                  <c:v>5760</c:v>
                </c:pt>
                <c:pt idx="203">
                  <c:v>9804</c:v>
                </c:pt>
                <c:pt idx="204">
                  <c:v>10844</c:v>
                </c:pt>
                <c:pt idx="205">
                  <c:v>7108</c:v>
                </c:pt>
                <c:pt idx="206">
                  <c:v>5503</c:v>
                </c:pt>
                <c:pt idx="207">
                  <c:v>7829</c:v>
                </c:pt>
                <c:pt idx="208">
                  <c:v>6731</c:v>
                </c:pt>
                <c:pt idx="209">
                  <c:v>6215</c:v>
                </c:pt>
                <c:pt idx="210">
                  <c:v>862</c:v>
                </c:pt>
                <c:pt idx="211">
                  <c:v>947</c:v>
                </c:pt>
                <c:pt idx="212">
                  <c:v>4682</c:v>
                </c:pt>
                <c:pt idx="213">
                  <c:v>5090</c:v>
                </c:pt>
                <c:pt idx="214">
                  <c:v>5233</c:v>
                </c:pt>
                <c:pt idx="215">
                  <c:v>3675</c:v>
                </c:pt>
                <c:pt idx="216">
                  <c:v>3409</c:v>
                </c:pt>
                <c:pt idx="217">
                  <c:v>4934</c:v>
                </c:pt>
                <c:pt idx="218">
                  <c:v>5656</c:v>
                </c:pt>
                <c:pt idx="219">
                  <c:v>5017</c:v>
                </c:pt>
                <c:pt idx="220">
                  <c:v>4080</c:v>
                </c:pt>
                <c:pt idx="221">
                  <c:v>6157</c:v>
                </c:pt>
                <c:pt idx="222">
                  <c:v>4797</c:v>
                </c:pt>
                <c:pt idx="223">
                  <c:v>3484</c:v>
                </c:pt>
                <c:pt idx="224">
                  <c:v>3262</c:v>
                </c:pt>
                <c:pt idx="225">
                  <c:v>2770</c:v>
                </c:pt>
                <c:pt idx="226">
                  <c:v>5237</c:v>
                </c:pt>
                <c:pt idx="227">
                  <c:v>5011</c:v>
                </c:pt>
                <c:pt idx="228">
                  <c:v>5346</c:v>
                </c:pt>
                <c:pt idx="229">
                  <c:v>5991</c:v>
                </c:pt>
                <c:pt idx="230">
                  <c:v>2849</c:v>
                </c:pt>
                <c:pt idx="231">
                  <c:v>4981</c:v>
                </c:pt>
                <c:pt idx="232">
                  <c:v>3809</c:v>
                </c:pt>
                <c:pt idx="233">
                  <c:v>1294</c:v>
                </c:pt>
                <c:pt idx="234">
                  <c:v>1766</c:v>
                </c:pt>
                <c:pt idx="235">
                  <c:v>2319</c:v>
                </c:pt>
                <c:pt idx="236">
                  <c:v>4067</c:v>
                </c:pt>
                <c:pt idx="237">
                  <c:v>4017</c:v>
                </c:pt>
                <c:pt idx="238">
                  <c:v>5429</c:v>
                </c:pt>
                <c:pt idx="239">
                  <c:v>3500</c:v>
                </c:pt>
                <c:pt idx="240">
                  <c:v>5385</c:v>
                </c:pt>
                <c:pt idx="241">
                  <c:v>6086</c:v>
                </c:pt>
                <c:pt idx="242">
                  <c:v>3867</c:v>
                </c:pt>
              </c:numCache>
            </c:numRef>
          </c:val>
        </c:ser>
        <c:gapWidth val="0"/>
        <c:axId val="135403008"/>
        <c:axId val="135404544"/>
      </c:barChart>
      <c:lineChart>
        <c:grouping val="standard"/>
        <c:ser>
          <c:idx val="3"/>
          <c:order val="1"/>
          <c:tx>
            <c:strRef>
              <c:f>[1]FCPO!$AM$2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[1]FCPO!$A$5444:$A$5686</c:f>
              <c:numCache>
                <c:formatCode>General</c:formatCode>
                <c:ptCount val="243"/>
                <c:pt idx="0">
                  <c:v>37641</c:v>
                </c:pt>
                <c:pt idx="1">
                  <c:v>37642</c:v>
                </c:pt>
                <c:pt idx="2">
                  <c:v>37643</c:v>
                </c:pt>
                <c:pt idx="3">
                  <c:v>37644</c:v>
                </c:pt>
                <c:pt idx="4">
                  <c:v>37645</c:v>
                </c:pt>
                <c:pt idx="5">
                  <c:v>37648</c:v>
                </c:pt>
                <c:pt idx="6">
                  <c:v>37649</c:v>
                </c:pt>
                <c:pt idx="7">
                  <c:v>37650</c:v>
                </c:pt>
                <c:pt idx="8">
                  <c:v>37651</c:v>
                </c:pt>
                <c:pt idx="9">
                  <c:v>37657</c:v>
                </c:pt>
                <c:pt idx="10">
                  <c:v>37658</c:v>
                </c:pt>
                <c:pt idx="11">
                  <c:v>37659</c:v>
                </c:pt>
                <c:pt idx="12">
                  <c:v>37662</c:v>
                </c:pt>
                <c:pt idx="13">
                  <c:v>37663</c:v>
                </c:pt>
                <c:pt idx="14">
                  <c:v>37665</c:v>
                </c:pt>
                <c:pt idx="15">
                  <c:v>37666</c:v>
                </c:pt>
                <c:pt idx="16">
                  <c:v>37669</c:v>
                </c:pt>
                <c:pt idx="17">
                  <c:v>37670</c:v>
                </c:pt>
                <c:pt idx="18">
                  <c:v>37671</c:v>
                </c:pt>
                <c:pt idx="19">
                  <c:v>37672</c:v>
                </c:pt>
                <c:pt idx="20">
                  <c:v>37673</c:v>
                </c:pt>
                <c:pt idx="21">
                  <c:v>37676</c:v>
                </c:pt>
                <c:pt idx="22">
                  <c:v>37677</c:v>
                </c:pt>
                <c:pt idx="23">
                  <c:v>37678</c:v>
                </c:pt>
                <c:pt idx="24">
                  <c:v>37679</c:v>
                </c:pt>
                <c:pt idx="25">
                  <c:v>37680</c:v>
                </c:pt>
                <c:pt idx="26">
                  <c:v>37683</c:v>
                </c:pt>
                <c:pt idx="27">
                  <c:v>37685</c:v>
                </c:pt>
                <c:pt idx="28">
                  <c:v>37686</c:v>
                </c:pt>
                <c:pt idx="29">
                  <c:v>37687</c:v>
                </c:pt>
                <c:pt idx="30">
                  <c:v>37690</c:v>
                </c:pt>
                <c:pt idx="31">
                  <c:v>37691</c:v>
                </c:pt>
                <c:pt idx="32">
                  <c:v>37692</c:v>
                </c:pt>
                <c:pt idx="33">
                  <c:v>37693</c:v>
                </c:pt>
                <c:pt idx="34">
                  <c:v>37694</c:v>
                </c:pt>
                <c:pt idx="35">
                  <c:v>37697</c:v>
                </c:pt>
                <c:pt idx="36">
                  <c:v>37698</c:v>
                </c:pt>
                <c:pt idx="37">
                  <c:v>37699</c:v>
                </c:pt>
                <c:pt idx="38">
                  <c:v>37700</c:v>
                </c:pt>
                <c:pt idx="39">
                  <c:v>37701</c:v>
                </c:pt>
                <c:pt idx="40">
                  <c:v>37704</c:v>
                </c:pt>
                <c:pt idx="41">
                  <c:v>37705</c:v>
                </c:pt>
                <c:pt idx="42">
                  <c:v>37706</c:v>
                </c:pt>
                <c:pt idx="43">
                  <c:v>37707</c:v>
                </c:pt>
                <c:pt idx="44">
                  <c:v>37708</c:v>
                </c:pt>
                <c:pt idx="45">
                  <c:v>37711</c:v>
                </c:pt>
                <c:pt idx="46">
                  <c:v>37712</c:v>
                </c:pt>
                <c:pt idx="47">
                  <c:v>37713</c:v>
                </c:pt>
                <c:pt idx="48">
                  <c:v>37714</c:v>
                </c:pt>
                <c:pt idx="49">
                  <c:v>37715</c:v>
                </c:pt>
                <c:pt idx="50">
                  <c:v>37718</c:v>
                </c:pt>
                <c:pt idx="51">
                  <c:v>37719</c:v>
                </c:pt>
                <c:pt idx="52">
                  <c:v>37720</c:v>
                </c:pt>
                <c:pt idx="53">
                  <c:v>37721</c:v>
                </c:pt>
                <c:pt idx="54">
                  <c:v>37722</c:v>
                </c:pt>
                <c:pt idx="55">
                  <c:v>37725</c:v>
                </c:pt>
                <c:pt idx="56">
                  <c:v>37726</c:v>
                </c:pt>
                <c:pt idx="57">
                  <c:v>37727</c:v>
                </c:pt>
                <c:pt idx="58">
                  <c:v>37728</c:v>
                </c:pt>
                <c:pt idx="59">
                  <c:v>37729</c:v>
                </c:pt>
                <c:pt idx="60">
                  <c:v>37732</c:v>
                </c:pt>
                <c:pt idx="61">
                  <c:v>37733</c:v>
                </c:pt>
                <c:pt idx="62">
                  <c:v>37734</c:v>
                </c:pt>
                <c:pt idx="63">
                  <c:v>37735</c:v>
                </c:pt>
                <c:pt idx="64">
                  <c:v>37736</c:v>
                </c:pt>
                <c:pt idx="65">
                  <c:v>37739</c:v>
                </c:pt>
                <c:pt idx="66">
                  <c:v>37740</c:v>
                </c:pt>
                <c:pt idx="67">
                  <c:v>37741</c:v>
                </c:pt>
                <c:pt idx="68">
                  <c:v>37743</c:v>
                </c:pt>
                <c:pt idx="69">
                  <c:v>37746</c:v>
                </c:pt>
                <c:pt idx="70">
                  <c:v>37747</c:v>
                </c:pt>
                <c:pt idx="71">
                  <c:v>37748</c:v>
                </c:pt>
                <c:pt idx="72">
                  <c:v>37749</c:v>
                </c:pt>
                <c:pt idx="73">
                  <c:v>37750</c:v>
                </c:pt>
                <c:pt idx="74">
                  <c:v>37753</c:v>
                </c:pt>
                <c:pt idx="75">
                  <c:v>37754</c:v>
                </c:pt>
                <c:pt idx="76">
                  <c:v>37757</c:v>
                </c:pt>
                <c:pt idx="77">
                  <c:v>37760</c:v>
                </c:pt>
                <c:pt idx="78">
                  <c:v>37761</c:v>
                </c:pt>
                <c:pt idx="79">
                  <c:v>37762</c:v>
                </c:pt>
                <c:pt idx="80">
                  <c:v>37763</c:v>
                </c:pt>
                <c:pt idx="81">
                  <c:v>37764</c:v>
                </c:pt>
                <c:pt idx="82">
                  <c:v>37767</c:v>
                </c:pt>
                <c:pt idx="83">
                  <c:v>37768</c:v>
                </c:pt>
                <c:pt idx="84">
                  <c:v>37769</c:v>
                </c:pt>
                <c:pt idx="85">
                  <c:v>37770</c:v>
                </c:pt>
                <c:pt idx="86">
                  <c:v>37771</c:v>
                </c:pt>
                <c:pt idx="87">
                  <c:v>37774</c:v>
                </c:pt>
                <c:pt idx="88">
                  <c:v>37775</c:v>
                </c:pt>
                <c:pt idx="89">
                  <c:v>37776</c:v>
                </c:pt>
                <c:pt idx="90">
                  <c:v>37777</c:v>
                </c:pt>
                <c:pt idx="91">
                  <c:v>37778</c:v>
                </c:pt>
                <c:pt idx="92">
                  <c:v>37781</c:v>
                </c:pt>
                <c:pt idx="93">
                  <c:v>37782</c:v>
                </c:pt>
                <c:pt idx="94">
                  <c:v>37783</c:v>
                </c:pt>
                <c:pt idx="95">
                  <c:v>37784</c:v>
                </c:pt>
                <c:pt idx="96">
                  <c:v>37785</c:v>
                </c:pt>
                <c:pt idx="97">
                  <c:v>37788</c:v>
                </c:pt>
                <c:pt idx="98">
                  <c:v>37789</c:v>
                </c:pt>
                <c:pt idx="99">
                  <c:v>37790</c:v>
                </c:pt>
                <c:pt idx="100">
                  <c:v>37791</c:v>
                </c:pt>
                <c:pt idx="101">
                  <c:v>37792</c:v>
                </c:pt>
                <c:pt idx="102">
                  <c:v>37795</c:v>
                </c:pt>
                <c:pt idx="103">
                  <c:v>37796</c:v>
                </c:pt>
                <c:pt idx="104">
                  <c:v>37797</c:v>
                </c:pt>
                <c:pt idx="105">
                  <c:v>37798</c:v>
                </c:pt>
                <c:pt idx="106">
                  <c:v>37799</c:v>
                </c:pt>
                <c:pt idx="107">
                  <c:v>37802</c:v>
                </c:pt>
                <c:pt idx="108">
                  <c:v>37803</c:v>
                </c:pt>
                <c:pt idx="109">
                  <c:v>37804</c:v>
                </c:pt>
                <c:pt idx="110">
                  <c:v>37805</c:v>
                </c:pt>
                <c:pt idx="111">
                  <c:v>37806</c:v>
                </c:pt>
                <c:pt idx="112">
                  <c:v>37809</c:v>
                </c:pt>
                <c:pt idx="113">
                  <c:v>37810</c:v>
                </c:pt>
                <c:pt idx="114">
                  <c:v>37811</c:v>
                </c:pt>
                <c:pt idx="115">
                  <c:v>37812</c:v>
                </c:pt>
                <c:pt idx="116">
                  <c:v>37813</c:v>
                </c:pt>
                <c:pt idx="117">
                  <c:v>37816</c:v>
                </c:pt>
                <c:pt idx="118">
                  <c:v>37817</c:v>
                </c:pt>
                <c:pt idx="119">
                  <c:v>37818</c:v>
                </c:pt>
                <c:pt idx="120">
                  <c:v>37819</c:v>
                </c:pt>
                <c:pt idx="121">
                  <c:v>37820</c:v>
                </c:pt>
                <c:pt idx="122">
                  <c:v>37823</c:v>
                </c:pt>
                <c:pt idx="123">
                  <c:v>37824</c:v>
                </c:pt>
                <c:pt idx="124">
                  <c:v>37825</c:v>
                </c:pt>
                <c:pt idx="125">
                  <c:v>37826</c:v>
                </c:pt>
                <c:pt idx="126">
                  <c:v>37827</c:v>
                </c:pt>
                <c:pt idx="127">
                  <c:v>37830</c:v>
                </c:pt>
                <c:pt idx="128">
                  <c:v>37831</c:v>
                </c:pt>
                <c:pt idx="129">
                  <c:v>37832</c:v>
                </c:pt>
                <c:pt idx="130">
                  <c:v>37833</c:v>
                </c:pt>
                <c:pt idx="131">
                  <c:v>37834</c:v>
                </c:pt>
                <c:pt idx="132">
                  <c:v>37837</c:v>
                </c:pt>
                <c:pt idx="133">
                  <c:v>37838</c:v>
                </c:pt>
                <c:pt idx="134">
                  <c:v>37839</c:v>
                </c:pt>
                <c:pt idx="135">
                  <c:v>37840</c:v>
                </c:pt>
                <c:pt idx="136">
                  <c:v>37841</c:v>
                </c:pt>
                <c:pt idx="137">
                  <c:v>37844</c:v>
                </c:pt>
                <c:pt idx="138">
                  <c:v>37845</c:v>
                </c:pt>
                <c:pt idx="139">
                  <c:v>37846</c:v>
                </c:pt>
                <c:pt idx="140">
                  <c:v>37847</c:v>
                </c:pt>
                <c:pt idx="141">
                  <c:v>37848</c:v>
                </c:pt>
                <c:pt idx="142">
                  <c:v>37851</c:v>
                </c:pt>
                <c:pt idx="143">
                  <c:v>37852</c:v>
                </c:pt>
                <c:pt idx="144">
                  <c:v>37853</c:v>
                </c:pt>
                <c:pt idx="145">
                  <c:v>37854</c:v>
                </c:pt>
                <c:pt idx="146">
                  <c:v>37855</c:v>
                </c:pt>
                <c:pt idx="147">
                  <c:v>37858</c:v>
                </c:pt>
                <c:pt idx="148">
                  <c:v>37859</c:v>
                </c:pt>
                <c:pt idx="149">
                  <c:v>37860</c:v>
                </c:pt>
                <c:pt idx="150">
                  <c:v>37861</c:v>
                </c:pt>
                <c:pt idx="151">
                  <c:v>37862</c:v>
                </c:pt>
                <c:pt idx="152">
                  <c:v>37866</c:v>
                </c:pt>
                <c:pt idx="153">
                  <c:v>37867</c:v>
                </c:pt>
                <c:pt idx="154">
                  <c:v>37868</c:v>
                </c:pt>
                <c:pt idx="155">
                  <c:v>37869</c:v>
                </c:pt>
                <c:pt idx="156">
                  <c:v>37872</c:v>
                </c:pt>
                <c:pt idx="157">
                  <c:v>37873</c:v>
                </c:pt>
                <c:pt idx="158">
                  <c:v>37874</c:v>
                </c:pt>
                <c:pt idx="159">
                  <c:v>37875</c:v>
                </c:pt>
                <c:pt idx="160">
                  <c:v>37876</c:v>
                </c:pt>
                <c:pt idx="161">
                  <c:v>37879</c:v>
                </c:pt>
                <c:pt idx="162">
                  <c:v>37880</c:v>
                </c:pt>
                <c:pt idx="163">
                  <c:v>37881</c:v>
                </c:pt>
                <c:pt idx="164">
                  <c:v>37882</c:v>
                </c:pt>
                <c:pt idx="165">
                  <c:v>37883</c:v>
                </c:pt>
                <c:pt idx="166">
                  <c:v>37886</c:v>
                </c:pt>
                <c:pt idx="167">
                  <c:v>37887</c:v>
                </c:pt>
                <c:pt idx="168">
                  <c:v>37888</c:v>
                </c:pt>
                <c:pt idx="169">
                  <c:v>37889</c:v>
                </c:pt>
                <c:pt idx="170">
                  <c:v>37890</c:v>
                </c:pt>
                <c:pt idx="171">
                  <c:v>37893</c:v>
                </c:pt>
                <c:pt idx="172">
                  <c:v>37894</c:v>
                </c:pt>
                <c:pt idx="173">
                  <c:v>37895</c:v>
                </c:pt>
                <c:pt idx="174">
                  <c:v>37896</c:v>
                </c:pt>
                <c:pt idx="175">
                  <c:v>37897</c:v>
                </c:pt>
                <c:pt idx="176">
                  <c:v>37900</c:v>
                </c:pt>
                <c:pt idx="177">
                  <c:v>37901</c:v>
                </c:pt>
                <c:pt idx="178">
                  <c:v>37902</c:v>
                </c:pt>
                <c:pt idx="179">
                  <c:v>37903</c:v>
                </c:pt>
                <c:pt idx="180">
                  <c:v>37904</c:v>
                </c:pt>
                <c:pt idx="181">
                  <c:v>37907</c:v>
                </c:pt>
                <c:pt idx="182">
                  <c:v>37908</c:v>
                </c:pt>
                <c:pt idx="183">
                  <c:v>37909</c:v>
                </c:pt>
                <c:pt idx="184">
                  <c:v>37910</c:v>
                </c:pt>
                <c:pt idx="185">
                  <c:v>37911</c:v>
                </c:pt>
                <c:pt idx="186">
                  <c:v>37914</c:v>
                </c:pt>
                <c:pt idx="187">
                  <c:v>37915</c:v>
                </c:pt>
                <c:pt idx="188">
                  <c:v>37916</c:v>
                </c:pt>
                <c:pt idx="189">
                  <c:v>37917</c:v>
                </c:pt>
                <c:pt idx="190">
                  <c:v>37921</c:v>
                </c:pt>
                <c:pt idx="191">
                  <c:v>37922</c:v>
                </c:pt>
                <c:pt idx="192">
                  <c:v>37923</c:v>
                </c:pt>
                <c:pt idx="193">
                  <c:v>37924</c:v>
                </c:pt>
                <c:pt idx="194">
                  <c:v>37925</c:v>
                </c:pt>
                <c:pt idx="195">
                  <c:v>37928</c:v>
                </c:pt>
                <c:pt idx="196">
                  <c:v>37929</c:v>
                </c:pt>
                <c:pt idx="197">
                  <c:v>37930</c:v>
                </c:pt>
                <c:pt idx="198">
                  <c:v>37931</c:v>
                </c:pt>
                <c:pt idx="199">
                  <c:v>37932</c:v>
                </c:pt>
                <c:pt idx="200">
                  <c:v>37935</c:v>
                </c:pt>
                <c:pt idx="201">
                  <c:v>37936</c:v>
                </c:pt>
                <c:pt idx="202">
                  <c:v>37937</c:v>
                </c:pt>
                <c:pt idx="203">
                  <c:v>37938</c:v>
                </c:pt>
                <c:pt idx="204">
                  <c:v>37939</c:v>
                </c:pt>
                <c:pt idx="205">
                  <c:v>37942</c:v>
                </c:pt>
                <c:pt idx="206">
                  <c:v>37943</c:v>
                </c:pt>
                <c:pt idx="207">
                  <c:v>37944</c:v>
                </c:pt>
                <c:pt idx="208">
                  <c:v>37945</c:v>
                </c:pt>
                <c:pt idx="209">
                  <c:v>37946</c:v>
                </c:pt>
                <c:pt idx="210">
                  <c:v>37952</c:v>
                </c:pt>
                <c:pt idx="211">
                  <c:v>37953</c:v>
                </c:pt>
                <c:pt idx="212">
                  <c:v>37956</c:v>
                </c:pt>
                <c:pt idx="213">
                  <c:v>37957</c:v>
                </c:pt>
                <c:pt idx="214">
                  <c:v>37958</c:v>
                </c:pt>
                <c:pt idx="215">
                  <c:v>37959</c:v>
                </c:pt>
                <c:pt idx="216">
                  <c:v>37960</c:v>
                </c:pt>
                <c:pt idx="217">
                  <c:v>37963</c:v>
                </c:pt>
                <c:pt idx="218">
                  <c:v>37964</c:v>
                </c:pt>
                <c:pt idx="219">
                  <c:v>37965</c:v>
                </c:pt>
                <c:pt idx="220">
                  <c:v>37966</c:v>
                </c:pt>
                <c:pt idx="221">
                  <c:v>37967</c:v>
                </c:pt>
                <c:pt idx="222">
                  <c:v>37970</c:v>
                </c:pt>
                <c:pt idx="223">
                  <c:v>37971</c:v>
                </c:pt>
                <c:pt idx="224">
                  <c:v>37972</c:v>
                </c:pt>
                <c:pt idx="225">
                  <c:v>37973</c:v>
                </c:pt>
                <c:pt idx="226">
                  <c:v>37974</c:v>
                </c:pt>
                <c:pt idx="227">
                  <c:v>37977</c:v>
                </c:pt>
                <c:pt idx="228">
                  <c:v>37978</c:v>
                </c:pt>
                <c:pt idx="229">
                  <c:v>37979</c:v>
                </c:pt>
                <c:pt idx="230">
                  <c:v>37981</c:v>
                </c:pt>
                <c:pt idx="231">
                  <c:v>37984</c:v>
                </c:pt>
                <c:pt idx="232">
                  <c:v>37985</c:v>
                </c:pt>
                <c:pt idx="233">
                  <c:v>37986</c:v>
                </c:pt>
                <c:pt idx="234">
                  <c:v>37988</c:v>
                </c:pt>
                <c:pt idx="235">
                  <c:v>37991</c:v>
                </c:pt>
                <c:pt idx="236">
                  <c:v>37992</c:v>
                </c:pt>
                <c:pt idx="237">
                  <c:v>37993</c:v>
                </c:pt>
                <c:pt idx="238">
                  <c:v>37994</c:v>
                </c:pt>
                <c:pt idx="239">
                  <c:v>37995</c:v>
                </c:pt>
                <c:pt idx="240">
                  <c:v>37998</c:v>
                </c:pt>
                <c:pt idx="241">
                  <c:v>37999</c:v>
                </c:pt>
                <c:pt idx="242">
                  <c:v>38000</c:v>
                </c:pt>
              </c:numCache>
            </c:numRef>
          </c:cat>
          <c:val>
            <c:numRef>
              <c:f>[1]FCPO!$AM$5444:$AM$5686</c:f>
              <c:numCache>
                <c:formatCode>General</c:formatCode>
                <c:ptCount val="243"/>
                <c:pt idx="0">
                  <c:v>18297</c:v>
                </c:pt>
                <c:pt idx="1">
                  <c:v>18697</c:v>
                </c:pt>
                <c:pt idx="2">
                  <c:v>18680</c:v>
                </c:pt>
                <c:pt idx="3">
                  <c:v>18727</c:v>
                </c:pt>
                <c:pt idx="4">
                  <c:v>18611</c:v>
                </c:pt>
                <c:pt idx="5">
                  <c:v>18696</c:v>
                </c:pt>
                <c:pt idx="6">
                  <c:v>19139</c:v>
                </c:pt>
                <c:pt idx="7">
                  <c:v>18726</c:v>
                </c:pt>
                <c:pt idx="8">
                  <c:v>19594</c:v>
                </c:pt>
                <c:pt idx="9">
                  <c:v>19492</c:v>
                </c:pt>
                <c:pt idx="10">
                  <c:v>19581</c:v>
                </c:pt>
                <c:pt idx="11">
                  <c:v>19478</c:v>
                </c:pt>
                <c:pt idx="12">
                  <c:v>19637</c:v>
                </c:pt>
                <c:pt idx="13">
                  <c:v>20384</c:v>
                </c:pt>
                <c:pt idx="14">
                  <c:v>20048</c:v>
                </c:pt>
                <c:pt idx="15">
                  <c:v>19989</c:v>
                </c:pt>
                <c:pt idx="16">
                  <c:v>19958</c:v>
                </c:pt>
                <c:pt idx="17">
                  <c:v>20127</c:v>
                </c:pt>
                <c:pt idx="18">
                  <c:v>20048</c:v>
                </c:pt>
                <c:pt idx="19">
                  <c:v>20205</c:v>
                </c:pt>
                <c:pt idx="20">
                  <c:v>20539</c:v>
                </c:pt>
                <c:pt idx="21">
                  <c:v>20641</c:v>
                </c:pt>
                <c:pt idx="22">
                  <c:v>20438</c:v>
                </c:pt>
                <c:pt idx="23">
                  <c:v>20189</c:v>
                </c:pt>
                <c:pt idx="24">
                  <c:v>20294</c:v>
                </c:pt>
                <c:pt idx="25">
                  <c:v>21143</c:v>
                </c:pt>
                <c:pt idx="26">
                  <c:v>20551</c:v>
                </c:pt>
                <c:pt idx="27">
                  <c:v>18054</c:v>
                </c:pt>
                <c:pt idx="28">
                  <c:v>18513</c:v>
                </c:pt>
                <c:pt idx="29">
                  <c:v>19239</c:v>
                </c:pt>
                <c:pt idx="30">
                  <c:v>20387</c:v>
                </c:pt>
                <c:pt idx="31">
                  <c:v>20257</c:v>
                </c:pt>
                <c:pt idx="32">
                  <c:v>20150</c:v>
                </c:pt>
                <c:pt idx="33">
                  <c:v>19919</c:v>
                </c:pt>
                <c:pt idx="34">
                  <c:v>20269</c:v>
                </c:pt>
                <c:pt idx="35">
                  <c:v>19465</c:v>
                </c:pt>
                <c:pt idx="36">
                  <c:v>18585</c:v>
                </c:pt>
                <c:pt idx="37">
                  <c:v>19065</c:v>
                </c:pt>
                <c:pt idx="38">
                  <c:v>18271</c:v>
                </c:pt>
                <c:pt idx="39">
                  <c:v>19135</c:v>
                </c:pt>
                <c:pt idx="40">
                  <c:v>19184</c:v>
                </c:pt>
                <c:pt idx="41">
                  <c:v>18755</c:v>
                </c:pt>
                <c:pt idx="42">
                  <c:v>19408</c:v>
                </c:pt>
                <c:pt idx="43">
                  <c:v>20843</c:v>
                </c:pt>
                <c:pt idx="44">
                  <c:v>20936</c:v>
                </c:pt>
                <c:pt idx="45">
                  <c:v>21499</c:v>
                </c:pt>
                <c:pt idx="46">
                  <c:v>21540</c:v>
                </c:pt>
                <c:pt idx="47">
                  <c:v>21500</c:v>
                </c:pt>
                <c:pt idx="48">
                  <c:v>21378</c:v>
                </c:pt>
                <c:pt idx="49">
                  <c:v>21547</c:v>
                </c:pt>
                <c:pt idx="50">
                  <c:v>22581</c:v>
                </c:pt>
                <c:pt idx="51">
                  <c:v>22282</c:v>
                </c:pt>
                <c:pt idx="52">
                  <c:v>21038</c:v>
                </c:pt>
                <c:pt idx="53">
                  <c:v>21054</c:v>
                </c:pt>
                <c:pt idx="54">
                  <c:v>20908</c:v>
                </c:pt>
                <c:pt idx="55">
                  <c:v>21335</c:v>
                </c:pt>
                <c:pt idx="56">
                  <c:v>21673</c:v>
                </c:pt>
                <c:pt idx="57">
                  <c:v>22076</c:v>
                </c:pt>
                <c:pt idx="58">
                  <c:v>22566</c:v>
                </c:pt>
                <c:pt idx="59">
                  <c:v>23273</c:v>
                </c:pt>
                <c:pt idx="60">
                  <c:v>23663</c:v>
                </c:pt>
                <c:pt idx="61">
                  <c:v>24183</c:v>
                </c:pt>
                <c:pt idx="62">
                  <c:v>24807</c:v>
                </c:pt>
                <c:pt idx="63">
                  <c:v>25378</c:v>
                </c:pt>
                <c:pt idx="64">
                  <c:v>25316</c:v>
                </c:pt>
                <c:pt idx="65">
                  <c:v>25972</c:v>
                </c:pt>
                <c:pt idx="66">
                  <c:v>25705</c:v>
                </c:pt>
                <c:pt idx="67">
                  <c:v>26363</c:v>
                </c:pt>
                <c:pt idx="68">
                  <c:v>20723</c:v>
                </c:pt>
                <c:pt idx="69">
                  <c:v>26012</c:v>
                </c:pt>
                <c:pt idx="70">
                  <c:v>26268</c:v>
                </c:pt>
                <c:pt idx="71">
                  <c:v>26429</c:v>
                </c:pt>
                <c:pt idx="72">
                  <c:v>26902</c:v>
                </c:pt>
                <c:pt idx="73">
                  <c:v>26759</c:v>
                </c:pt>
                <c:pt idx="74">
                  <c:v>26910</c:v>
                </c:pt>
                <c:pt idx="75">
                  <c:v>26743</c:v>
                </c:pt>
                <c:pt idx="76">
                  <c:v>27481</c:v>
                </c:pt>
                <c:pt idx="77">
                  <c:v>27794</c:v>
                </c:pt>
                <c:pt idx="78">
                  <c:v>27312</c:v>
                </c:pt>
                <c:pt idx="79">
                  <c:v>27944</c:v>
                </c:pt>
                <c:pt idx="80">
                  <c:v>28101</c:v>
                </c:pt>
                <c:pt idx="81">
                  <c:v>28792</c:v>
                </c:pt>
                <c:pt idx="82">
                  <c:v>28478</c:v>
                </c:pt>
                <c:pt idx="83">
                  <c:v>27876</c:v>
                </c:pt>
                <c:pt idx="84">
                  <c:v>27039</c:v>
                </c:pt>
                <c:pt idx="85">
                  <c:v>26953</c:v>
                </c:pt>
                <c:pt idx="86">
                  <c:v>26801</c:v>
                </c:pt>
                <c:pt idx="87">
                  <c:v>26728</c:v>
                </c:pt>
                <c:pt idx="88">
                  <c:v>25962</c:v>
                </c:pt>
                <c:pt idx="89">
                  <c:v>26468</c:v>
                </c:pt>
                <c:pt idx="90">
                  <c:v>26715</c:v>
                </c:pt>
                <c:pt idx="91">
                  <c:v>27682</c:v>
                </c:pt>
                <c:pt idx="92">
                  <c:v>27206</c:v>
                </c:pt>
                <c:pt idx="93">
                  <c:v>26998</c:v>
                </c:pt>
                <c:pt idx="94">
                  <c:v>26744</c:v>
                </c:pt>
                <c:pt idx="95">
                  <c:v>25656</c:v>
                </c:pt>
                <c:pt idx="96">
                  <c:v>25636</c:v>
                </c:pt>
                <c:pt idx="97">
                  <c:v>25408</c:v>
                </c:pt>
                <c:pt idx="98">
                  <c:v>25925</c:v>
                </c:pt>
                <c:pt idx="99">
                  <c:v>26690</c:v>
                </c:pt>
                <c:pt idx="100">
                  <c:v>26214</c:v>
                </c:pt>
                <c:pt idx="101">
                  <c:v>26339</c:v>
                </c:pt>
                <c:pt idx="102">
                  <c:v>25514</c:v>
                </c:pt>
                <c:pt idx="103">
                  <c:v>24976</c:v>
                </c:pt>
                <c:pt idx="104">
                  <c:v>25321</c:v>
                </c:pt>
                <c:pt idx="105">
                  <c:v>25320</c:v>
                </c:pt>
                <c:pt idx="106">
                  <c:v>24130</c:v>
                </c:pt>
                <c:pt idx="107">
                  <c:v>24159</c:v>
                </c:pt>
                <c:pt idx="108">
                  <c:v>24369</c:v>
                </c:pt>
                <c:pt idx="109">
                  <c:v>24794</c:v>
                </c:pt>
                <c:pt idx="110">
                  <c:v>24316</c:v>
                </c:pt>
                <c:pt idx="111">
                  <c:v>24660</c:v>
                </c:pt>
                <c:pt idx="112">
                  <c:v>27324</c:v>
                </c:pt>
                <c:pt idx="113">
                  <c:v>24697</c:v>
                </c:pt>
                <c:pt idx="114">
                  <c:v>24450</c:v>
                </c:pt>
                <c:pt idx="115">
                  <c:v>24206</c:v>
                </c:pt>
                <c:pt idx="116">
                  <c:v>24773</c:v>
                </c:pt>
                <c:pt idx="117">
                  <c:v>24625</c:v>
                </c:pt>
                <c:pt idx="118">
                  <c:v>25110</c:v>
                </c:pt>
                <c:pt idx="119">
                  <c:v>25966</c:v>
                </c:pt>
                <c:pt idx="120">
                  <c:v>26605</c:v>
                </c:pt>
                <c:pt idx="121">
                  <c:v>27264</c:v>
                </c:pt>
                <c:pt idx="122">
                  <c:v>27660</c:v>
                </c:pt>
                <c:pt idx="123">
                  <c:v>28104</c:v>
                </c:pt>
                <c:pt idx="124">
                  <c:v>29171</c:v>
                </c:pt>
                <c:pt idx="125">
                  <c:v>29465</c:v>
                </c:pt>
                <c:pt idx="126">
                  <c:v>29733</c:v>
                </c:pt>
                <c:pt idx="127">
                  <c:v>30072</c:v>
                </c:pt>
                <c:pt idx="128">
                  <c:v>30386</c:v>
                </c:pt>
                <c:pt idx="129">
                  <c:v>30193</c:v>
                </c:pt>
                <c:pt idx="130">
                  <c:v>30255</c:v>
                </c:pt>
                <c:pt idx="131">
                  <c:v>30812</c:v>
                </c:pt>
                <c:pt idx="132">
                  <c:v>30770</c:v>
                </c:pt>
                <c:pt idx="133">
                  <c:v>30748</c:v>
                </c:pt>
                <c:pt idx="134">
                  <c:v>30484</c:v>
                </c:pt>
                <c:pt idx="135">
                  <c:v>30268</c:v>
                </c:pt>
                <c:pt idx="136">
                  <c:v>31196</c:v>
                </c:pt>
                <c:pt idx="137">
                  <c:v>31138</c:v>
                </c:pt>
                <c:pt idx="138">
                  <c:v>31500</c:v>
                </c:pt>
                <c:pt idx="139">
                  <c:v>32073</c:v>
                </c:pt>
                <c:pt idx="140">
                  <c:v>32670</c:v>
                </c:pt>
                <c:pt idx="141">
                  <c:v>32436</c:v>
                </c:pt>
                <c:pt idx="142">
                  <c:v>33232</c:v>
                </c:pt>
                <c:pt idx="143">
                  <c:v>32019</c:v>
                </c:pt>
                <c:pt idx="144">
                  <c:v>31540</c:v>
                </c:pt>
                <c:pt idx="145">
                  <c:v>28923</c:v>
                </c:pt>
                <c:pt idx="146">
                  <c:v>28942</c:v>
                </c:pt>
                <c:pt idx="147">
                  <c:v>29469</c:v>
                </c:pt>
                <c:pt idx="148">
                  <c:v>29127</c:v>
                </c:pt>
                <c:pt idx="149">
                  <c:v>29406</c:v>
                </c:pt>
                <c:pt idx="150">
                  <c:v>29095</c:v>
                </c:pt>
                <c:pt idx="151">
                  <c:v>29567</c:v>
                </c:pt>
                <c:pt idx="152">
                  <c:v>29218</c:v>
                </c:pt>
                <c:pt idx="153">
                  <c:v>30511</c:v>
                </c:pt>
                <c:pt idx="154">
                  <c:v>31660</c:v>
                </c:pt>
                <c:pt idx="155">
                  <c:v>31867</c:v>
                </c:pt>
                <c:pt idx="156">
                  <c:v>31535</c:v>
                </c:pt>
                <c:pt idx="157">
                  <c:v>32062</c:v>
                </c:pt>
                <c:pt idx="158">
                  <c:v>32108</c:v>
                </c:pt>
                <c:pt idx="159">
                  <c:v>31283</c:v>
                </c:pt>
                <c:pt idx="160">
                  <c:v>30042</c:v>
                </c:pt>
                <c:pt idx="161">
                  <c:v>29412</c:v>
                </c:pt>
                <c:pt idx="162">
                  <c:v>29011</c:v>
                </c:pt>
                <c:pt idx="163">
                  <c:v>29825</c:v>
                </c:pt>
                <c:pt idx="164">
                  <c:v>28794</c:v>
                </c:pt>
                <c:pt idx="165">
                  <c:v>28384</c:v>
                </c:pt>
                <c:pt idx="166">
                  <c:v>27774</c:v>
                </c:pt>
                <c:pt idx="167">
                  <c:v>27346</c:v>
                </c:pt>
                <c:pt idx="168">
                  <c:v>27172</c:v>
                </c:pt>
                <c:pt idx="169">
                  <c:v>26773</c:v>
                </c:pt>
                <c:pt idx="170">
                  <c:v>26344</c:v>
                </c:pt>
                <c:pt idx="171">
                  <c:v>26464</c:v>
                </c:pt>
                <c:pt idx="172">
                  <c:v>25425</c:v>
                </c:pt>
                <c:pt idx="173">
                  <c:v>25963</c:v>
                </c:pt>
                <c:pt idx="174">
                  <c:v>25986</c:v>
                </c:pt>
                <c:pt idx="175">
                  <c:v>25398</c:v>
                </c:pt>
                <c:pt idx="176">
                  <c:v>25075</c:v>
                </c:pt>
                <c:pt idx="177">
                  <c:v>24635</c:v>
                </c:pt>
                <c:pt idx="178">
                  <c:v>25097</c:v>
                </c:pt>
                <c:pt idx="179">
                  <c:v>24850</c:v>
                </c:pt>
                <c:pt idx="180">
                  <c:v>25015</c:v>
                </c:pt>
                <c:pt idx="181">
                  <c:v>25950</c:v>
                </c:pt>
                <c:pt idx="182">
                  <c:v>24710</c:v>
                </c:pt>
                <c:pt idx="183">
                  <c:v>23827</c:v>
                </c:pt>
                <c:pt idx="184">
                  <c:v>23048</c:v>
                </c:pt>
                <c:pt idx="185">
                  <c:v>23238</c:v>
                </c:pt>
                <c:pt idx="186">
                  <c:v>25195</c:v>
                </c:pt>
                <c:pt idx="187">
                  <c:v>25240</c:v>
                </c:pt>
                <c:pt idx="188">
                  <c:v>25732</c:v>
                </c:pt>
                <c:pt idx="189">
                  <c:v>26624</c:v>
                </c:pt>
                <c:pt idx="190">
                  <c:v>26484</c:v>
                </c:pt>
                <c:pt idx="191">
                  <c:v>26356</c:v>
                </c:pt>
                <c:pt idx="192">
                  <c:v>25660</c:v>
                </c:pt>
                <c:pt idx="193">
                  <c:v>25288</c:v>
                </c:pt>
                <c:pt idx="194">
                  <c:v>25154</c:v>
                </c:pt>
                <c:pt idx="195">
                  <c:v>25352</c:v>
                </c:pt>
                <c:pt idx="196">
                  <c:v>26442</c:v>
                </c:pt>
                <c:pt idx="197">
                  <c:v>25062</c:v>
                </c:pt>
                <c:pt idx="198">
                  <c:v>25875</c:v>
                </c:pt>
                <c:pt idx="199">
                  <c:v>25625</c:v>
                </c:pt>
                <c:pt idx="200">
                  <c:v>24624</c:v>
                </c:pt>
                <c:pt idx="201">
                  <c:v>23331</c:v>
                </c:pt>
                <c:pt idx="202">
                  <c:v>23183</c:v>
                </c:pt>
                <c:pt idx="203">
                  <c:v>23602</c:v>
                </c:pt>
                <c:pt idx="204">
                  <c:v>22636</c:v>
                </c:pt>
                <c:pt idx="205">
                  <c:v>23248</c:v>
                </c:pt>
                <c:pt idx="206">
                  <c:v>23666</c:v>
                </c:pt>
                <c:pt idx="207">
                  <c:v>24290</c:v>
                </c:pt>
                <c:pt idx="208">
                  <c:v>23968</c:v>
                </c:pt>
                <c:pt idx="209">
                  <c:v>23441</c:v>
                </c:pt>
                <c:pt idx="210">
                  <c:v>23434</c:v>
                </c:pt>
                <c:pt idx="211">
                  <c:v>23186</c:v>
                </c:pt>
                <c:pt idx="212">
                  <c:v>23041</c:v>
                </c:pt>
                <c:pt idx="213">
                  <c:v>22302</c:v>
                </c:pt>
                <c:pt idx="214">
                  <c:v>22181</c:v>
                </c:pt>
                <c:pt idx="215">
                  <c:v>21652</c:v>
                </c:pt>
                <c:pt idx="216">
                  <c:v>21568</c:v>
                </c:pt>
                <c:pt idx="217">
                  <c:v>21706</c:v>
                </c:pt>
                <c:pt idx="218">
                  <c:v>21776</c:v>
                </c:pt>
                <c:pt idx="219">
                  <c:v>21939</c:v>
                </c:pt>
                <c:pt idx="220">
                  <c:v>21997</c:v>
                </c:pt>
                <c:pt idx="221">
                  <c:v>21820</c:v>
                </c:pt>
                <c:pt idx="222">
                  <c:v>21598</c:v>
                </c:pt>
                <c:pt idx="223">
                  <c:v>21466</c:v>
                </c:pt>
                <c:pt idx="224">
                  <c:v>21201</c:v>
                </c:pt>
                <c:pt idx="225">
                  <c:v>20893</c:v>
                </c:pt>
                <c:pt idx="226">
                  <c:v>21140</c:v>
                </c:pt>
                <c:pt idx="227">
                  <c:v>21519</c:v>
                </c:pt>
                <c:pt idx="228">
                  <c:v>21550</c:v>
                </c:pt>
                <c:pt idx="229">
                  <c:v>21025</c:v>
                </c:pt>
                <c:pt idx="230">
                  <c:v>21526</c:v>
                </c:pt>
                <c:pt idx="231">
                  <c:v>21373</c:v>
                </c:pt>
                <c:pt idx="232">
                  <c:v>21488</c:v>
                </c:pt>
                <c:pt idx="233">
                  <c:v>21149</c:v>
                </c:pt>
                <c:pt idx="234">
                  <c:v>21216</c:v>
                </c:pt>
                <c:pt idx="235">
                  <c:v>21144</c:v>
                </c:pt>
                <c:pt idx="236">
                  <c:v>21310</c:v>
                </c:pt>
                <c:pt idx="237">
                  <c:v>21019</c:v>
                </c:pt>
                <c:pt idx="238">
                  <c:v>20619</c:v>
                </c:pt>
                <c:pt idx="239">
                  <c:v>21018</c:v>
                </c:pt>
                <c:pt idx="240">
                  <c:v>21118</c:v>
                </c:pt>
                <c:pt idx="241">
                  <c:v>21067</c:v>
                </c:pt>
                <c:pt idx="242">
                  <c:v>21153</c:v>
                </c:pt>
              </c:numCache>
            </c:numRef>
          </c:val>
        </c:ser>
        <c:marker val="1"/>
        <c:axId val="135414912"/>
        <c:axId val="135416448"/>
      </c:lineChart>
      <c:catAx>
        <c:axId val="135403008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04544"/>
        <c:crosses val="autoZero"/>
        <c:lblAlgn val="ctr"/>
        <c:lblOffset val="100"/>
        <c:tickLblSkip val="10"/>
        <c:tickMarkSkip val="1"/>
      </c:catAx>
      <c:valAx>
        <c:axId val="135404544"/>
        <c:scaling>
          <c:orientation val="minMax"/>
          <c:max val="160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930398263631679"/>
              <c:y val="0.2721097473883509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03008"/>
        <c:crosses val="autoZero"/>
        <c:crossBetween val="between"/>
        <c:majorUnit val="2000"/>
      </c:valAx>
      <c:catAx>
        <c:axId val="135414912"/>
        <c:scaling>
          <c:orientation val="minMax"/>
        </c:scaling>
        <c:delete val="1"/>
        <c:axPos val="b"/>
        <c:numFmt formatCode="General" sourceLinked="1"/>
        <c:tickLblPos val="nextTo"/>
        <c:crossAx val="135416448"/>
        <c:crosses val="autoZero"/>
        <c:lblAlgn val="ctr"/>
        <c:lblOffset val="100"/>
      </c:catAx>
      <c:valAx>
        <c:axId val="135416448"/>
        <c:scaling>
          <c:orientation val="minMax"/>
          <c:max val="36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5.9031911244599106E-3"/>
              <c:y val="0.299320722127186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14912"/>
        <c:crosses val="max"/>
        <c:crossBetween val="between"/>
        <c:majorUnit val="3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95295894572706"/>
          <c:y val="0.92177176927803894"/>
          <c:w val="0.38134614664011002"/>
          <c:h val="6.122469316237896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3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[2]DATA!$C$489:$C$734</c:f>
              <c:numCache>
                <c:formatCode>General</c:formatCode>
                <c:ptCount val="246"/>
                <c:pt idx="0">
                  <c:v>2747</c:v>
                </c:pt>
                <c:pt idx="1">
                  <c:v>1980</c:v>
                </c:pt>
                <c:pt idx="2">
                  <c:v>3054</c:v>
                </c:pt>
                <c:pt idx="3">
                  <c:v>3972</c:v>
                </c:pt>
                <c:pt idx="4">
                  <c:v>4505</c:v>
                </c:pt>
                <c:pt idx="5">
                  <c:v>1931</c:v>
                </c:pt>
                <c:pt idx="6">
                  <c:v>1832</c:v>
                </c:pt>
                <c:pt idx="7">
                  <c:v>3393</c:v>
                </c:pt>
                <c:pt idx="8">
                  <c:v>3346</c:v>
                </c:pt>
                <c:pt idx="9">
                  <c:v>2291</c:v>
                </c:pt>
                <c:pt idx="10">
                  <c:v>3128</c:v>
                </c:pt>
                <c:pt idx="11">
                  <c:v>3031</c:v>
                </c:pt>
                <c:pt idx="12">
                  <c:v>3905</c:v>
                </c:pt>
                <c:pt idx="13">
                  <c:v>2213</c:v>
                </c:pt>
                <c:pt idx="14">
                  <c:v>1879</c:v>
                </c:pt>
                <c:pt idx="15">
                  <c:v>2358</c:v>
                </c:pt>
                <c:pt idx="16">
                  <c:v>1526</c:v>
                </c:pt>
                <c:pt idx="17">
                  <c:v>647</c:v>
                </c:pt>
                <c:pt idx="18">
                  <c:v>1757</c:v>
                </c:pt>
                <c:pt idx="19">
                  <c:v>1047</c:v>
                </c:pt>
                <c:pt idx="20">
                  <c:v>1030</c:v>
                </c:pt>
                <c:pt idx="21">
                  <c:v>738</c:v>
                </c:pt>
                <c:pt idx="22">
                  <c:v>869</c:v>
                </c:pt>
                <c:pt idx="23">
                  <c:v>1082</c:v>
                </c:pt>
                <c:pt idx="24">
                  <c:v>2688</c:v>
                </c:pt>
                <c:pt idx="25">
                  <c:v>2892</c:v>
                </c:pt>
                <c:pt idx="26">
                  <c:v>2452</c:v>
                </c:pt>
                <c:pt idx="27">
                  <c:v>1669</c:v>
                </c:pt>
                <c:pt idx="28">
                  <c:v>2550</c:v>
                </c:pt>
                <c:pt idx="29">
                  <c:v>3564</c:v>
                </c:pt>
                <c:pt idx="30">
                  <c:v>3382</c:v>
                </c:pt>
                <c:pt idx="31">
                  <c:v>2343</c:v>
                </c:pt>
                <c:pt idx="32">
                  <c:v>3555</c:v>
                </c:pt>
                <c:pt idx="33">
                  <c:v>3037</c:v>
                </c:pt>
                <c:pt idx="34">
                  <c:v>4549</c:v>
                </c:pt>
                <c:pt idx="35">
                  <c:v>5362</c:v>
                </c:pt>
                <c:pt idx="36">
                  <c:v>4571</c:v>
                </c:pt>
                <c:pt idx="37">
                  <c:v>3464</c:v>
                </c:pt>
                <c:pt idx="38">
                  <c:v>5981</c:v>
                </c:pt>
                <c:pt idx="39">
                  <c:v>3429</c:v>
                </c:pt>
                <c:pt idx="40">
                  <c:v>2328</c:v>
                </c:pt>
                <c:pt idx="41">
                  <c:v>3598</c:v>
                </c:pt>
                <c:pt idx="42">
                  <c:v>2946</c:v>
                </c:pt>
                <c:pt idx="43">
                  <c:v>3009</c:v>
                </c:pt>
                <c:pt idx="44">
                  <c:v>3500</c:v>
                </c:pt>
                <c:pt idx="45">
                  <c:v>3046</c:v>
                </c:pt>
                <c:pt idx="46">
                  <c:v>3756</c:v>
                </c:pt>
                <c:pt idx="47">
                  <c:v>2410</c:v>
                </c:pt>
                <c:pt idx="48">
                  <c:v>2172</c:v>
                </c:pt>
                <c:pt idx="49">
                  <c:v>3080</c:v>
                </c:pt>
                <c:pt idx="50">
                  <c:v>3040</c:v>
                </c:pt>
                <c:pt idx="51">
                  <c:v>4497</c:v>
                </c:pt>
                <c:pt idx="52">
                  <c:v>4836</c:v>
                </c:pt>
                <c:pt idx="53">
                  <c:v>5755</c:v>
                </c:pt>
                <c:pt idx="54">
                  <c:v>4660</c:v>
                </c:pt>
                <c:pt idx="55">
                  <c:v>4127</c:v>
                </c:pt>
                <c:pt idx="56">
                  <c:v>3942</c:v>
                </c:pt>
                <c:pt idx="57">
                  <c:v>1571</c:v>
                </c:pt>
                <c:pt idx="58">
                  <c:v>2206</c:v>
                </c:pt>
                <c:pt idx="59">
                  <c:v>2711</c:v>
                </c:pt>
                <c:pt idx="60">
                  <c:v>3275</c:v>
                </c:pt>
                <c:pt idx="61">
                  <c:v>2048</c:v>
                </c:pt>
                <c:pt idx="62">
                  <c:v>1350</c:v>
                </c:pt>
                <c:pt idx="63">
                  <c:v>2837</c:v>
                </c:pt>
                <c:pt idx="64">
                  <c:v>2259</c:v>
                </c:pt>
                <c:pt idx="65">
                  <c:v>1703</c:v>
                </c:pt>
                <c:pt idx="66">
                  <c:v>1847</c:v>
                </c:pt>
                <c:pt idx="67">
                  <c:v>1185</c:v>
                </c:pt>
                <c:pt idx="68">
                  <c:v>1486</c:v>
                </c:pt>
                <c:pt idx="69">
                  <c:v>1731</c:v>
                </c:pt>
                <c:pt idx="70">
                  <c:v>2970</c:v>
                </c:pt>
                <c:pt idx="71">
                  <c:v>2853</c:v>
                </c:pt>
                <c:pt idx="72">
                  <c:v>3861</c:v>
                </c:pt>
                <c:pt idx="73">
                  <c:v>4224</c:v>
                </c:pt>
                <c:pt idx="74">
                  <c:v>4978</c:v>
                </c:pt>
                <c:pt idx="75">
                  <c:v>3580</c:v>
                </c:pt>
                <c:pt idx="76">
                  <c:v>3326</c:v>
                </c:pt>
                <c:pt idx="77">
                  <c:v>2728</c:v>
                </c:pt>
                <c:pt idx="78">
                  <c:v>3263</c:v>
                </c:pt>
                <c:pt idx="79">
                  <c:v>2089</c:v>
                </c:pt>
                <c:pt idx="80">
                  <c:v>2605</c:v>
                </c:pt>
                <c:pt idx="81">
                  <c:v>4380</c:v>
                </c:pt>
                <c:pt idx="82">
                  <c:v>1483</c:v>
                </c:pt>
                <c:pt idx="83">
                  <c:v>7509</c:v>
                </c:pt>
                <c:pt idx="84">
                  <c:v>3532</c:v>
                </c:pt>
                <c:pt idx="85">
                  <c:v>1542</c:v>
                </c:pt>
                <c:pt idx="86">
                  <c:v>725</c:v>
                </c:pt>
                <c:pt idx="87">
                  <c:v>2005</c:v>
                </c:pt>
                <c:pt idx="88">
                  <c:v>5564</c:v>
                </c:pt>
                <c:pt idx="89">
                  <c:v>4664</c:v>
                </c:pt>
                <c:pt idx="90">
                  <c:v>5475</c:v>
                </c:pt>
                <c:pt idx="91">
                  <c:v>5135</c:v>
                </c:pt>
                <c:pt idx="92">
                  <c:v>4504</c:v>
                </c:pt>
                <c:pt idx="93">
                  <c:v>7464</c:v>
                </c:pt>
                <c:pt idx="94">
                  <c:v>5523</c:v>
                </c:pt>
                <c:pt idx="95">
                  <c:v>4347</c:v>
                </c:pt>
                <c:pt idx="96">
                  <c:v>6700</c:v>
                </c:pt>
                <c:pt idx="97">
                  <c:v>4865</c:v>
                </c:pt>
                <c:pt idx="98">
                  <c:v>4449</c:v>
                </c:pt>
                <c:pt idx="99">
                  <c:v>2354</c:v>
                </c:pt>
                <c:pt idx="100">
                  <c:v>2528</c:v>
                </c:pt>
                <c:pt idx="101">
                  <c:v>3219</c:v>
                </c:pt>
                <c:pt idx="102">
                  <c:v>7449</c:v>
                </c:pt>
                <c:pt idx="103">
                  <c:v>2546</c:v>
                </c:pt>
                <c:pt idx="104">
                  <c:v>2069</c:v>
                </c:pt>
                <c:pt idx="105">
                  <c:v>3705</c:v>
                </c:pt>
                <c:pt idx="106">
                  <c:v>5021</c:v>
                </c:pt>
                <c:pt idx="107">
                  <c:v>5222</c:v>
                </c:pt>
                <c:pt idx="108">
                  <c:v>4369</c:v>
                </c:pt>
                <c:pt idx="109">
                  <c:v>6637</c:v>
                </c:pt>
                <c:pt idx="110">
                  <c:v>5054</c:v>
                </c:pt>
                <c:pt idx="111">
                  <c:v>7165</c:v>
                </c:pt>
                <c:pt idx="112">
                  <c:v>4581</c:v>
                </c:pt>
                <c:pt idx="113">
                  <c:v>3593</c:v>
                </c:pt>
                <c:pt idx="114">
                  <c:v>4896</c:v>
                </c:pt>
                <c:pt idx="115">
                  <c:v>4454</c:v>
                </c:pt>
                <c:pt idx="116">
                  <c:v>4709</c:v>
                </c:pt>
                <c:pt idx="117">
                  <c:v>4034</c:v>
                </c:pt>
                <c:pt idx="118">
                  <c:v>2279</c:v>
                </c:pt>
                <c:pt idx="119">
                  <c:v>2668</c:v>
                </c:pt>
                <c:pt idx="120">
                  <c:v>2926</c:v>
                </c:pt>
                <c:pt idx="121">
                  <c:v>4924</c:v>
                </c:pt>
                <c:pt idx="122">
                  <c:v>3691</c:v>
                </c:pt>
                <c:pt idx="123">
                  <c:v>2936</c:v>
                </c:pt>
                <c:pt idx="124">
                  <c:v>2399</c:v>
                </c:pt>
                <c:pt idx="125">
                  <c:v>3198</c:v>
                </c:pt>
                <c:pt idx="126">
                  <c:v>4102</c:v>
                </c:pt>
                <c:pt idx="127">
                  <c:v>3641</c:v>
                </c:pt>
                <c:pt idx="128">
                  <c:v>2652</c:v>
                </c:pt>
                <c:pt idx="129">
                  <c:v>4290</c:v>
                </c:pt>
                <c:pt idx="130">
                  <c:v>6674</c:v>
                </c:pt>
                <c:pt idx="131">
                  <c:v>8532</c:v>
                </c:pt>
                <c:pt idx="132">
                  <c:v>8557</c:v>
                </c:pt>
                <c:pt idx="133">
                  <c:v>4247</c:v>
                </c:pt>
                <c:pt idx="134">
                  <c:v>3673</c:v>
                </c:pt>
                <c:pt idx="135">
                  <c:v>7044</c:v>
                </c:pt>
                <c:pt idx="136">
                  <c:v>6187</c:v>
                </c:pt>
                <c:pt idx="137">
                  <c:v>2479</c:v>
                </c:pt>
                <c:pt idx="138">
                  <c:v>4163</c:v>
                </c:pt>
                <c:pt idx="139">
                  <c:v>3588</c:v>
                </c:pt>
                <c:pt idx="140">
                  <c:v>2566</c:v>
                </c:pt>
                <c:pt idx="141">
                  <c:v>3802</c:v>
                </c:pt>
                <c:pt idx="142">
                  <c:v>2922</c:v>
                </c:pt>
                <c:pt idx="143">
                  <c:v>1182</c:v>
                </c:pt>
                <c:pt idx="144">
                  <c:v>2742</c:v>
                </c:pt>
                <c:pt idx="145">
                  <c:v>3009</c:v>
                </c:pt>
                <c:pt idx="146">
                  <c:v>3063</c:v>
                </c:pt>
                <c:pt idx="147">
                  <c:v>7150</c:v>
                </c:pt>
                <c:pt idx="148">
                  <c:v>3042</c:v>
                </c:pt>
                <c:pt idx="149">
                  <c:v>3922</c:v>
                </c:pt>
                <c:pt idx="150">
                  <c:v>4663</c:v>
                </c:pt>
                <c:pt idx="151">
                  <c:v>6206</c:v>
                </c:pt>
                <c:pt idx="152">
                  <c:v>4023</c:v>
                </c:pt>
                <c:pt idx="153">
                  <c:v>6649</c:v>
                </c:pt>
                <c:pt idx="154">
                  <c:v>5114</c:v>
                </c:pt>
                <c:pt idx="155">
                  <c:v>6742</c:v>
                </c:pt>
                <c:pt idx="156">
                  <c:v>6958</c:v>
                </c:pt>
                <c:pt idx="157">
                  <c:v>3454</c:v>
                </c:pt>
                <c:pt idx="158">
                  <c:v>3819</c:v>
                </c:pt>
                <c:pt idx="159">
                  <c:v>4177</c:v>
                </c:pt>
                <c:pt idx="160">
                  <c:v>3631</c:v>
                </c:pt>
                <c:pt idx="161">
                  <c:v>4270</c:v>
                </c:pt>
                <c:pt idx="162">
                  <c:v>2423</c:v>
                </c:pt>
                <c:pt idx="163">
                  <c:v>2240</c:v>
                </c:pt>
                <c:pt idx="164">
                  <c:v>2911</c:v>
                </c:pt>
                <c:pt idx="165">
                  <c:v>2314</c:v>
                </c:pt>
                <c:pt idx="166">
                  <c:v>3541</c:v>
                </c:pt>
                <c:pt idx="167">
                  <c:v>1448</c:v>
                </c:pt>
                <c:pt idx="168">
                  <c:v>4404</c:v>
                </c:pt>
                <c:pt idx="169">
                  <c:v>4574</c:v>
                </c:pt>
                <c:pt idx="170">
                  <c:v>4229</c:v>
                </c:pt>
                <c:pt idx="171">
                  <c:v>3458</c:v>
                </c:pt>
                <c:pt idx="172">
                  <c:v>2972</c:v>
                </c:pt>
                <c:pt idx="173">
                  <c:v>4018</c:v>
                </c:pt>
                <c:pt idx="174">
                  <c:v>6889</c:v>
                </c:pt>
                <c:pt idx="175">
                  <c:v>9013</c:v>
                </c:pt>
                <c:pt idx="176">
                  <c:v>7398</c:v>
                </c:pt>
                <c:pt idx="177">
                  <c:v>6613</c:v>
                </c:pt>
                <c:pt idx="178">
                  <c:v>6458</c:v>
                </c:pt>
                <c:pt idx="179">
                  <c:v>6534</c:v>
                </c:pt>
                <c:pt idx="180">
                  <c:v>6475</c:v>
                </c:pt>
                <c:pt idx="181">
                  <c:v>5015</c:v>
                </c:pt>
                <c:pt idx="182">
                  <c:v>6549</c:v>
                </c:pt>
                <c:pt idx="183">
                  <c:v>6966</c:v>
                </c:pt>
                <c:pt idx="184">
                  <c:v>10171</c:v>
                </c:pt>
                <c:pt idx="185">
                  <c:v>6865</c:v>
                </c:pt>
                <c:pt idx="186">
                  <c:v>11238</c:v>
                </c:pt>
                <c:pt idx="187">
                  <c:v>7896</c:v>
                </c:pt>
                <c:pt idx="188">
                  <c:v>5113</c:v>
                </c:pt>
                <c:pt idx="189">
                  <c:v>2701</c:v>
                </c:pt>
                <c:pt idx="190">
                  <c:v>2154</c:v>
                </c:pt>
                <c:pt idx="191">
                  <c:v>3014</c:v>
                </c:pt>
                <c:pt idx="192">
                  <c:v>3070</c:v>
                </c:pt>
                <c:pt idx="193">
                  <c:v>1686</c:v>
                </c:pt>
                <c:pt idx="194">
                  <c:v>1213</c:v>
                </c:pt>
                <c:pt idx="195">
                  <c:v>1486</c:v>
                </c:pt>
                <c:pt idx="196">
                  <c:v>1109</c:v>
                </c:pt>
                <c:pt idx="197">
                  <c:v>524</c:v>
                </c:pt>
                <c:pt idx="198">
                  <c:v>641</c:v>
                </c:pt>
                <c:pt idx="199">
                  <c:v>757</c:v>
                </c:pt>
                <c:pt idx="200">
                  <c:v>799</c:v>
                </c:pt>
                <c:pt idx="201">
                  <c:v>728</c:v>
                </c:pt>
                <c:pt idx="202">
                  <c:v>668</c:v>
                </c:pt>
                <c:pt idx="203">
                  <c:v>594</c:v>
                </c:pt>
                <c:pt idx="204">
                  <c:v>615</c:v>
                </c:pt>
                <c:pt idx="205">
                  <c:v>377</c:v>
                </c:pt>
                <c:pt idx="206">
                  <c:v>936</c:v>
                </c:pt>
                <c:pt idx="207">
                  <c:v>1050</c:v>
                </c:pt>
                <c:pt idx="208">
                  <c:v>445</c:v>
                </c:pt>
                <c:pt idx="209">
                  <c:v>316</c:v>
                </c:pt>
                <c:pt idx="210">
                  <c:v>903</c:v>
                </c:pt>
                <c:pt idx="211">
                  <c:v>953</c:v>
                </c:pt>
                <c:pt idx="212">
                  <c:v>400</c:v>
                </c:pt>
                <c:pt idx="213">
                  <c:v>494</c:v>
                </c:pt>
                <c:pt idx="214">
                  <c:v>1459</c:v>
                </c:pt>
                <c:pt idx="215">
                  <c:v>1081</c:v>
                </c:pt>
                <c:pt idx="216">
                  <c:v>1622</c:v>
                </c:pt>
                <c:pt idx="217">
                  <c:v>938</c:v>
                </c:pt>
                <c:pt idx="218">
                  <c:v>1049</c:v>
                </c:pt>
                <c:pt idx="219">
                  <c:v>954</c:v>
                </c:pt>
                <c:pt idx="220">
                  <c:v>695</c:v>
                </c:pt>
                <c:pt idx="221">
                  <c:v>532</c:v>
                </c:pt>
                <c:pt idx="222">
                  <c:v>685</c:v>
                </c:pt>
                <c:pt idx="223">
                  <c:v>795</c:v>
                </c:pt>
                <c:pt idx="224">
                  <c:v>812</c:v>
                </c:pt>
                <c:pt idx="225">
                  <c:v>1468</c:v>
                </c:pt>
                <c:pt idx="226">
                  <c:v>1045</c:v>
                </c:pt>
                <c:pt idx="227">
                  <c:v>1419</c:v>
                </c:pt>
                <c:pt idx="228">
                  <c:v>1220</c:v>
                </c:pt>
                <c:pt idx="229">
                  <c:v>1246</c:v>
                </c:pt>
                <c:pt idx="230">
                  <c:v>1272</c:v>
                </c:pt>
                <c:pt idx="231">
                  <c:v>1567</c:v>
                </c:pt>
                <c:pt idx="232">
                  <c:v>1542</c:v>
                </c:pt>
                <c:pt idx="233">
                  <c:v>1401</c:v>
                </c:pt>
                <c:pt idx="234">
                  <c:v>1243</c:v>
                </c:pt>
                <c:pt idx="235">
                  <c:v>913</c:v>
                </c:pt>
                <c:pt idx="236">
                  <c:v>638</c:v>
                </c:pt>
                <c:pt idx="237">
                  <c:v>628</c:v>
                </c:pt>
                <c:pt idx="238">
                  <c:v>639</c:v>
                </c:pt>
                <c:pt idx="239">
                  <c:v>945</c:v>
                </c:pt>
                <c:pt idx="240">
                  <c:v>1354</c:v>
                </c:pt>
                <c:pt idx="241">
                  <c:v>1474</c:v>
                </c:pt>
                <c:pt idx="242">
                  <c:v>1731</c:v>
                </c:pt>
                <c:pt idx="243">
                  <c:v>1279</c:v>
                </c:pt>
                <c:pt idx="244">
                  <c:v>1648</c:v>
                </c:pt>
                <c:pt idx="245">
                  <c:v>1521</c:v>
                </c:pt>
              </c:numCache>
            </c:numRef>
          </c:val>
        </c:ser>
        <c:gapWidth val="0"/>
        <c:axId val="135471104"/>
        <c:axId val="135472640"/>
      </c:barChart>
      <c:lineChart>
        <c:grouping val="standard"/>
        <c:ser>
          <c:idx val="2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[2]DATA!$B$489:$B$734</c:f>
              <c:numCache>
                <c:formatCode>General</c:formatCode>
                <c:ptCount val="246"/>
                <c:pt idx="0">
                  <c:v>8314</c:v>
                </c:pt>
                <c:pt idx="1">
                  <c:v>9094</c:v>
                </c:pt>
                <c:pt idx="2">
                  <c:v>9342</c:v>
                </c:pt>
                <c:pt idx="3">
                  <c:v>10508</c:v>
                </c:pt>
                <c:pt idx="4">
                  <c:v>11511</c:v>
                </c:pt>
                <c:pt idx="5">
                  <c:v>11170</c:v>
                </c:pt>
                <c:pt idx="6">
                  <c:v>11219</c:v>
                </c:pt>
                <c:pt idx="7">
                  <c:v>9421</c:v>
                </c:pt>
                <c:pt idx="8">
                  <c:v>10060</c:v>
                </c:pt>
                <c:pt idx="9">
                  <c:v>9725</c:v>
                </c:pt>
                <c:pt idx="10">
                  <c:v>10050</c:v>
                </c:pt>
                <c:pt idx="11">
                  <c:v>11511</c:v>
                </c:pt>
                <c:pt idx="12">
                  <c:v>11793</c:v>
                </c:pt>
                <c:pt idx="13">
                  <c:v>11090</c:v>
                </c:pt>
                <c:pt idx="14">
                  <c:v>11489</c:v>
                </c:pt>
                <c:pt idx="15">
                  <c:v>13165</c:v>
                </c:pt>
                <c:pt idx="16">
                  <c:v>13470</c:v>
                </c:pt>
                <c:pt idx="17">
                  <c:v>12481</c:v>
                </c:pt>
                <c:pt idx="18">
                  <c:v>11811</c:v>
                </c:pt>
                <c:pt idx="19">
                  <c:v>11482</c:v>
                </c:pt>
                <c:pt idx="20">
                  <c:v>7614</c:v>
                </c:pt>
                <c:pt idx="21">
                  <c:v>7851</c:v>
                </c:pt>
                <c:pt idx="22">
                  <c:v>7885</c:v>
                </c:pt>
                <c:pt idx="23">
                  <c:v>8193</c:v>
                </c:pt>
                <c:pt idx="24">
                  <c:v>8432</c:v>
                </c:pt>
                <c:pt idx="25">
                  <c:v>9345</c:v>
                </c:pt>
                <c:pt idx="26">
                  <c:v>9335</c:v>
                </c:pt>
                <c:pt idx="27">
                  <c:v>9770</c:v>
                </c:pt>
                <c:pt idx="28">
                  <c:v>9522</c:v>
                </c:pt>
                <c:pt idx="29">
                  <c:v>10560</c:v>
                </c:pt>
                <c:pt idx="30">
                  <c:v>11716</c:v>
                </c:pt>
                <c:pt idx="31">
                  <c:v>11375</c:v>
                </c:pt>
                <c:pt idx="32">
                  <c:v>12696</c:v>
                </c:pt>
                <c:pt idx="33">
                  <c:v>10348</c:v>
                </c:pt>
                <c:pt idx="34">
                  <c:v>12293</c:v>
                </c:pt>
                <c:pt idx="35">
                  <c:v>13864</c:v>
                </c:pt>
                <c:pt idx="36">
                  <c:v>15131</c:v>
                </c:pt>
                <c:pt idx="37">
                  <c:v>8787</c:v>
                </c:pt>
                <c:pt idx="38">
                  <c:v>11059</c:v>
                </c:pt>
                <c:pt idx="39">
                  <c:v>10987</c:v>
                </c:pt>
                <c:pt idx="40">
                  <c:v>10537</c:v>
                </c:pt>
                <c:pt idx="41">
                  <c:v>12034</c:v>
                </c:pt>
                <c:pt idx="42">
                  <c:v>12329</c:v>
                </c:pt>
                <c:pt idx="43">
                  <c:v>13172</c:v>
                </c:pt>
                <c:pt idx="44">
                  <c:v>13328</c:v>
                </c:pt>
                <c:pt idx="45">
                  <c:v>14030</c:v>
                </c:pt>
                <c:pt idx="46">
                  <c:v>14952</c:v>
                </c:pt>
                <c:pt idx="47">
                  <c:v>12921</c:v>
                </c:pt>
                <c:pt idx="48">
                  <c:v>12555</c:v>
                </c:pt>
                <c:pt idx="49">
                  <c:v>11122</c:v>
                </c:pt>
                <c:pt idx="50">
                  <c:v>11753</c:v>
                </c:pt>
                <c:pt idx="51">
                  <c:v>13435</c:v>
                </c:pt>
                <c:pt idx="52">
                  <c:v>15324</c:v>
                </c:pt>
                <c:pt idx="53">
                  <c:v>15640</c:v>
                </c:pt>
                <c:pt idx="54">
                  <c:v>15288</c:v>
                </c:pt>
                <c:pt idx="55">
                  <c:v>14605</c:v>
                </c:pt>
                <c:pt idx="56">
                  <c:v>8844</c:v>
                </c:pt>
                <c:pt idx="57">
                  <c:v>9345</c:v>
                </c:pt>
                <c:pt idx="58">
                  <c:v>9912</c:v>
                </c:pt>
                <c:pt idx="59">
                  <c:v>10809</c:v>
                </c:pt>
                <c:pt idx="60">
                  <c:v>11262</c:v>
                </c:pt>
                <c:pt idx="61">
                  <c:v>11285</c:v>
                </c:pt>
                <c:pt idx="62">
                  <c:v>11522</c:v>
                </c:pt>
                <c:pt idx="63">
                  <c:v>12001</c:v>
                </c:pt>
                <c:pt idx="64">
                  <c:v>12463</c:v>
                </c:pt>
                <c:pt idx="65">
                  <c:v>12240</c:v>
                </c:pt>
                <c:pt idx="66">
                  <c:v>12782</c:v>
                </c:pt>
                <c:pt idx="67">
                  <c:v>12737</c:v>
                </c:pt>
                <c:pt idx="68">
                  <c:v>12801</c:v>
                </c:pt>
                <c:pt idx="69">
                  <c:v>12644</c:v>
                </c:pt>
                <c:pt idx="70">
                  <c:v>13470</c:v>
                </c:pt>
                <c:pt idx="71">
                  <c:v>13773</c:v>
                </c:pt>
                <c:pt idx="72">
                  <c:v>15739</c:v>
                </c:pt>
                <c:pt idx="73">
                  <c:v>16508</c:v>
                </c:pt>
                <c:pt idx="74">
                  <c:v>18232</c:v>
                </c:pt>
                <c:pt idx="75">
                  <c:v>18476</c:v>
                </c:pt>
                <c:pt idx="76">
                  <c:v>17535</c:v>
                </c:pt>
                <c:pt idx="77">
                  <c:v>16307</c:v>
                </c:pt>
                <c:pt idx="78">
                  <c:v>8603</c:v>
                </c:pt>
                <c:pt idx="79">
                  <c:v>9025</c:v>
                </c:pt>
                <c:pt idx="80">
                  <c:v>10015</c:v>
                </c:pt>
                <c:pt idx="81">
                  <c:v>10985</c:v>
                </c:pt>
                <c:pt idx="82">
                  <c:v>11333</c:v>
                </c:pt>
                <c:pt idx="83">
                  <c:v>15700</c:v>
                </c:pt>
                <c:pt idx="84">
                  <c:v>16603</c:v>
                </c:pt>
                <c:pt idx="85">
                  <c:v>16253</c:v>
                </c:pt>
                <c:pt idx="86">
                  <c:v>15686</c:v>
                </c:pt>
                <c:pt idx="87">
                  <c:v>16958</c:v>
                </c:pt>
                <c:pt idx="88">
                  <c:v>18923</c:v>
                </c:pt>
                <c:pt idx="89">
                  <c:v>20041</c:v>
                </c:pt>
                <c:pt idx="90">
                  <c:v>21831</c:v>
                </c:pt>
                <c:pt idx="91">
                  <c:v>23966</c:v>
                </c:pt>
                <c:pt idx="92">
                  <c:v>23023</c:v>
                </c:pt>
                <c:pt idx="93">
                  <c:v>26218</c:v>
                </c:pt>
                <c:pt idx="94">
                  <c:v>24545</c:v>
                </c:pt>
                <c:pt idx="95">
                  <c:v>25676</c:v>
                </c:pt>
                <c:pt idx="96">
                  <c:v>27394</c:v>
                </c:pt>
                <c:pt idx="97">
                  <c:v>25485</c:v>
                </c:pt>
                <c:pt idx="98">
                  <c:v>14527</c:v>
                </c:pt>
                <c:pt idx="99">
                  <c:v>15326</c:v>
                </c:pt>
                <c:pt idx="100">
                  <c:v>15897</c:v>
                </c:pt>
                <c:pt idx="101">
                  <c:v>16800</c:v>
                </c:pt>
                <c:pt idx="102">
                  <c:v>20610</c:v>
                </c:pt>
                <c:pt idx="103">
                  <c:v>18728</c:v>
                </c:pt>
                <c:pt idx="104">
                  <c:v>17595</c:v>
                </c:pt>
                <c:pt idx="105">
                  <c:v>18729</c:v>
                </c:pt>
                <c:pt idx="106">
                  <c:v>20702</c:v>
                </c:pt>
                <c:pt idx="107">
                  <c:v>23246</c:v>
                </c:pt>
                <c:pt idx="108">
                  <c:v>22293</c:v>
                </c:pt>
                <c:pt idx="109">
                  <c:v>24523</c:v>
                </c:pt>
                <c:pt idx="110">
                  <c:v>25329</c:v>
                </c:pt>
                <c:pt idx="111">
                  <c:v>28435</c:v>
                </c:pt>
                <c:pt idx="112">
                  <c:v>27669</c:v>
                </c:pt>
                <c:pt idx="113">
                  <c:v>28491</c:v>
                </c:pt>
                <c:pt idx="114">
                  <c:v>28107</c:v>
                </c:pt>
                <c:pt idx="115">
                  <c:v>29857</c:v>
                </c:pt>
                <c:pt idx="116">
                  <c:v>28422</c:v>
                </c:pt>
                <c:pt idx="117">
                  <c:v>15973</c:v>
                </c:pt>
                <c:pt idx="118">
                  <c:v>16957</c:v>
                </c:pt>
                <c:pt idx="119">
                  <c:v>16919</c:v>
                </c:pt>
                <c:pt idx="120">
                  <c:v>17506</c:v>
                </c:pt>
                <c:pt idx="121">
                  <c:v>19964</c:v>
                </c:pt>
                <c:pt idx="122">
                  <c:v>20827</c:v>
                </c:pt>
                <c:pt idx="123">
                  <c:v>21109</c:v>
                </c:pt>
                <c:pt idx="124">
                  <c:v>19304</c:v>
                </c:pt>
                <c:pt idx="125">
                  <c:v>20689</c:v>
                </c:pt>
                <c:pt idx="126">
                  <c:v>22421</c:v>
                </c:pt>
                <c:pt idx="127">
                  <c:v>21396</c:v>
                </c:pt>
                <c:pt idx="128">
                  <c:v>22644</c:v>
                </c:pt>
                <c:pt idx="129">
                  <c:v>24485</c:v>
                </c:pt>
                <c:pt idx="130">
                  <c:v>25898</c:v>
                </c:pt>
                <c:pt idx="131">
                  <c:v>29431</c:v>
                </c:pt>
                <c:pt idx="132">
                  <c:v>31861</c:v>
                </c:pt>
                <c:pt idx="133">
                  <c:v>27768</c:v>
                </c:pt>
                <c:pt idx="134">
                  <c:v>25154</c:v>
                </c:pt>
                <c:pt idx="135">
                  <c:v>28400</c:v>
                </c:pt>
                <c:pt idx="136">
                  <c:v>32570</c:v>
                </c:pt>
                <c:pt idx="137">
                  <c:v>33243</c:v>
                </c:pt>
                <c:pt idx="138">
                  <c:v>32215</c:v>
                </c:pt>
                <c:pt idx="139">
                  <c:v>18442</c:v>
                </c:pt>
                <c:pt idx="140">
                  <c:v>19181</c:v>
                </c:pt>
                <c:pt idx="141">
                  <c:v>20906</c:v>
                </c:pt>
                <c:pt idx="142">
                  <c:v>21704</c:v>
                </c:pt>
                <c:pt idx="143">
                  <c:v>21517</c:v>
                </c:pt>
                <c:pt idx="144">
                  <c:v>20368</c:v>
                </c:pt>
                <c:pt idx="145">
                  <c:v>21401</c:v>
                </c:pt>
                <c:pt idx="146">
                  <c:v>22734</c:v>
                </c:pt>
                <c:pt idx="147">
                  <c:v>23776</c:v>
                </c:pt>
                <c:pt idx="148">
                  <c:v>24646</c:v>
                </c:pt>
                <c:pt idx="149">
                  <c:v>25425</c:v>
                </c:pt>
                <c:pt idx="150">
                  <c:v>25948</c:v>
                </c:pt>
                <c:pt idx="151">
                  <c:v>27860</c:v>
                </c:pt>
                <c:pt idx="152">
                  <c:v>25929</c:v>
                </c:pt>
                <c:pt idx="153">
                  <c:v>27840</c:v>
                </c:pt>
                <c:pt idx="154">
                  <c:v>24511</c:v>
                </c:pt>
                <c:pt idx="155">
                  <c:v>27483</c:v>
                </c:pt>
                <c:pt idx="156">
                  <c:v>30508</c:v>
                </c:pt>
                <c:pt idx="157">
                  <c:v>28275</c:v>
                </c:pt>
                <c:pt idx="158">
                  <c:v>29869</c:v>
                </c:pt>
                <c:pt idx="159">
                  <c:v>30710</c:v>
                </c:pt>
                <c:pt idx="160">
                  <c:v>28330</c:v>
                </c:pt>
                <c:pt idx="161">
                  <c:v>16446</c:v>
                </c:pt>
                <c:pt idx="162">
                  <c:v>17304</c:v>
                </c:pt>
                <c:pt idx="163">
                  <c:v>17833</c:v>
                </c:pt>
                <c:pt idx="164">
                  <c:v>18564</c:v>
                </c:pt>
                <c:pt idx="165">
                  <c:v>18976</c:v>
                </c:pt>
                <c:pt idx="166">
                  <c:v>19621</c:v>
                </c:pt>
                <c:pt idx="167">
                  <c:v>19835</c:v>
                </c:pt>
                <c:pt idx="168">
                  <c:v>21070</c:v>
                </c:pt>
                <c:pt idx="169">
                  <c:v>23355</c:v>
                </c:pt>
                <c:pt idx="170">
                  <c:v>21701</c:v>
                </c:pt>
                <c:pt idx="171">
                  <c:v>21289</c:v>
                </c:pt>
                <c:pt idx="172">
                  <c:v>22112</c:v>
                </c:pt>
                <c:pt idx="173">
                  <c:v>23863</c:v>
                </c:pt>
                <c:pt idx="174">
                  <c:v>25081</c:v>
                </c:pt>
                <c:pt idx="175">
                  <c:v>28112</c:v>
                </c:pt>
                <c:pt idx="176">
                  <c:v>30064</c:v>
                </c:pt>
                <c:pt idx="177">
                  <c:v>32362</c:v>
                </c:pt>
                <c:pt idx="178">
                  <c:v>30814</c:v>
                </c:pt>
                <c:pt idx="179">
                  <c:v>29254</c:v>
                </c:pt>
                <c:pt idx="180">
                  <c:v>30713</c:v>
                </c:pt>
                <c:pt idx="181">
                  <c:v>14293</c:v>
                </c:pt>
                <c:pt idx="182">
                  <c:v>16151</c:v>
                </c:pt>
                <c:pt idx="183">
                  <c:v>18052</c:v>
                </c:pt>
                <c:pt idx="184">
                  <c:v>20377</c:v>
                </c:pt>
                <c:pt idx="185">
                  <c:v>14489</c:v>
                </c:pt>
                <c:pt idx="186">
                  <c:v>18329</c:v>
                </c:pt>
                <c:pt idx="187">
                  <c:v>18823</c:v>
                </c:pt>
                <c:pt idx="188">
                  <c:v>14951</c:v>
                </c:pt>
                <c:pt idx="189">
                  <c:v>12888</c:v>
                </c:pt>
                <c:pt idx="190">
                  <c:v>9970</c:v>
                </c:pt>
                <c:pt idx="191">
                  <c:v>10340</c:v>
                </c:pt>
                <c:pt idx="192">
                  <c:v>9529</c:v>
                </c:pt>
                <c:pt idx="193">
                  <c:v>9140</c:v>
                </c:pt>
                <c:pt idx="194">
                  <c:v>7439</c:v>
                </c:pt>
                <c:pt idx="195">
                  <c:v>7432</c:v>
                </c:pt>
                <c:pt idx="196">
                  <c:v>7551</c:v>
                </c:pt>
                <c:pt idx="197">
                  <c:v>6967</c:v>
                </c:pt>
                <c:pt idx="198">
                  <c:v>7029</c:v>
                </c:pt>
                <c:pt idx="199">
                  <c:v>3814</c:v>
                </c:pt>
                <c:pt idx="200">
                  <c:v>3815</c:v>
                </c:pt>
                <c:pt idx="201">
                  <c:v>3534</c:v>
                </c:pt>
                <c:pt idx="202">
                  <c:v>681</c:v>
                </c:pt>
                <c:pt idx="203">
                  <c:v>940</c:v>
                </c:pt>
                <c:pt idx="204">
                  <c:v>1075</c:v>
                </c:pt>
                <c:pt idx="205">
                  <c:v>1051</c:v>
                </c:pt>
                <c:pt idx="206">
                  <c:v>1184</c:v>
                </c:pt>
                <c:pt idx="207">
                  <c:v>1221</c:v>
                </c:pt>
                <c:pt idx="208">
                  <c:v>1255</c:v>
                </c:pt>
                <c:pt idx="209">
                  <c:v>1313</c:v>
                </c:pt>
                <c:pt idx="210">
                  <c:v>1376</c:v>
                </c:pt>
                <c:pt idx="211">
                  <c:v>1405</c:v>
                </c:pt>
                <c:pt idx="212">
                  <c:v>1474</c:v>
                </c:pt>
                <c:pt idx="213">
                  <c:v>1608</c:v>
                </c:pt>
                <c:pt idx="214">
                  <c:v>1722</c:v>
                </c:pt>
                <c:pt idx="215">
                  <c:v>1827</c:v>
                </c:pt>
                <c:pt idx="216">
                  <c:v>2158</c:v>
                </c:pt>
                <c:pt idx="217">
                  <c:v>2211</c:v>
                </c:pt>
                <c:pt idx="218">
                  <c:v>2221</c:v>
                </c:pt>
                <c:pt idx="219">
                  <c:v>2106</c:v>
                </c:pt>
                <c:pt idx="220">
                  <c:v>2147</c:v>
                </c:pt>
                <c:pt idx="221">
                  <c:v>2261</c:v>
                </c:pt>
                <c:pt idx="222">
                  <c:v>2147</c:v>
                </c:pt>
                <c:pt idx="223">
                  <c:v>1240</c:v>
                </c:pt>
                <c:pt idx="224">
                  <c:v>1416</c:v>
                </c:pt>
                <c:pt idx="225">
                  <c:v>1635</c:v>
                </c:pt>
                <c:pt idx="226">
                  <c:v>1835</c:v>
                </c:pt>
                <c:pt idx="227">
                  <c:v>2174</c:v>
                </c:pt>
                <c:pt idx="228">
                  <c:v>1953</c:v>
                </c:pt>
                <c:pt idx="229">
                  <c:v>2182</c:v>
                </c:pt>
                <c:pt idx="230">
                  <c:v>2172</c:v>
                </c:pt>
                <c:pt idx="231">
                  <c:v>2476</c:v>
                </c:pt>
                <c:pt idx="232">
                  <c:v>2374</c:v>
                </c:pt>
                <c:pt idx="233">
                  <c:v>2441</c:v>
                </c:pt>
                <c:pt idx="234">
                  <c:v>2625</c:v>
                </c:pt>
                <c:pt idx="235">
                  <c:v>2528</c:v>
                </c:pt>
                <c:pt idx="236">
                  <c:v>2428</c:v>
                </c:pt>
                <c:pt idx="237">
                  <c:v>2538</c:v>
                </c:pt>
                <c:pt idx="238">
                  <c:v>2533</c:v>
                </c:pt>
                <c:pt idx="239">
                  <c:v>2544</c:v>
                </c:pt>
                <c:pt idx="240">
                  <c:v>2613</c:v>
                </c:pt>
                <c:pt idx="241">
                  <c:v>2536</c:v>
                </c:pt>
                <c:pt idx="242">
                  <c:v>2536</c:v>
                </c:pt>
                <c:pt idx="243">
                  <c:v>2722</c:v>
                </c:pt>
                <c:pt idx="244">
                  <c:v>2237</c:v>
                </c:pt>
                <c:pt idx="245">
                  <c:v>1974</c:v>
                </c:pt>
              </c:numCache>
            </c:numRef>
          </c:val>
        </c:ser>
        <c:marker val="1"/>
        <c:axId val="135459584"/>
        <c:axId val="135461120"/>
      </c:lineChart>
      <c:catAx>
        <c:axId val="13545958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61120"/>
        <c:crosses val="autoZero"/>
        <c:lblAlgn val="ctr"/>
        <c:lblOffset val="100"/>
        <c:tickLblSkip val="2"/>
        <c:tickMarkSkip val="1"/>
      </c:catAx>
      <c:valAx>
        <c:axId val="135461120"/>
        <c:scaling>
          <c:orientation val="minMax"/>
          <c:max val="36000"/>
          <c:min val="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59584"/>
        <c:crosses val="autoZero"/>
        <c:crossBetween val="between"/>
        <c:majorUnit val="4000"/>
      </c:valAx>
      <c:catAx>
        <c:axId val="135471104"/>
        <c:scaling>
          <c:orientation val="minMax"/>
        </c:scaling>
        <c:delete val="1"/>
        <c:axPos val="b"/>
        <c:numFmt formatCode="General" sourceLinked="1"/>
        <c:tickLblPos val="nextTo"/>
        <c:crossAx val="135472640"/>
        <c:crosses val="autoZero"/>
        <c:lblAlgn val="ctr"/>
        <c:lblOffset val="100"/>
      </c:catAx>
      <c:valAx>
        <c:axId val="135472640"/>
        <c:scaling>
          <c:orientation val="minMax"/>
          <c:max val="14000"/>
          <c:min val="0"/>
        </c:scaling>
        <c:axPos val="r"/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71104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OKLI (At the money Premium Value)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3"/>
          <c:order val="1"/>
          <c:tx>
            <c:strRef>
              <c:f>[2]DATA!$E$3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808080"/>
              </a:solidFill>
              <a:prstDash val="solid"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[2]DATA!$E$489:$E$734</c:f>
              <c:numCache>
                <c:formatCode>General</c:formatCode>
                <c:ptCount val="246"/>
                <c:pt idx="0">
                  <c:v>536.95000000000005</c:v>
                </c:pt>
                <c:pt idx="1">
                  <c:v>548.05999999999995</c:v>
                </c:pt>
                <c:pt idx="2">
                  <c:v>575.89</c:v>
                </c:pt>
                <c:pt idx="3">
                  <c:v>607.4</c:v>
                </c:pt>
                <c:pt idx="4">
                  <c:v>676.47</c:v>
                </c:pt>
                <c:pt idx="5">
                  <c:v>629.15</c:v>
                </c:pt>
                <c:pt idx="6">
                  <c:v>636.36</c:v>
                </c:pt>
                <c:pt idx="7">
                  <c:v>589.17999999999995</c:v>
                </c:pt>
                <c:pt idx="8">
                  <c:v>574.91999999999996</c:v>
                </c:pt>
                <c:pt idx="9">
                  <c:v>558.47</c:v>
                </c:pt>
                <c:pt idx="10">
                  <c:v>544.30999999999995</c:v>
                </c:pt>
                <c:pt idx="11">
                  <c:v>556.79</c:v>
                </c:pt>
                <c:pt idx="12">
                  <c:v>577.58000000000004</c:v>
                </c:pt>
                <c:pt idx="13">
                  <c:v>578.76</c:v>
                </c:pt>
                <c:pt idx="14">
                  <c:v>569.83000000000004</c:v>
                </c:pt>
                <c:pt idx="15">
                  <c:v>556.35</c:v>
                </c:pt>
                <c:pt idx="16">
                  <c:v>550.35</c:v>
                </c:pt>
                <c:pt idx="17">
                  <c:v>560.96</c:v>
                </c:pt>
                <c:pt idx="18">
                  <c:v>568.66</c:v>
                </c:pt>
                <c:pt idx="19">
                  <c:v>589.39</c:v>
                </c:pt>
                <c:pt idx="20">
                  <c:v>594.44000000000005</c:v>
                </c:pt>
                <c:pt idx="21">
                  <c:v>571.96</c:v>
                </c:pt>
                <c:pt idx="22">
                  <c:v>546.79</c:v>
                </c:pt>
                <c:pt idx="23">
                  <c:v>525.74</c:v>
                </c:pt>
                <c:pt idx="24">
                  <c:v>521</c:v>
                </c:pt>
                <c:pt idx="25">
                  <c:v>507.16</c:v>
                </c:pt>
                <c:pt idx="26">
                  <c:v>491.6</c:v>
                </c:pt>
                <c:pt idx="27">
                  <c:v>477.57</c:v>
                </c:pt>
                <c:pt idx="28">
                  <c:v>503.89</c:v>
                </c:pt>
                <c:pt idx="29">
                  <c:v>536.67999999999995</c:v>
                </c:pt>
                <c:pt idx="30">
                  <c:v>525.47</c:v>
                </c:pt>
                <c:pt idx="31">
                  <c:v>539.97</c:v>
                </c:pt>
                <c:pt idx="32">
                  <c:v>589.08000000000004</c:v>
                </c:pt>
                <c:pt idx="33">
                  <c:v>585.35</c:v>
                </c:pt>
                <c:pt idx="34">
                  <c:v>590.54999999999995</c:v>
                </c:pt>
                <c:pt idx="35">
                  <c:v>575.21</c:v>
                </c:pt>
                <c:pt idx="36">
                  <c:v>558.57000000000005</c:v>
                </c:pt>
                <c:pt idx="37">
                  <c:v>569.51</c:v>
                </c:pt>
                <c:pt idx="38">
                  <c:v>701.31</c:v>
                </c:pt>
                <c:pt idx="39">
                  <c:v>690.76</c:v>
                </c:pt>
                <c:pt idx="40">
                  <c:v>712.81</c:v>
                </c:pt>
                <c:pt idx="41">
                  <c:v>728.19</c:v>
                </c:pt>
                <c:pt idx="42">
                  <c:v>727.4</c:v>
                </c:pt>
                <c:pt idx="43">
                  <c:v>742.57</c:v>
                </c:pt>
                <c:pt idx="44">
                  <c:v>739.87</c:v>
                </c:pt>
                <c:pt idx="45">
                  <c:v>697.43</c:v>
                </c:pt>
                <c:pt idx="46">
                  <c:v>685.5</c:v>
                </c:pt>
                <c:pt idx="47">
                  <c:v>661.94</c:v>
                </c:pt>
                <c:pt idx="48">
                  <c:v>690.83</c:v>
                </c:pt>
                <c:pt idx="49">
                  <c:v>704.9</c:v>
                </c:pt>
                <c:pt idx="50">
                  <c:v>723.5</c:v>
                </c:pt>
                <c:pt idx="51">
                  <c:v>728.06</c:v>
                </c:pt>
                <c:pt idx="52">
                  <c:v>720.46</c:v>
                </c:pt>
                <c:pt idx="53">
                  <c:v>729.84</c:v>
                </c:pt>
                <c:pt idx="54">
                  <c:v>712.81</c:v>
                </c:pt>
                <c:pt idx="55">
                  <c:v>727.7</c:v>
                </c:pt>
                <c:pt idx="56">
                  <c:v>745.36</c:v>
                </c:pt>
                <c:pt idx="57">
                  <c:v>745.12</c:v>
                </c:pt>
                <c:pt idx="58">
                  <c:v>733.03</c:v>
                </c:pt>
                <c:pt idx="59">
                  <c:v>705.94</c:v>
                </c:pt>
                <c:pt idx="60">
                  <c:v>696.79</c:v>
                </c:pt>
                <c:pt idx="61">
                  <c:v>690.36</c:v>
                </c:pt>
                <c:pt idx="62">
                  <c:v>685.88</c:v>
                </c:pt>
                <c:pt idx="63">
                  <c:v>710.47</c:v>
                </c:pt>
                <c:pt idx="64">
                  <c:v>709.91</c:v>
                </c:pt>
                <c:pt idx="65">
                  <c:v>698.23</c:v>
                </c:pt>
                <c:pt idx="66">
                  <c:v>708.16</c:v>
                </c:pt>
                <c:pt idx="67">
                  <c:v>703.61</c:v>
                </c:pt>
                <c:pt idx="68">
                  <c:v>700.21</c:v>
                </c:pt>
                <c:pt idx="69">
                  <c:v>706.55</c:v>
                </c:pt>
                <c:pt idx="70">
                  <c:v>731.04</c:v>
                </c:pt>
                <c:pt idx="71">
                  <c:v>731.24</c:v>
                </c:pt>
                <c:pt idx="72">
                  <c:v>735.79</c:v>
                </c:pt>
                <c:pt idx="73">
                  <c:v>731.89</c:v>
                </c:pt>
                <c:pt idx="74">
                  <c:v>736.78</c:v>
                </c:pt>
                <c:pt idx="75">
                  <c:v>733.31</c:v>
                </c:pt>
                <c:pt idx="76">
                  <c:v>727.62</c:v>
                </c:pt>
                <c:pt idx="77">
                  <c:v>722.96</c:v>
                </c:pt>
                <c:pt idx="78">
                  <c:v>719.52</c:v>
                </c:pt>
                <c:pt idx="79">
                  <c:v>700.05</c:v>
                </c:pt>
                <c:pt idx="80">
                  <c:v>684.27</c:v>
                </c:pt>
                <c:pt idx="81">
                  <c:v>666.48</c:v>
                </c:pt>
                <c:pt idx="82">
                  <c:v>663.77</c:v>
                </c:pt>
                <c:pt idx="83">
                  <c:v>664.28</c:v>
                </c:pt>
                <c:pt idx="84">
                  <c:v>675.93</c:v>
                </c:pt>
                <c:pt idx="85">
                  <c:v>673.14</c:v>
                </c:pt>
                <c:pt idx="86">
                  <c:v>666.93</c:v>
                </c:pt>
                <c:pt idx="87">
                  <c:v>664.84</c:v>
                </c:pt>
                <c:pt idx="88">
                  <c:v>644.62</c:v>
                </c:pt>
                <c:pt idx="89">
                  <c:v>629.34</c:v>
                </c:pt>
                <c:pt idx="90">
                  <c:v>628.78</c:v>
                </c:pt>
                <c:pt idx="91">
                  <c:v>634.29</c:v>
                </c:pt>
                <c:pt idx="92">
                  <c:v>623.98</c:v>
                </c:pt>
                <c:pt idx="93">
                  <c:v>619.66999999999996</c:v>
                </c:pt>
                <c:pt idx="94">
                  <c:v>628.24</c:v>
                </c:pt>
                <c:pt idx="95">
                  <c:v>635.11</c:v>
                </c:pt>
                <c:pt idx="96">
                  <c:v>620.79</c:v>
                </c:pt>
                <c:pt idx="97">
                  <c:v>622.83000000000004</c:v>
                </c:pt>
                <c:pt idx="98">
                  <c:v>625.97</c:v>
                </c:pt>
                <c:pt idx="99">
                  <c:v>627.42999999999995</c:v>
                </c:pt>
                <c:pt idx="100">
                  <c:v>608.4</c:v>
                </c:pt>
                <c:pt idx="101">
                  <c:v>584.62</c:v>
                </c:pt>
                <c:pt idx="102">
                  <c:v>586.83000000000004</c:v>
                </c:pt>
                <c:pt idx="103">
                  <c:v>580.04999999999995</c:v>
                </c:pt>
                <c:pt idx="104">
                  <c:v>569.16999999999996</c:v>
                </c:pt>
                <c:pt idx="105">
                  <c:v>548.33000000000004</c:v>
                </c:pt>
                <c:pt idx="106">
                  <c:v>560.5</c:v>
                </c:pt>
                <c:pt idx="107">
                  <c:v>566.85</c:v>
                </c:pt>
                <c:pt idx="108">
                  <c:v>549.99</c:v>
                </c:pt>
                <c:pt idx="109">
                  <c:v>554.41999999999996</c:v>
                </c:pt>
                <c:pt idx="110">
                  <c:v>569.19000000000005</c:v>
                </c:pt>
                <c:pt idx="111">
                  <c:v>593.62</c:v>
                </c:pt>
                <c:pt idx="112">
                  <c:v>577.23</c:v>
                </c:pt>
                <c:pt idx="113">
                  <c:v>570.54999999999995</c:v>
                </c:pt>
                <c:pt idx="114">
                  <c:v>561.28</c:v>
                </c:pt>
                <c:pt idx="115">
                  <c:v>552.28</c:v>
                </c:pt>
                <c:pt idx="116">
                  <c:v>544.74</c:v>
                </c:pt>
                <c:pt idx="117">
                  <c:v>538.24</c:v>
                </c:pt>
                <c:pt idx="118">
                  <c:v>518</c:v>
                </c:pt>
                <c:pt idx="119">
                  <c:v>520.61</c:v>
                </c:pt>
                <c:pt idx="120">
                  <c:v>526.36</c:v>
                </c:pt>
                <c:pt idx="121">
                  <c:v>518.61</c:v>
                </c:pt>
                <c:pt idx="122">
                  <c:v>505.05</c:v>
                </c:pt>
                <c:pt idx="123">
                  <c:v>497.79</c:v>
                </c:pt>
                <c:pt idx="124">
                  <c:v>505.64</c:v>
                </c:pt>
                <c:pt idx="125">
                  <c:v>489.86</c:v>
                </c:pt>
                <c:pt idx="126">
                  <c:v>483</c:v>
                </c:pt>
                <c:pt idx="127">
                  <c:v>472.37</c:v>
                </c:pt>
                <c:pt idx="128">
                  <c:v>452.24</c:v>
                </c:pt>
                <c:pt idx="129">
                  <c:v>435.84</c:v>
                </c:pt>
                <c:pt idx="130">
                  <c:v>448</c:v>
                </c:pt>
                <c:pt idx="131">
                  <c:v>471.82</c:v>
                </c:pt>
                <c:pt idx="132">
                  <c:v>467.61</c:v>
                </c:pt>
                <c:pt idx="133">
                  <c:v>457.61</c:v>
                </c:pt>
                <c:pt idx="134">
                  <c:v>457.25</c:v>
                </c:pt>
                <c:pt idx="135">
                  <c:v>455.37</c:v>
                </c:pt>
                <c:pt idx="136">
                  <c:v>448.42</c:v>
                </c:pt>
                <c:pt idx="137">
                  <c:v>445.67</c:v>
                </c:pt>
                <c:pt idx="138">
                  <c:v>450.77</c:v>
                </c:pt>
                <c:pt idx="139">
                  <c:v>455.64</c:v>
                </c:pt>
                <c:pt idx="140">
                  <c:v>471.23</c:v>
                </c:pt>
                <c:pt idx="141">
                  <c:v>478.2</c:v>
                </c:pt>
                <c:pt idx="142">
                  <c:v>473.78</c:v>
                </c:pt>
                <c:pt idx="143">
                  <c:v>467.55</c:v>
                </c:pt>
                <c:pt idx="144">
                  <c:v>455.28</c:v>
                </c:pt>
                <c:pt idx="145">
                  <c:v>447.89</c:v>
                </c:pt>
                <c:pt idx="146">
                  <c:v>428.62</c:v>
                </c:pt>
                <c:pt idx="147">
                  <c:v>421.31</c:v>
                </c:pt>
                <c:pt idx="148">
                  <c:v>420.33</c:v>
                </c:pt>
                <c:pt idx="149">
                  <c:v>433.54</c:v>
                </c:pt>
                <c:pt idx="150">
                  <c:v>429.99</c:v>
                </c:pt>
                <c:pt idx="151">
                  <c:v>445.31</c:v>
                </c:pt>
                <c:pt idx="152">
                  <c:v>445.28</c:v>
                </c:pt>
                <c:pt idx="153">
                  <c:v>437.82</c:v>
                </c:pt>
                <c:pt idx="154">
                  <c:v>421.91</c:v>
                </c:pt>
                <c:pt idx="155">
                  <c:v>415.4</c:v>
                </c:pt>
                <c:pt idx="156">
                  <c:v>418.4</c:v>
                </c:pt>
                <c:pt idx="157">
                  <c:v>408.04</c:v>
                </c:pt>
                <c:pt idx="158">
                  <c:v>403.98</c:v>
                </c:pt>
                <c:pt idx="159">
                  <c:v>385.97</c:v>
                </c:pt>
                <c:pt idx="160">
                  <c:v>389.53</c:v>
                </c:pt>
                <c:pt idx="161">
                  <c:v>402.65</c:v>
                </c:pt>
                <c:pt idx="162">
                  <c:v>386.27</c:v>
                </c:pt>
                <c:pt idx="163">
                  <c:v>386.44</c:v>
                </c:pt>
                <c:pt idx="164">
                  <c:v>380.29</c:v>
                </c:pt>
                <c:pt idx="165">
                  <c:v>374.78</c:v>
                </c:pt>
                <c:pt idx="166">
                  <c:v>364.05</c:v>
                </c:pt>
                <c:pt idx="167">
                  <c:v>353.28</c:v>
                </c:pt>
                <c:pt idx="168">
                  <c:v>334.7</c:v>
                </c:pt>
                <c:pt idx="169">
                  <c:v>342.19</c:v>
                </c:pt>
                <c:pt idx="170">
                  <c:v>326.73</c:v>
                </c:pt>
                <c:pt idx="171">
                  <c:v>327.98</c:v>
                </c:pt>
                <c:pt idx="172">
                  <c:v>316.24</c:v>
                </c:pt>
                <c:pt idx="173">
                  <c:v>315.66000000000003</c:v>
                </c:pt>
                <c:pt idx="174">
                  <c:v>343.47</c:v>
                </c:pt>
                <c:pt idx="175">
                  <c:v>351.04</c:v>
                </c:pt>
                <c:pt idx="176">
                  <c:v>324.06</c:v>
                </c:pt>
                <c:pt idx="177">
                  <c:v>317.2</c:v>
                </c:pt>
                <c:pt idx="178">
                  <c:v>324.17</c:v>
                </c:pt>
                <c:pt idx="179">
                  <c:v>324.49</c:v>
                </c:pt>
                <c:pt idx="180">
                  <c:v>313.51</c:v>
                </c:pt>
                <c:pt idx="181">
                  <c:v>302.91000000000003</c:v>
                </c:pt>
                <c:pt idx="182">
                  <c:v>262.7</c:v>
                </c:pt>
                <c:pt idx="183">
                  <c:v>294.58999999999997</c:v>
                </c:pt>
                <c:pt idx="184">
                  <c:v>313.07</c:v>
                </c:pt>
                <c:pt idx="185">
                  <c:v>363.44</c:v>
                </c:pt>
                <c:pt idx="186">
                  <c:v>445.06</c:v>
                </c:pt>
                <c:pt idx="187">
                  <c:v>349.56</c:v>
                </c:pt>
                <c:pt idx="188">
                  <c:v>389.65</c:v>
                </c:pt>
                <c:pt idx="189">
                  <c:v>380.2</c:v>
                </c:pt>
                <c:pt idx="190">
                  <c:v>368.53</c:v>
                </c:pt>
                <c:pt idx="191">
                  <c:v>393.24</c:v>
                </c:pt>
                <c:pt idx="192">
                  <c:v>389.08</c:v>
                </c:pt>
                <c:pt idx="193">
                  <c:v>394.04</c:v>
                </c:pt>
                <c:pt idx="194">
                  <c:v>386.55</c:v>
                </c:pt>
                <c:pt idx="195">
                  <c:v>393.3</c:v>
                </c:pt>
                <c:pt idx="196">
                  <c:v>378.32</c:v>
                </c:pt>
                <c:pt idx="197">
                  <c:v>385.45</c:v>
                </c:pt>
                <c:pt idx="198">
                  <c:v>376.26</c:v>
                </c:pt>
                <c:pt idx="199">
                  <c:v>387.46</c:v>
                </c:pt>
                <c:pt idx="200">
                  <c:v>387.27</c:v>
                </c:pt>
                <c:pt idx="201">
                  <c:v>377.52</c:v>
                </c:pt>
                <c:pt idx="202">
                  <c:v>373.52</c:v>
                </c:pt>
                <c:pt idx="203">
                  <c:v>367.64</c:v>
                </c:pt>
                <c:pt idx="204">
                  <c:v>363.06</c:v>
                </c:pt>
                <c:pt idx="205">
                  <c:v>360.1</c:v>
                </c:pt>
                <c:pt idx="206">
                  <c:v>374.45</c:v>
                </c:pt>
                <c:pt idx="207">
                  <c:v>370.9</c:v>
                </c:pt>
                <c:pt idx="208">
                  <c:v>372.99</c:v>
                </c:pt>
                <c:pt idx="209">
                  <c:v>372.22</c:v>
                </c:pt>
                <c:pt idx="210">
                  <c:v>389.5</c:v>
                </c:pt>
                <c:pt idx="211">
                  <c:v>385.04</c:v>
                </c:pt>
                <c:pt idx="212">
                  <c:v>384.22</c:v>
                </c:pt>
                <c:pt idx="213">
                  <c:v>393.25</c:v>
                </c:pt>
                <c:pt idx="214">
                  <c:v>396.26</c:v>
                </c:pt>
                <c:pt idx="215">
                  <c:v>422.97</c:v>
                </c:pt>
                <c:pt idx="216">
                  <c:v>424.37</c:v>
                </c:pt>
                <c:pt idx="217">
                  <c:v>421.56</c:v>
                </c:pt>
                <c:pt idx="218">
                  <c:v>419.72</c:v>
                </c:pt>
                <c:pt idx="219">
                  <c:v>419.11</c:v>
                </c:pt>
                <c:pt idx="220">
                  <c:v>415.96</c:v>
                </c:pt>
                <c:pt idx="221">
                  <c:v>410.49</c:v>
                </c:pt>
                <c:pt idx="222">
                  <c:v>406.35</c:v>
                </c:pt>
                <c:pt idx="223">
                  <c:v>405.33</c:v>
                </c:pt>
                <c:pt idx="224">
                  <c:v>419.78</c:v>
                </c:pt>
                <c:pt idx="225">
                  <c:v>421.91</c:v>
                </c:pt>
                <c:pt idx="226">
                  <c:v>431.7</c:v>
                </c:pt>
                <c:pt idx="227">
                  <c:v>438.66</c:v>
                </c:pt>
                <c:pt idx="228">
                  <c:v>453.29</c:v>
                </c:pt>
                <c:pt idx="229">
                  <c:v>465.69</c:v>
                </c:pt>
                <c:pt idx="230">
                  <c:v>467.54</c:v>
                </c:pt>
                <c:pt idx="231">
                  <c:v>476.12</c:v>
                </c:pt>
                <c:pt idx="232">
                  <c:v>460.77</c:v>
                </c:pt>
                <c:pt idx="233">
                  <c:v>465.08</c:v>
                </c:pt>
                <c:pt idx="234">
                  <c:v>462.02</c:v>
                </c:pt>
                <c:pt idx="235">
                  <c:v>464.12</c:v>
                </c:pt>
                <c:pt idx="236">
                  <c:v>458.34</c:v>
                </c:pt>
                <c:pt idx="237">
                  <c:v>458.58</c:v>
                </c:pt>
                <c:pt idx="238">
                  <c:v>461.56</c:v>
                </c:pt>
                <c:pt idx="239">
                  <c:v>477.17</c:v>
                </c:pt>
                <c:pt idx="240">
                  <c:v>489.66</c:v>
                </c:pt>
                <c:pt idx="241">
                  <c:v>502.15</c:v>
                </c:pt>
                <c:pt idx="242">
                  <c:v>498.69</c:v>
                </c:pt>
                <c:pt idx="243">
                  <c:v>498.08</c:v>
                </c:pt>
                <c:pt idx="244">
                  <c:v>501.47</c:v>
                </c:pt>
                <c:pt idx="245">
                  <c:v>518.75</c:v>
                </c:pt>
              </c:numCache>
            </c:numRef>
          </c:val>
        </c:ser>
        <c:axId val="135485696"/>
        <c:axId val="135491584"/>
      </c:areaChart>
      <c:lineChart>
        <c:grouping val="standard"/>
        <c:ser>
          <c:idx val="2"/>
          <c:order val="0"/>
          <c:tx>
            <c:strRef>
              <c:f>[2]DATA!$D$3</c:f>
              <c:strCache>
                <c:ptCount val="1"/>
                <c:pt idx="0">
                  <c:v>FUTURES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[2]DATA!$D$489:$D$734</c:f>
              <c:numCache>
                <c:formatCode>General</c:formatCode>
                <c:ptCount val="246"/>
                <c:pt idx="0">
                  <c:v>549.9</c:v>
                </c:pt>
                <c:pt idx="1">
                  <c:v>544.1</c:v>
                </c:pt>
                <c:pt idx="2">
                  <c:v>579.4</c:v>
                </c:pt>
                <c:pt idx="3">
                  <c:v>620.5</c:v>
                </c:pt>
                <c:pt idx="4">
                  <c:v>655</c:v>
                </c:pt>
                <c:pt idx="5">
                  <c:v>616</c:v>
                </c:pt>
                <c:pt idx="6">
                  <c:v>635.6</c:v>
                </c:pt>
                <c:pt idx="7">
                  <c:v>576.20000000000005</c:v>
                </c:pt>
                <c:pt idx="8">
                  <c:v>573.1</c:v>
                </c:pt>
                <c:pt idx="9">
                  <c:v>542</c:v>
                </c:pt>
                <c:pt idx="10">
                  <c:v>554</c:v>
                </c:pt>
                <c:pt idx="11">
                  <c:v>566</c:v>
                </c:pt>
                <c:pt idx="12">
                  <c:v>596.9</c:v>
                </c:pt>
                <c:pt idx="13">
                  <c:v>574.20000000000005</c:v>
                </c:pt>
                <c:pt idx="14">
                  <c:v>569</c:v>
                </c:pt>
                <c:pt idx="15">
                  <c:v>564.6</c:v>
                </c:pt>
                <c:pt idx="16">
                  <c:v>560.9</c:v>
                </c:pt>
                <c:pt idx="17">
                  <c:v>566.9</c:v>
                </c:pt>
                <c:pt idx="18">
                  <c:v>577</c:v>
                </c:pt>
                <c:pt idx="19">
                  <c:v>596</c:v>
                </c:pt>
                <c:pt idx="20">
                  <c:v>587</c:v>
                </c:pt>
                <c:pt idx="21">
                  <c:v>560</c:v>
                </c:pt>
                <c:pt idx="22">
                  <c:v>536.5</c:v>
                </c:pt>
                <c:pt idx="23">
                  <c:v>528</c:v>
                </c:pt>
                <c:pt idx="24">
                  <c:v>516</c:v>
                </c:pt>
                <c:pt idx="25">
                  <c:v>488</c:v>
                </c:pt>
                <c:pt idx="26">
                  <c:v>484</c:v>
                </c:pt>
                <c:pt idx="27">
                  <c:v>465.5</c:v>
                </c:pt>
                <c:pt idx="28">
                  <c:v>512</c:v>
                </c:pt>
                <c:pt idx="29">
                  <c:v>538.5</c:v>
                </c:pt>
                <c:pt idx="30">
                  <c:v>507.1</c:v>
                </c:pt>
                <c:pt idx="31">
                  <c:v>543</c:v>
                </c:pt>
                <c:pt idx="32">
                  <c:v>583</c:v>
                </c:pt>
                <c:pt idx="33">
                  <c:v>582</c:v>
                </c:pt>
                <c:pt idx="34">
                  <c:v>588.1</c:v>
                </c:pt>
                <c:pt idx="35">
                  <c:v>557</c:v>
                </c:pt>
                <c:pt idx="36">
                  <c:v>559</c:v>
                </c:pt>
                <c:pt idx="37">
                  <c:v>566.6</c:v>
                </c:pt>
                <c:pt idx="38">
                  <c:v>685</c:v>
                </c:pt>
                <c:pt idx="39">
                  <c:v>678</c:v>
                </c:pt>
                <c:pt idx="40">
                  <c:v>702</c:v>
                </c:pt>
                <c:pt idx="41">
                  <c:v>719</c:v>
                </c:pt>
                <c:pt idx="42">
                  <c:v>717.8</c:v>
                </c:pt>
                <c:pt idx="43">
                  <c:v>757</c:v>
                </c:pt>
                <c:pt idx="44">
                  <c:v>726.5</c:v>
                </c:pt>
                <c:pt idx="45">
                  <c:v>696</c:v>
                </c:pt>
                <c:pt idx="46">
                  <c:v>675</c:v>
                </c:pt>
                <c:pt idx="47">
                  <c:v>648.5</c:v>
                </c:pt>
                <c:pt idx="48">
                  <c:v>680</c:v>
                </c:pt>
                <c:pt idx="49">
                  <c:v>709</c:v>
                </c:pt>
                <c:pt idx="50">
                  <c:v>724</c:v>
                </c:pt>
                <c:pt idx="51">
                  <c:v>734</c:v>
                </c:pt>
                <c:pt idx="52">
                  <c:v>711</c:v>
                </c:pt>
                <c:pt idx="53">
                  <c:v>726</c:v>
                </c:pt>
                <c:pt idx="54">
                  <c:v>701</c:v>
                </c:pt>
                <c:pt idx="55">
                  <c:v>725.6</c:v>
                </c:pt>
                <c:pt idx="56">
                  <c:v>743.6</c:v>
                </c:pt>
                <c:pt idx="57">
                  <c:v>736</c:v>
                </c:pt>
                <c:pt idx="58">
                  <c:v>725</c:v>
                </c:pt>
                <c:pt idx="59">
                  <c:v>688.1</c:v>
                </c:pt>
                <c:pt idx="60">
                  <c:v>670</c:v>
                </c:pt>
                <c:pt idx="61">
                  <c:v>681.6</c:v>
                </c:pt>
                <c:pt idx="62">
                  <c:v>680.7</c:v>
                </c:pt>
                <c:pt idx="63">
                  <c:v>706.5</c:v>
                </c:pt>
                <c:pt idx="64">
                  <c:v>713.5</c:v>
                </c:pt>
                <c:pt idx="65">
                  <c:v>692</c:v>
                </c:pt>
                <c:pt idx="66">
                  <c:v>712</c:v>
                </c:pt>
                <c:pt idx="67">
                  <c:v>701.5</c:v>
                </c:pt>
                <c:pt idx="68">
                  <c:v>703</c:v>
                </c:pt>
                <c:pt idx="69">
                  <c:v>714</c:v>
                </c:pt>
                <c:pt idx="70">
                  <c:v>743.5</c:v>
                </c:pt>
                <c:pt idx="71">
                  <c:v>724</c:v>
                </c:pt>
                <c:pt idx="72">
                  <c:v>745.1</c:v>
                </c:pt>
                <c:pt idx="73">
                  <c:v>727</c:v>
                </c:pt>
                <c:pt idx="74">
                  <c:v>738</c:v>
                </c:pt>
                <c:pt idx="75">
                  <c:v>736.7</c:v>
                </c:pt>
                <c:pt idx="76">
                  <c:v>733.6</c:v>
                </c:pt>
                <c:pt idx="77">
                  <c:v>727.3</c:v>
                </c:pt>
                <c:pt idx="78">
                  <c:v>720.2</c:v>
                </c:pt>
                <c:pt idx="79">
                  <c:v>703</c:v>
                </c:pt>
                <c:pt idx="80">
                  <c:v>687.5</c:v>
                </c:pt>
                <c:pt idx="81">
                  <c:v>659.5</c:v>
                </c:pt>
                <c:pt idx="82">
                  <c:v>652.5</c:v>
                </c:pt>
                <c:pt idx="83">
                  <c:v>643.5</c:v>
                </c:pt>
                <c:pt idx="84">
                  <c:v>654.9</c:v>
                </c:pt>
                <c:pt idx="85">
                  <c:v>650</c:v>
                </c:pt>
                <c:pt idx="86">
                  <c:v>647</c:v>
                </c:pt>
                <c:pt idx="87">
                  <c:v>635</c:v>
                </c:pt>
                <c:pt idx="88">
                  <c:v>618</c:v>
                </c:pt>
                <c:pt idx="89">
                  <c:v>605</c:v>
                </c:pt>
                <c:pt idx="90">
                  <c:v>595</c:v>
                </c:pt>
                <c:pt idx="91">
                  <c:v>615.5</c:v>
                </c:pt>
                <c:pt idx="92">
                  <c:v>590</c:v>
                </c:pt>
                <c:pt idx="93">
                  <c:v>600</c:v>
                </c:pt>
                <c:pt idx="94">
                  <c:v>615</c:v>
                </c:pt>
                <c:pt idx="95">
                  <c:v>617</c:v>
                </c:pt>
                <c:pt idx="96">
                  <c:v>608.9</c:v>
                </c:pt>
                <c:pt idx="97">
                  <c:v>618.9</c:v>
                </c:pt>
                <c:pt idx="98">
                  <c:v>622.29999999999995</c:v>
                </c:pt>
                <c:pt idx="99">
                  <c:v>601</c:v>
                </c:pt>
                <c:pt idx="100">
                  <c:v>577.20000000000005</c:v>
                </c:pt>
                <c:pt idx="101">
                  <c:v>551</c:v>
                </c:pt>
                <c:pt idx="102">
                  <c:v>573</c:v>
                </c:pt>
                <c:pt idx="103">
                  <c:v>561</c:v>
                </c:pt>
                <c:pt idx="104">
                  <c:v>542</c:v>
                </c:pt>
                <c:pt idx="105">
                  <c:v>525.1</c:v>
                </c:pt>
                <c:pt idx="106">
                  <c:v>550</c:v>
                </c:pt>
                <c:pt idx="107">
                  <c:v>556.9</c:v>
                </c:pt>
                <c:pt idx="108">
                  <c:v>539.29999999999995</c:v>
                </c:pt>
                <c:pt idx="109">
                  <c:v>551</c:v>
                </c:pt>
                <c:pt idx="110">
                  <c:v>566.4</c:v>
                </c:pt>
                <c:pt idx="111">
                  <c:v>591</c:v>
                </c:pt>
                <c:pt idx="112">
                  <c:v>564</c:v>
                </c:pt>
                <c:pt idx="113">
                  <c:v>562.9</c:v>
                </c:pt>
                <c:pt idx="114">
                  <c:v>553.79999999999995</c:v>
                </c:pt>
                <c:pt idx="115">
                  <c:v>546.9</c:v>
                </c:pt>
                <c:pt idx="116">
                  <c:v>543.5</c:v>
                </c:pt>
                <c:pt idx="117">
                  <c:v>539.5</c:v>
                </c:pt>
                <c:pt idx="118">
                  <c:v>509</c:v>
                </c:pt>
                <c:pt idx="119">
                  <c:v>514.5</c:v>
                </c:pt>
                <c:pt idx="120">
                  <c:v>528.9</c:v>
                </c:pt>
                <c:pt idx="121">
                  <c:v>509.8</c:v>
                </c:pt>
                <c:pt idx="122">
                  <c:v>499.5</c:v>
                </c:pt>
                <c:pt idx="123">
                  <c:v>493</c:v>
                </c:pt>
                <c:pt idx="124">
                  <c:v>508.2</c:v>
                </c:pt>
                <c:pt idx="125">
                  <c:v>488.1</c:v>
                </c:pt>
                <c:pt idx="126">
                  <c:v>481</c:v>
                </c:pt>
                <c:pt idx="127">
                  <c:v>473.5</c:v>
                </c:pt>
                <c:pt idx="128">
                  <c:v>446</c:v>
                </c:pt>
                <c:pt idx="129">
                  <c:v>436.5</c:v>
                </c:pt>
                <c:pt idx="130">
                  <c:v>450</c:v>
                </c:pt>
                <c:pt idx="131">
                  <c:v>470.1</c:v>
                </c:pt>
                <c:pt idx="132">
                  <c:v>465.5</c:v>
                </c:pt>
                <c:pt idx="133">
                  <c:v>441</c:v>
                </c:pt>
                <c:pt idx="134">
                  <c:v>453</c:v>
                </c:pt>
                <c:pt idx="135">
                  <c:v>458</c:v>
                </c:pt>
                <c:pt idx="136">
                  <c:v>454</c:v>
                </c:pt>
                <c:pt idx="137">
                  <c:v>447.7</c:v>
                </c:pt>
                <c:pt idx="138">
                  <c:v>446.1</c:v>
                </c:pt>
                <c:pt idx="139">
                  <c:v>455.9</c:v>
                </c:pt>
                <c:pt idx="140">
                  <c:v>482.5</c:v>
                </c:pt>
                <c:pt idx="141">
                  <c:v>479.9</c:v>
                </c:pt>
                <c:pt idx="142">
                  <c:v>474</c:v>
                </c:pt>
                <c:pt idx="143">
                  <c:v>470.5</c:v>
                </c:pt>
                <c:pt idx="144">
                  <c:v>456.2</c:v>
                </c:pt>
                <c:pt idx="145">
                  <c:v>441.5</c:v>
                </c:pt>
                <c:pt idx="146">
                  <c:v>423</c:v>
                </c:pt>
                <c:pt idx="147">
                  <c:v>431</c:v>
                </c:pt>
                <c:pt idx="148">
                  <c:v>424.1</c:v>
                </c:pt>
                <c:pt idx="149">
                  <c:v>442.5</c:v>
                </c:pt>
                <c:pt idx="150">
                  <c:v>433.8</c:v>
                </c:pt>
                <c:pt idx="151">
                  <c:v>447</c:v>
                </c:pt>
                <c:pt idx="152">
                  <c:v>442.1</c:v>
                </c:pt>
                <c:pt idx="153">
                  <c:v>438.2</c:v>
                </c:pt>
                <c:pt idx="154">
                  <c:v>414.5</c:v>
                </c:pt>
                <c:pt idx="155">
                  <c:v>415.5</c:v>
                </c:pt>
                <c:pt idx="156">
                  <c:v>422</c:v>
                </c:pt>
                <c:pt idx="157">
                  <c:v>405.8</c:v>
                </c:pt>
                <c:pt idx="158">
                  <c:v>396</c:v>
                </c:pt>
                <c:pt idx="159">
                  <c:v>380</c:v>
                </c:pt>
                <c:pt idx="160">
                  <c:v>390</c:v>
                </c:pt>
                <c:pt idx="161">
                  <c:v>401.9</c:v>
                </c:pt>
                <c:pt idx="162">
                  <c:v>384.6</c:v>
                </c:pt>
                <c:pt idx="163">
                  <c:v>390.5</c:v>
                </c:pt>
                <c:pt idx="164">
                  <c:v>379.8</c:v>
                </c:pt>
                <c:pt idx="165">
                  <c:v>373.8</c:v>
                </c:pt>
                <c:pt idx="166">
                  <c:v>355.4</c:v>
                </c:pt>
                <c:pt idx="167">
                  <c:v>346.6</c:v>
                </c:pt>
                <c:pt idx="168">
                  <c:v>331.7</c:v>
                </c:pt>
                <c:pt idx="169">
                  <c:v>340.5</c:v>
                </c:pt>
                <c:pt idx="170">
                  <c:v>318.60000000000002</c:v>
                </c:pt>
                <c:pt idx="171">
                  <c:v>320.89999999999998</c:v>
                </c:pt>
                <c:pt idx="172">
                  <c:v>309.5</c:v>
                </c:pt>
                <c:pt idx="173">
                  <c:v>317</c:v>
                </c:pt>
                <c:pt idx="174">
                  <c:v>340.5</c:v>
                </c:pt>
                <c:pt idx="175">
                  <c:v>353.6</c:v>
                </c:pt>
                <c:pt idx="176">
                  <c:v>321.5</c:v>
                </c:pt>
                <c:pt idx="177">
                  <c:v>322</c:v>
                </c:pt>
                <c:pt idx="178">
                  <c:v>332.9</c:v>
                </c:pt>
                <c:pt idx="179">
                  <c:v>329</c:v>
                </c:pt>
                <c:pt idx="180">
                  <c:v>311.5</c:v>
                </c:pt>
                <c:pt idx="181">
                  <c:v>303.5</c:v>
                </c:pt>
                <c:pt idx="182">
                  <c:v>274.89999999999998</c:v>
                </c:pt>
                <c:pt idx="183">
                  <c:v>289</c:v>
                </c:pt>
                <c:pt idx="184">
                  <c:v>343.6</c:v>
                </c:pt>
                <c:pt idx="185">
                  <c:v>394</c:v>
                </c:pt>
                <c:pt idx="186">
                  <c:v>525.4</c:v>
                </c:pt>
                <c:pt idx="187">
                  <c:v>356.3</c:v>
                </c:pt>
                <c:pt idx="188">
                  <c:v>393</c:v>
                </c:pt>
                <c:pt idx="189">
                  <c:v>399</c:v>
                </c:pt>
                <c:pt idx="190">
                  <c:v>355</c:v>
                </c:pt>
                <c:pt idx="191">
                  <c:v>400</c:v>
                </c:pt>
                <c:pt idx="192">
                  <c:v>387.1</c:v>
                </c:pt>
                <c:pt idx="193">
                  <c:v>401.1</c:v>
                </c:pt>
                <c:pt idx="194">
                  <c:v>388.3</c:v>
                </c:pt>
                <c:pt idx="195">
                  <c:v>401</c:v>
                </c:pt>
                <c:pt idx="196">
                  <c:v>380.5</c:v>
                </c:pt>
                <c:pt idx="197">
                  <c:v>396.9</c:v>
                </c:pt>
                <c:pt idx="198">
                  <c:v>385.8</c:v>
                </c:pt>
                <c:pt idx="199">
                  <c:v>396.7</c:v>
                </c:pt>
                <c:pt idx="200">
                  <c:v>389.5</c:v>
                </c:pt>
                <c:pt idx="201">
                  <c:v>380.5</c:v>
                </c:pt>
                <c:pt idx="202">
                  <c:v>374</c:v>
                </c:pt>
                <c:pt idx="203">
                  <c:v>379.9</c:v>
                </c:pt>
                <c:pt idx="204">
                  <c:v>375</c:v>
                </c:pt>
                <c:pt idx="205">
                  <c:v>374.9</c:v>
                </c:pt>
                <c:pt idx="206">
                  <c:v>391.7</c:v>
                </c:pt>
                <c:pt idx="207">
                  <c:v>385.8</c:v>
                </c:pt>
                <c:pt idx="208">
                  <c:v>388.9</c:v>
                </c:pt>
                <c:pt idx="209">
                  <c:v>388.5</c:v>
                </c:pt>
                <c:pt idx="210">
                  <c:v>406.1</c:v>
                </c:pt>
                <c:pt idx="211">
                  <c:v>396.5</c:v>
                </c:pt>
                <c:pt idx="212">
                  <c:v>399</c:v>
                </c:pt>
                <c:pt idx="213">
                  <c:v>408</c:v>
                </c:pt>
                <c:pt idx="214">
                  <c:v>415.5</c:v>
                </c:pt>
                <c:pt idx="215">
                  <c:v>434.5</c:v>
                </c:pt>
                <c:pt idx="216">
                  <c:v>433.1</c:v>
                </c:pt>
                <c:pt idx="217">
                  <c:v>428.5</c:v>
                </c:pt>
                <c:pt idx="218">
                  <c:v>419</c:v>
                </c:pt>
                <c:pt idx="219">
                  <c:v>419.5</c:v>
                </c:pt>
                <c:pt idx="220">
                  <c:v>417.1</c:v>
                </c:pt>
                <c:pt idx="221">
                  <c:v>412.8</c:v>
                </c:pt>
                <c:pt idx="222">
                  <c:v>404.8</c:v>
                </c:pt>
                <c:pt idx="223">
                  <c:v>406.2</c:v>
                </c:pt>
                <c:pt idx="224">
                  <c:v>434</c:v>
                </c:pt>
                <c:pt idx="225">
                  <c:v>438.5</c:v>
                </c:pt>
                <c:pt idx="226">
                  <c:v>454.8</c:v>
                </c:pt>
                <c:pt idx="227">
                  <c:v>446</c:v>
                </c:pt>
                <c:pt idx="228">
                  <c:v>466</c:v>
                </c:pt>
                <c:pt idx="229">
                  <c:v>472.5</c:v>
                </c:pt>
                <c:pt idx="230">
                  <c:v>474.1</c:v>
                </c:pt>
                <c:pt idx="231">
                  <c:v>480</c:v>
                </c:pt>
                <c:pt idx="232">
                  <c:v>465</c:v>
                </c:pt>
                <c:pt idx="233">
                  <c:v>479.4</c:v>
                </c:pt>
                <c:pt idx="234">
                  <c:v>479.5</c:v>
                </c:pt>
                <c:pt idx="235">
                  <c:v>478.5</c:v>
                </c:pt>
                <c:pt idx="236">
                  <c:v>473.2</c:v>
                </c:pt>
                <c:pt idx="237">
                  <c:v>474.5</c:v>
                </c:pt>
                <c:pt idx="238">
                  <c:v>470.5</c:v>
                </c:pt>
                <c:pt idx="239">
                  <c:v>484</c:v>
                </c:pt>
                <c:pt idx="240">
                  <c:v>496.8</c:v>
                </c:pt>
                <c:pt idx="241">
                  <c:v>509.5</c:v>
                </c:pt>
                <c:pt idx="242">
                  <c:v>501.5</c:v>
                </c:pt>
                <c:pt idx="243">
                  <c:v>502</c:v>
                </c:pt>
                <c:pt idx="244">
                  <c:v>505</c:v>
                </c:pt>
                <c:pt idx="245">
                  <c:v>535.29999999999995</c:v>
                </c:pt>
              </c:numCache>
            </c:numRef>
          </c:val>
        </c:ser>
        <c:marker val="1"/>
        <c:axId val="135485696"/>
        <c:axId val="135491584"/>
      </c:lineChart>
      <c:catAx>
        <c:axId val="1354856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91584"/>
        <c:crossesAt val="44"/>
        <c:lblAlgn val="ctr"/>
        <c:lblOffset val="100"/>
        <c:tickLblSkip val="2"/>
        <c:tickMarkSkip val="1"/>
      </c:catAx>
      <c:valAx>
        <c:axId val="135491584"/>
        <c:scaling>
          <c:orientation val="minMax"/>
          <c:max val="800"/>
          <c:min val="2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85696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CPO Third-month Futures</a:t>
            </a:r>
          </a:p>
        </c:rich>
      </c:tx>
      <c:layout>
        <c:manualLayout>
          <c:xMode val="edge"/>
          <c:yMode val="edge"/>
          <c:x val="0.42907850948224846"/>
          <c:y val="5.26316634837317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04102144399829E-2"/>
          <c:y val="4.9342184515998491E-2"/>
          <c:w val="0.91016653526537461"/>
          <c:h val="0.75986964154637671"/>
        </c:manualLayout>
      </c:layout>
      <c:lineChart>
        <c:grouping val="standard"/>
        <c:ser>
          <c:idx val="2"/>
          <c:order val="0"/>
          <c:tx>
            <c:strRef>
              <c:f>[1]FCPO!$K$2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[1]FCPO!$A$5442:$A$5686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[1]FCPO!$K$5442:$K$5686</c:f>
              <c:numCache>
                <c:formatCode>General</c:formatCode>
                <c:ptCount val="245"/>
                <c:pt idx="0">
                  <c:v>1627</c:v>
                </c:pt>
                <c:pt idx="1">
                  <c:v>1619</c:v>
                </c:pt>
                <c:pt idx="2">
                  <c:v>1600</c:v>
                </c:pt>
                <c:pt idx="3">
                  <c:v>1591</c:v>
                </c:pt>
                <c:pt idx="4">
                  <c:v>1611</c:v>
                </c:pt>
                <c:pt idx="5">
                  <c:v>1635</c:v>
                </c:pt>
                <c:pt idx="6">
                  <c:v>1627</c:v>
                </c:pt>
                <c:pt idx="7">
                  <c:v>1632</c:v>
                </c:pt>
                <c:pt idx="8">
                  <c:v>1633</c:v>
                </c:pt>
                <c:pt idx="9">
                  <c:v>1614</c:v>
                </c:pt>
                <c:pt idx="10">
                  <c:v>1619</c:v>
                </c:pt>
                <c:pt idx="11">
                  <c:v>1623</c:v>
                </c:pt>
                <c:pt idx="12">
                  <c:v>1607</c:v>
                </c:pt>
                <c:pt idx="13">
                  <c:v>1594</c:v>
                </c:pt>
                <c:pt idx="14">
                  <c:v>1600</c:v>
                </c:pt>
                <c:pt idx="15">
                  <c:v>1600</c:v>
                </c:pt>
                <c:pt idx="16">
                  <c:v>1590</c:v>
                </c:pt>
                <c:pt idx="17">
                  <c:v>1592</c:v>
                </c:pt>
                <c:pt idx="18">
                  <c:v>1597</c:v>
                </c:pt>
                <c:pt idx="19">
                  <c:v>1607</c:v>
                </c:pt>
                <c:pt idx="20">
                  <c:v>1612</c:v>
                </c:pt>
                <c:pt idx="21">
                  <c:v>1610</c:v>
                </c:pt>
                <c:pt idx="22">
                  <c:v>1613</c:v>
                </c:pt>
                <c:pt idx="23">
                  <c:v>1614</c:v>
                </c:pt>
                <c:pt idx="24">
                  <c:v>1603</c:v>
                </c:pt>
                <c:pt idx="25">
                  <c:v>1608</c:v>
                </c:pt>
                <c:pt idx="26">
                  <c:v>1605</c:v>
                </c:pt>
                <c:pt idx="27">
                  <c:v>1594</c:v>
                </c:pt>
                <c:pt idx="28">
                  <c:v>1580</c:v>
                </c:pt>
                <c:pt idx="29">
                  <c:v>1518</c:v>
                </c:pt>
                <c:pt idx="30">
                  <c:v>1527</c:v>
                </c:pt>
                <c:pt idx="31">
                  <c:v>1528</c:v>
                </c:pt>
                <c:pt idx="32">
                  <c:v>1491</c:v>
                </c:pt>
                <c:pt idx="33">
                  <c:v>1484</c:v>
                </c:pt>
                <c:pt idx="34">
                  <c:v>1501</c:v>
                </c:pt>
                <c:pt idx="35">
                  <c:v>1492</c:v>
                </c:pt>
                <c:pt idx="36">
                  <c:v>1504</c:v>
                </c:pt>
                <c:pt idx="37">
                  <c:v>1480</c:v>
                </c:pt>
                <c:pt idx="38">
                  <c:v>1477</c:v>
                </c:pt>
                <c:pt idx="39">
                  <c:v>1478</c:v>
                </c:pt>
                <c:pt idx="40">
                  <c:v>1446</c:v>
                </c:pt>
                <c:pt idx="41">
                  <c:v>1455</c:v>
                </c:pt>
                <c:pt idx="42">
                  <c:v>1417</c:v>
                </c:pt>
                <c:pt idx="43">
                  <c:v>1391</c:v>
                </c:pt>
                <c:pt idx="44">
                  <c:v>1405</c:v>
                </c:pt>
                <c:pt idx="45">
                  <c:v>1452</c:v>
                </c:pt>
                <c:pt idx="46">
                  <c:v>1460</c:v>
                </c:pt>
                <c:pt idx="47">
                  <c:v>1433</c:v>
                </c:pt>
                <c:pt idx="48">
                  <c:v>1430</c:v>
                </c:pt>
                <c:pt idx="49">
                  <c:v>1456</c:v>
                </c:pt>
                <c:pt idx="50">
                  <c:v>1465</c:v>
                </c:pt>
                <c:pt idx="51">
                  <c:v>1452</c:v>
                </c:pt>
                <c:pt idx="52">
                  <c:v>1480</c:v>
                </c:pt>
                <c:pt idx="53">
                  <c:v>1443</c:v>
                </c:pt>
                <c:pt idx="54">
                  <c:v>1434</c:v>
                </c:pt>
                <c:pt idx="55">
                  <c:v>1445</c:v>
                </c:pt>
                <c:pt idx="56">
                  <c:v>1424</c:v>
                </c:pt>
                <c:pt idx="57">
                  <c:v>1399</c:v>
                </c:pt>
                <c:pt idx="58">
                  <c:v>1379</c:v>
                </c:pt>
                <c:pt idx="59">
                  <c:v>1377</c:v>
                </c:pt>
                <c:pt idx="60">
                  <c:v>1370</c:v>
                </c:pt>
                <c:pt idx="61">
                  <c:v>1374</c:v>
                </c:pt>
                <c:pt idx="62">
                  <c:v>1362</c:v>
                </c:pt>
                <c:pt idx="63">
                  <c:v>1338</c:v>
                </c:pt>
                <c:pt idx="64">
                  <c:v>1349</c:v>
                </c:pt>
                <c:pt idx="65">
                  <c:v>1340</c:v>
                </c:pt>
                <c:pt idx="66">
                  <c:v>1347</c:v>
                </c:pt>
                <c:pt idx="67">
                  <c:v>1364</c:v>
                </c:pt>
                <c:pt idx="68">
                  <c:v>1353</c:v>
                </c:pt>
                <c:pt idx="69">
                  <c:v>1355</c:v>
                </c:pt>
                <c:pt idx="70">
                  <c:v>1374</c:v>
                </c:pt>
                <c:pt idx="71">
                  <c:v>1364</c:v>
                </c:pt>
                <c:pt idx="72">
                  <c:v>1361</c:v>
                </c:pt>
                <c:pt idx="73">
                  <c:v>1382</c:v>
                </c:pt>
                <c:pt idx="74">
                  <c:v>1389</c:v>
                </c:pt>
                <c:pt idx="75">
                  <c:v>1406</c:v>
                </c:pt>
                <c:pt idx="76">
                  <c:v>1443</c:v>
                </c:pt>
                <c:pt idx="77">
                  <c:v>1435</c:v>
                </c:pt>
                <c:pt idx="78">
                  <c:v>1433</c:v>
                </c:pt>
                <c:pt idx="79">
                  <c:v>1413</c:v>
                </c:pt>
                <c:pt idx="80">
                  <c:v>1421</c:v>
                </c:pt>
                <c:pt idx="81">
                  <c:v>1420</c:v>
                </c:pt>
                <c:pt idx="82">
                  <c:v>1400</c:v>
                </c:pt>
                <c:pt idx="83">
                  <c:v>1390</c:v>
                </c:pt>
                <c:pt idx="84">
                  <c:v>1376</c:v>
                </c:pt>
                <c:pt idx="85">
                  <c:v>1371</c:v>
                </c:pt>
                <c:pt idx="86">
                  <c:v>1396</c:v>
                </c:pt>
                <c:pt idx="87">
                  <c:v>1399</c:v>
                </c:pt>
                <c:pt idx="88">
                  <c:v>1416</c:v>
                </c:pt>
                <c:pt idx="89">
                  <c:v>1419</c:v>
                </c:pt>
                <c:pt idx="90">
                  <c:v>1388</c:v>
                </c:pt>
                <c:pt idx="91">
                  <c:v>1411</c:v>
                </c:pt>
                <c:pt idx="92">
                  <c:v>1415</c:v>
                </c:pt>
                <c:pt idx="93">
                  <c:v>1406</c:v>
                </c:pt>
                <c:pt idx="94">
                  <c:v>1421</c:v>
                </c:pt>
                <c:pt idx="95">
                  <c:v>1440</c:v>
                </c:pt>
                <c:pt idx="96">
                  <c:v>1440</c:v>
                </c:pt>
                <c:pt idx="97">
                  <c:v>1450</c:v>
                </c:pt>
                <c:pt idx="98">
                  <c:v>1457</c:v>
                </c:pt>
                <c:pt idx="99">
                  <c:v>1408</c:v>
                </c:pt>
                <c:pt idx="100">
                  <c:v>1426</c:v>
                </c:pt>
                <c:pt idx="101">
                  <c:v>1444</c:v>
                </c:pt>
                <c:pt idx="102">
                  <c:v>1448</c:v>
                </c:pt>
                <c:pt idx="103">
                  <c:v>1452</c:v>
                </c:pt>
                <c:pt idx="104">
                  <c:v>1421</c:v>
                </c:pt>
                <c:pt idx="105">
                  <c:v>1409</c:v>
                </c:pt>
                <c:pt idx="106">
                  <c:v>1413</c:v>
                </c:pt>
                <c:pt idx="107">
                  <c:v>1398</c:v>
                </c:pt>
                <c:pt idx="108">
                  <c:v>1404</c:v>
                </c:pt>
                <c:pt idx="109">
                  <c:v>1408</c:v>
                </c:pt>
                <c:pt idx="110">
                  <c:v>1410</c:v>
                </c:pt>
                <c:pt idx="111">
                  <c:v>1411</c:v>
                </c:pt>
                <c:pt idx="112">
                  <c:v>1422</c:v>
                </c:pt>
                <c:pt idx="113">
                  <c:v>1424</c:v>
                </c:pt>
                <c:pt idx="114">
                  <c:v>1417</c:v>
                </c:pt>
                <c:pt idx="115">
                  <c:v>1421</c:v>
                </c:pt>
                <c:pt idx="116">
                  <c:v>1412</c:v>
                </c:pt>
                <c:pt idx="117">
                  <c:v>1407</c:v>
                </c:pt>
                <c:pt idx="118">
                  <c:v>1409</c:v>
                </c:pt>
                <c:pt idx="119">
                  <c:v>1416</c:v>
                </c:pt>
                <c:pt idx="120">
                  <c:v>1418</c:v>
                </c:pt>
                <c:pt idx="121">
                  <c:v>1363</c:v>
                </c:pt>
                <c:pt idx="122">
                  <c:v>1350</c:v>
                </c:pt>
                <c:pt idx="123">
                  <c:v>1363</c:v>
                </c:pt>
                <c:pt idx="124">
                  <c:v>1349</c:v>
                </c:pt>
                <c:pt idx="125">
                  <c:v>1331</c:v>
                </c:pt>
                <c:pt idx="126">
                  <c:v>1288</c:v>
                </c:pt>
                <c:pt idx="127">
                  <c:v>1288</c:v>
                </c:pt>
                <c:pt idx="128">
                  <c:v>1302</c:v>
                </c:pt>
                <c:pt idx="129">
                  <c:v>1310</c:v>
                </c:pt>
                <c:pt idx="130">
                  <c:v>1292</c:v>
                </c:pt>
                <c:pt idx="131">
                  <c:v>1286</c:v>
                </c:pt>
                <c:pt idx="132">
                  <c:v>1280</c:v>
                </c:pt>
                <c:pt idx="133">
                  <c:v>1255</c:v>
                </c:pt>
                <c:pt idx="134">
                  <c:v>1243</c:v>
                </c:pt>
                <c:pt idx="135">
                  <c:v>1242</c:v>
                </c:pt>
                <c:pt idx="136">
                  <c:v>1261</c:v>
                </c:pt>
                <c:pt idx="137">
                  <c:v>1272</c:v>
                </c:pt>
                <c:pt idx="138">
                  <c:v>1261</c:v>
                </c:pt>
                <c:pt idx="139">
                  <c:v>1269</c:v>
                </c:pt>
                <c:pt idx="140">
                  <c:v>1281</c:v>
                </c:pt>
                <c:pt idx="141">
                  <c:v>1288</c:v>
                </c:pt>
                <c:pt idx="142">
                  <c:v>1279</c:v>
                </c:pt>
                <c:pt idx="143">
                  <c:v>1266</c:v>
                </c:pt>
                <c:pt idx="144">
                  <c:v>1277</c:v>
                </c:pt>
                <c:pt idx="145">
                  <c:v>1287</c:v>
                </c:pt>
                <c:pt idx="146">
                  <c:v>1292</c:v>
                </c:pt>
                <c:pt idx="147">
                  <c:v>1320</c:v>
                </c:pt>
                <c:pt idx="148">
                  <c:v>1316</c:v>
                </c:pt>
                <c:pt idx="149">
                  <c:v>1305</c:v>
                </c:pt>
                <c:pt idx="150">
                  <c:v>1319</c:v>
                </c:pt>
                <c:pt idx="151">
                  <c:v>1322</c:v>
                </c:pt>
                <c:pt idx="152">
                  <c:v>1336</c:v>
                </c:pt>
                <c:pt idx="153">
                  <c:v>1339</c:v>
                </c:pt>
                <c:pt idx="154">
                  <c:v>1324</c:v>
                </c:pt>
                <c:pt idx="155">
                  <c:v>1296</c:v>
                </c:pt>
                <c:pt idx="156">
                  <c:v>1293</c:v>
                </c:pt>
                <c:pt idx="157">
                  <c:v>1304</c:v>
                </c:pt>
                <c:pt idx="158">
                  <c:v>1292</c:v>
                </c:pt>
                <c:pt idx="159">
                  <c:v>1293</c:v>
                </c:pt>
                <c:pt idx="160">
                  <c:v>1309</c:v>
                </c:pt>
                <c:pt idx="161">
                  <c:v>1313</c:v>
                </c:pt>
                <c:pt idx="162">
                  <c:v>1338</c:v>
                </c:pt>
                <c:pt idx="163">
                  <c:v>1345</c:v>
                </c:pt>
                <c:pt idx="164">
                  <c:v>1350</c:v>
                </c:pt>
                <c:pt idx="165">
                  <c:v>1379</c:v>
                </c:pt>
                <c:pt idx="166">
                  <c:v>1371</c:v>
                </c:pt>
                <c:pt idx="167">
                  <c:v>1415</c:v>
                </c:pt>
                <c:pt idx="168">
                  <c:v>1429</c:v>
                </c:pt>
                <c:pt idx="169">
                  <c:v>1406</c:v>
                </c:pt>
                <c:pt idx="170">
                  <c:v>1418</c:v>
                </c:pt>
                <c:pt idx="171">
                  <c:v>1437</c:v>
                </c:pt>
                <c:pt idx="172">
                  <c:v>1418</c:v>
                </c:pt>
                <c:pt idx="173">
                  <c:v>1469</c:v>
                </c:pt>
                <c:pt idx="174">
                  <c:v>1460</c:v>
                </c:pt>
                <c:pt idx="175">
                  <c:v>1462</c:v>
                </c:pt>
                <c:pt idx="176">
                  <c:v>1518</c:v>
                </c:pt>
                <c:pt idx="177">
                  <c:v>1519</c:v>
                </c:pt>
                <c:pt idx="178">
                  <c:v>1478</c:v>
                </c:pt>
                <c:pt idx="179">
                  <c:v>1480</c:v>
                </c:pt>
                <c:pt idx="180">
                  <c:v>1508</c:v>
                </c:pt>
                <c:pt idx="181">
                  <c:v>1520</c:v>
                </c:pt>
                <c:pt idx="182">
                  <c:v>1508</c:v>
                </c:pt>
                <c:pt idx="183">
                  <c:v>1608</c:v>
                </c:pt>
                <c:pt idx="184">
                  <c:v>1651</c:v>
                </c:pt>
                <c:pt idx="185">
                  <c:v>1650</c:v>
                </c:pt>
                <c:pt idx="186">
                  <c:v>1644</c:v>
                </c:pt>
                <c:pt idx="187">
                  <c:v>1682</c:v>
                </c:pt>
                <c:pt idx="188">
                  <c:v>1710</c:v>
                </c:pt>
                <c:pt idx="189">
                  <c:v>1655</c:v>
                </c:pt>
                <c:pt idx="190">
                  <c:v>1692</c:v>
                </c:pt>
                <c:pt idx="191">
                  <c:v>1780</c:v>
                </c:pt>
                <c:pt idx="192">
                  <c:v>1806</c:v>
                </c:pt>
                <c:pt idx="193">
                  <c:v>1765</c:v>
                </c:pt>
                <c:pt idx="194">
                  <c:v>1830</c:v>
                </c:pt>
                <c:pt idx="195">
                  <c:v>1795</c:v>
                </c:pt>
                <c:pt idx="196">
                  <c:v>1762</c:v>
                </c:pt>
                <c:pt idx="197">
                  <c:v>1806</c:v>
                </c:pt>
                <c:pt idx="198">
                  <c:v>1787</c:v>
                </c:pt>
                <c:pt idx="199">
                  <c:v>1736</c:v>
                </c:pt>
                <c:pt idx="200">
                  <c:v>1710</c:v>
                </c:pt>
                <c:pt idx="201">
                  <c:v>1704</c:v>
                </c:pt>
                <c:pt idx="202">
                  <c:v>1635</c:v>
                </c:pt>
                <c:pt idx="203">
                  <c:v>1707</c:v>
                </c:pt>
                <c:pt idx="204">
                  <c:v>1698</c:v>
                </c:pt>
                <c:pt idx="205">
                  <c:v>1746</c:v>
                </c:pt>
                <c:pt idx="206">
                  <c:v>1834</c:v>
                </c:pt>
                <c:pt idx="207">
                  <c:v>1788</c:v>
                </c:pt>
                <c:pt idx="208">
                  <c:v>1751</c:v>
                </c:pt>
                <c:pt idx="209">
                  <c:v>1708</c:v>
                </c:pt>
                <c:pt idx="210">
                  <c:v>1720</c:v>
                </c:pt>
                <c:pt idx="211">
                  <c:v>1752</c:v>
                </c:pt>
                <c:pt idx="212">
                  <c:v>1747</c:v>
                </c:pt>
                <c:pt idx="213">
                  <c:v>1737</c:v>
                </c:pt>
                <c:pt idx="214">
                  <c:v>1782</c:v>
                </c:pt>
                <c:pt idx="215">
                  <c:v>1762</c:v>
                </c:pt>
                <c:pt idx="216">
                  <c:v>1787</c:v>
                </c:pt>
                <c:pt idx="217">
                  <c:v>1784</c:v>
                </c:pt>
                <c:pt idx="218">
                  <c:v>1780</c:v>
                </c:pt>
                <c:pt idx="219">
                  <c:v>1823</c:v>
                </c:pt>
                <c:pt idx="220">
                  <c:v>1844</c:v>
                </c:pt>
                <c:pt idx="221">
                  <c:v>1840</c:v>
                </c:pt>
                <c:pt idx="222">
                  <c:v>1808</c:v>
                </c:pt>
                <c:pt idx="223">
                  <c:v>1775</c:v>
                </c:pt>
                <c:pt idx="224">
                  <c:v>1811</c:v>
                </c:pt>
                <c:pt idx="225">
                  <c:v>1787</c:v>
                </c:pt>
                <c:pt idx="226">
                  <c:v>1781</c:v>
                </c:pt>
                <c:pt idx="227">
                  <c:v>1773</c:v>
                </c:pt>
                <c:pt idx="228">
                  <c:v>1795</c:v>
                </c:pt>
                <c:pt idx="229">
                  <c:v>1756</c:v>
                </c:pt>
                <c:pt idx="230">
                  <c:v>1739</c:v>
                </c:pt>
                <c:pt idx="231">
                  <c:v>1720</c:v>
                </c:pt>
                <c:pt idx="232">
                  <c:v>1757</c:v>
                </c:pt>
                <c:pt idx="233">
                  <c:v>1812</c:v>
                </c:pt>
                <c:pt idx="234">
                  <c:v>1770</c:v>
                </c:pt>
                <c:pt idx="235">
                  <c:v>1774</c:v>
                </c:pt>
                <c:pt idx="236">
                  <c:v>1766</c:v>
                </c:pt>
                <c:pt idx="237">
                  <c:v>1784</c:v>
                </c:pt>
                <c:pt idx="238">
                  <c:v>1778</c:v>
                </c:pt>
                <c:pt idx="239">
                  <c:v>1746</c:v>
                </c:pt>
                <c:pt idx="240">
                  <c:v>1720</c:v>
                </c:pt>
                <c:pt idx="241">
                  <c:v>1737</c:v>
                </c:pt>
                <c:pt idx="242">
                  <c:v>1684</c:v>
                </c:pt>
                <c:pt idx="243">
                  <c:v>1725</c:v>
                </c:pt>
                <c:pt idx="244">
                  <c:v>1733</c:v>
                </c:pt>
              </c:numCache>
            </c:numRef>
          </c:val>
        </c:ser>
        <c:marker val="1"/>
        <c:axId val="135540096"/>
        <c:axId val="135550080"/>
      </c:lineChart>
      <c:catAx>
        <c:axId val="135540096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50080"/>
        <c:crossesAt val="44"/>
        <c:lblAlgn val="ctr"/>
        <c:lblOffset val="100"/>
        <c:tickLblSkip val="10"/>
        <c:tickMarkSkip val="1"/>
      </c:catAx>
      <c:valAx>
        <c:axId val="135550080"/>
        <c:scaling>
          <c:orientation val="minMax"/>
          <c:max val="1950"/>
          <c:min val="1100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Price Per Metric Tons</a:t>
                </a:r>
              </a:p>
            </c:rich>
          </c:tx>
          <c:layout>
            <c:manualLayout>
              <c:xMode val="edge"/>
              <c:yMode val="edge"/>
              <c:x val="5.9101723069180196E-3"/>
              <c:y val="0.220395090838126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40096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644179923201"/>
          <c:y val="0.17105290632212808"/>
          <c:w val="0.35342830395369773"/>
          <c:h val="5.263166348373171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FKB3 Third Quarterly Month Futures</a:t>
            </a:r>
          </a:p>
        </c:rich>
      </c:tx>
      <c:layout>
        <c:manualLayout>
          <c:xMode val="edge"/>
          <c:yMode val="edge"/>
          <c:x val="0.36192714453584035"/>
          <c:y val="2.08334039761148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30199764982378E-2"/>
          <c:y val="5.2083509940287091E-2"/>
          <c:w val="0.90599294947121012"/>
          <c:h val="0.73264137316003852"/>
        </c:manualLayout>
      </c:layout>
      <c:lineChart>
        <c:grouping val="standard"/>
        <c:ser>
          <c:idx val="2"/>
          <c:order val="0"/>
          <c:tx>
            <c:strRef>
              <c:f>[1]FKB3!$H$2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[1]FKB3!$A$667:$A$871</c:f>
              <c:numCache>
                <c:formatCode>General</c:formatCode>
                <c:ptCount val="205"/>
                <c:pt idx="0">
                  <c:v>37700</c:v>
                </c:pt>
                <c:pt idx="1">
                  <c:v>37701</c:v>
                </c:pt>
                <c:pt idx="2">
                  <c:v>37704</c:v>
                </c:pt>
                <c:pt idx="3">
                  <c:v>37705</c:v>
                </c:pt>
                <c:pt idx="4">
                  <c:v>37706</c:v>
                </c:pt>
                <c:pt idx="5">
                  <c:v>37707</c:v>
                </c:pt>
                <c:pt idx="6">
                  <c:v>37708</c:v>
                </c:pt>
                <c:pt idx="7">
                  <c:v>37711</c:v>
                </c:pt>
                <c:pt idx="8">
                  <c:v>37712</c:v>
                </c:pt>
                <c:pt idx="9">
                  <c:v>37713</c:v>
                </c:pt>
                <c:pt idx="10">
                  <c:v>37714</c:v>
                </c:pt>
                <c:pt idx="11">
                  <c:v>37715</c:v>
                </c:pt>
                <c:pt idx="12">
                  <c:v>37718</c:v>
                </c:pt>
                <c:pt idx="13">
                  <c:v>37719</c:v>
                </c:pt>
                <c:pt idx="14">
                  <c:v>37720</c:v>
                </c:pt>
                <c:pt idx="15">
                  <c:v>37721</c:v>
                </c:pt>
                <c:pt idx="16">
                  <c:v>37722</c:v>
                </c:pt>
                <c:pt idx="17">
                  <c:v>37725</c:v>
                </c:pt>
                <c:pt idx="18">
                  <c:v>37726</c:v>
                </c:pt>
                <c:pt idx="19">
                  <c:v>37727</c:v>
                </c:pt>
                <c:pt idx="20">
                  <c:v>37728</c:v>
                </c:pt>
                <c:pt idx="21">
                  <c:v>37729</c:v>
                </c:pt>
                <c:pt idx="22">
                  <c:v>37732</c:v>
                </c:pt>
                <c:pt idx="23">
                  <c:v>37733</c:v>
                </c:pt>
                <c:pt idx="24">
                  <c:v>37734</c:v>
                </c:pt>
                <c:pt idx="25">
                  <c:v>37735</c:v>
                </c:pt>
                <c:pt idx="26">
                  <c:v>37736</c:v>
                </c:pt>
                <c:pt idx="27">
                  <c:v>37739</c:v>
                </c:pt>
                <c:pt idx="28">
                  <c:v>37740</c:v>
                </c:pt>
                <c:pt idx="29">
                  <c:v>37741</c:v>
                </c:pt>
                <c:pt idx="30">
                  <c:v>37743</c:v>
                </c:pt>
                <c:pt idx="31">
                  <c:v>37746</c:v>
                </c:pt>
                <c:pt idx="32">
                  <c:v>37747</c:v>
                </c:pt>
                <c:pt idx="33">
                  <c:v>37748</c:v>
                </c:pt>
                <c:pt idx="34">
                  <c:v>37749</c:v>
                </c:pt>
                <c:pt idx="35">
                  <c:v>37750</c:v>
                </c:pt>
                <c:pt idx="36">
                  <c:v>37753</c:v>
                </c:pt>
                <c:pt idx="37">
                  <c:v>37754</c:v>
                </c:pt>
                <c:pt idx="38">
                  <c:v>37757</c:v>
                </c:pt>
                <c:pt idx="39">
                  <c:v>37760</c:v>
                </c:pt>
                <c:pt idx="40">
                  <c:v>37761</c:v>
                </c:pt>
                <c:pt idx="41">
                  <c:v>37762</c:v>
                </c:pt>
                <c:pt idx="42">
                  <c:v>37763</c:v>
                </c:pt>
                <c:pt idx="43">
                  <c:v>37764</c:v>
                </c:pt>
                <c:pt idx="44">
                  <c:v>37767</c:v>
                </c:pt>
                <c:pt idx="45">
                  <c:v>37768</c:v>
                </c:pt>
                <c:pt idx="46">
                  <c:v>37769</c:v>
                </c:pt>
                <c:pt idx="47">
                  <c:v>37770</c:v>
                </c:pt>
                <c:pt idx="48">
                  <c:v>37771</c:v>
                </c:pt>
                <c:pt idx="49">
                  <c:v>37774</c:v>
                </c:pt>
                <c:pt idx="50">
                  <c:v>37775</c:v>
                </c:pt>
                <c:pt idx="51">
                  <c:v>37776</c:v>
                </c:pt>
                <c:pt idx="52">
                  <c:v>37777</c:v>
                </c:pt>
                <c:pt idx="53">
                  <c:v>37778</c:v>
                </c:pt>
                <c:pt idx="54">
                  <c:v>37781</c:v>
                </c:pt>
                <c:pt idx="55">
                  <c:v>37782</c:v>
                </c:pt>
                <c:pt idx="56">
                  <c:v>37783</c:v>
                </c:pt>
                <c:pt idx="57">
                  <c:v>37784</c:v>
                </c:pt>
                <c:pt idx="58">
                  <c:v>37785</c:v>
                </c:pt>
                <c:pt idx="59">
                  <c:v>37788</c:v>
                </c:pt>
                <c:pt idx="60">
                  <c:v>37789</c:v>
                </c:pt>
                <c:pt idx="61">
                  <c:v>37790</c:v>
                </c:pt>
                <c:pt idx="62">
                  <c:v>37791</c:v>
                </c:pt>
                <c:pt idx="63">
                  <c:v>37792</c:v>
                </c:pt>
                <c:pt idx="64">
                  <c:v>37795</c:v>
                </c:pt>
                <c:pt idx="65">
                  <c:v>37796</c:v>
                </c:pt>
                <c:pt idx="66">
                  <c:v>37797</c:v>
                </c:pt>
                <c:pt idx="67">
                  <c:v>37798</c:v>
                </c:pt>
                <c:pt idx="68">
                  <c:v>37799</c:v>
                </c:pt>
                <c:pt idx="69">
                  <c:v>37802</c:v>
                </c:pt>
                <c:pt idx="70">
                  <c:v>37803</c:v>
                </c:pt>
                <c:pt idx="71">
                  <c:v>37804</c:v>
                </c:pt>
                <c:pt idx="72">
                  <c:v>37805</c:v>
                </c:pt>
                <c:pt idx="73">
                  <c:v>37806</c:v>
                </c:pt>
                <c:pt idx="74">
                  <c:v>37809</c:v>
                </c:pt>
                <c:pt idx="75">
                  <c:v>37810</c:v>
                </c:pt>
                <c:pt idx="76">
                  <c:v>37811</c:v>
                </c:pt>
                <c:pt idx="77">
                  <c:v>37812</c:v>
                </c:pt>
                <c:pt idx="78">
                  <c:v>37813</c:v>
                </c:pt>
                <c:pt idx="79">
                  <c:v>37816</c:v>
                </c:pt>
                <c:pt idx="80">
                  <c:v>37817</c:v>
                </c:pt>
                <c:pt idx="81">
                  <c:v>37818</c:v>
                </c:pt>
                <c:pt idx="82">
                  <c:v>37819</c:v>
                </c:pt>
                <c:pt idx="83">
                  <c:v>37820</c:v>
                </c:pt>
                <c:pt idx="84">
                  <c:v>37823</c:v>
                </c:pt>
                <c:pt idx="85">
                  <c:v>37824</c:v>
                </c:pt>
                <c:pt idx="86">
                  <c:v>37825</c:v>
                </c:pt>
                <c:pt idx="87">
                  <c:v>37826</c:v>
                </c:pt>
                <c:pt idx="88">
                  <c:v>37827</c:v>
                </c:pt>
                <c:pt idx="89">
                  <c:v>37830</c:v>
                </c:pt>
                <c:pt idx="90">
                  <c:v>37831</c:v>
                </c:pt>
                <c:pt idx="91">
                  <c:v>37832</c:v>
                </c:pt>
                <c:pt idx="92">
                  <c:v>37833</c:v>
                </c:pt>
                <c:pt idx="93">
                  <c:v>37834</c:v>
                </c:pt>
                <c:pt idx="94">
                  <c:v>37837</c:v>
                </c:pt>
                <c:pt idx="95">
                  <c:v>37838</c:v>
                </c:pt>
                <c:pt idx="96">
                  <c:v>37839</c:v>
                </c:pt>
                <c:pt idx="97">
                  <c:v>37840</c:v>
                </c:pt>
                <c:pt idx="98">
                  <c:v>37841</c:v>
                </c:pt>
                <c:pt idx="99">
                  <c:v>37844</c:v>
                </c:pt>
                <c:pt idx="100">
                  <c:v>37845</c:v>
                </c:pt>
                <c:pt idx="101">
                  <c:v>37846</c:v>
                </c:pt>
                <c:pt idx="102">
                  <c:v>37847</c:v>
                </c:pt>
                <c:pt idx="103">
                  <c:v>37848</c:v>
                </c:pt>
                <c:pt idx="104">
                  <c:v>37851</c:v>
                </c:pt>
                <c:pt idx="105">
                  <c:v>37852</c:v>
                </c:pt>
                <c:pt idx="106">
                  <c:v>37853</c:v>
                </c:pt>
                <c:pt idx="107">
                  <c:v>37854</c:v>
                </c:pt>
                <c:pt idx="108">
                  <c:v>37855</c:v>
                </c:pt>
                <c:pt idx="109">
                  <c:v>37858</c:v>
                </c:pt>
                <c:pt idx="110">
                  <c:v>37859</c:v>
                </c:pt>
                <c:pt idx="111">
                  <c:v>37860</c:v>
                </c:pt>
                <c:pt idx="112">
                  <c:v>37861</c:v>
                </c:pt>
                <c:pt idx="113">
                  <c:v>37862</c:v>
                </c:pt>
                <c:pt idx="114">
                  <c:v>37866</c:v>
                </c:pt>
                <c:pt idx="115">
                  <c:v>37867</c:v>
                </c:pt>
                <c:pt idx="116">
                  <c:v>37868</c:v>
                </c:pt>
                <c:pt idx="117">
                  <c:v>37869</c:v>
                </c:pt>
                <c:pt idx="118">
                  <c:v>37872</c:v>
                </c:pt>
                <c:pt idx="119">
                  <c:v>37873</c:v>
                </c:pt>
                <c:pt idx="120">
                  <c:v>37874</c:v>
                </c:pt>
                <c:pt idx="121">
                  <c:v>37875</c:v>
                </c:pt>
                <c:pt idx="122">
                  <c:v>37876</c:v>
                </c:pt>
                <c:pt idx="123">
                  <c:v>37879</c:v>
                </c:pt>
                <c:pt idx="124">
                  <c:v>37880</c:v>
                </c:pt>
                <c:pt idx="125">
                  <c:v>37881</c:v>
                </c:pt>
                <c:pt idx="126">
                  <c:v>37882</c:v>
                </c:pt>
                <c:pt idx="127">
                  <c:v>37883</c:v>
                </c:pt>
                <c:pt idx="128">
                  <c:v>37886</c:v>
                </c:pt>
                <c:pt idx="129">
                  <c:v>37887</c:v>
                </c:pt>
                <c:pt idx="130">
                  <c:v>37888</c:v>
                </c:pt>
                <c:pt idx="131">
                  <c:v>37889</c:v>
                </c:pt>
                <c:pt idx="132">
                  <c:v>37890</c:v>
                </c:pt>
                <c:pt idx="133">
                  <c:v>37893</c:v>
                </c:pt>
                <c:pt idx="134">
                  <c:v>37894</c:v>
                </c:pt>
                <c:pt idx="135">
                  <c:v>37895</c:v>
                </c:pt>
                <c:pt idx="136">
                  <c:v>37896</c:v>
                </c:pt>
                <c:pt idx="137">
                  <c:v>37897</c:v>
                </c:pt>
                <c:pt idx="138">
                  <c:v>37900</c:v>
                </c:pt>
                <c:pt idx="139">
                  <c:v>37901</c:v>
                </c:pt>
                <c:pt idx="140">
                  <c:v>37902</c:v>
                </c:pt>
                <c:pt idx="141">
                  <c:v>37903</c:v>
                </c:pt>
                <c:pt idx="142">
                  <c:v>37904</c:v>
                </c:pt>
                <c:pt idx="143">
                  <c:v>37907</c:v>
                </c:pt>
                <c:pt idx="144">
                  <c:v>37908</c:v>
                </c:pt>
                <c:pt idx="145">
                  <c:v>37909</c:v>
                </c:pt>
                <c:pt idx="146">
                  <c:v>37910</c:v>
                </c:pt>
                <c:pt idx="147">
                  <c:v>37911</c:v>
                </c:pt>
                <c:pt idx="148">
                  <c:v>37914</c:v>
                </c:pt>
                <c:pt idx="149">
                  <c:v>37915</c:v>
                </c:pt>
                <c:pt idx="150">
                  <c:v>37916</c:v>
                </c:pt>
                <c:pt idx="151">
                  <c:v>37917</c:v>
                </c:pt>
                <c:pt idx="152">
                  <c:v>37921</c:v>
                </c:pt>
                <c:pt idx="153">
                  <c:v>37922</c:v>
                </c:pt>
                <c:pt idx="154">
                  <c:v>37923</c:v>
                </c:pt>
                <c:pt idx="155">
                  <c:v>37924</c:v>
                </c:pt>
                <c:pt idx="156">
                  <c:v>37925</c:v>
                </c:pt>
                <c:pt idx="157">
                  <c:v>37928</c:v>
                </c:pt>
                <c:pt idx="158">
                  <c:v>37929</c:v>
                </c:pt>
                <c:pt idx="159">
                  <c:v>37930</c:v>
                </c:pt>
                <c:pt idx="160">
                  <c:v>37931</c:v>
                </c:pt>
                <c:pt idx="161">
                  <c:v>37932</c:v>
                </c:pt>
                <c:pt idx="162">
                  <c:v>37935</c:v>
                </c:pt>
                <c:pt idx="163">
                  <c:v>37936</c:v>
                </c:pt>
                <c:pt idx="164">
                  <c:v>37937</c:v>
                </c:pt>
                <c:pt idx="165">
                  <c:v>37938</c:v>
                </c:pt>
                <c:pt idx="166">
                  <c:v>37939</c:v>
                </c:pt>
                <c:pt idx="167">
                  <c:v>37942</c:v>
                </c:pt>
                <c:pt idx="168">
                  <c:v>37943</c:v>
                </c:pt>
                <c:pt idx="169">
                  <c:v>37944</c:v>
                </c:pt>
                <c:pt idx="170">
                  <c:v>37945</c:v>
                </c:pt>
                <c:pt idx="171">
                  <c:v>37946</c:v>
                </c:pt>
                <c:pt idx="172">
                  <c:v>37952</c:v>
                </c:pt>
                <c:pt idx="173">
                  <c:v>37953</c:v>
                </c:pt>
                <c:pt idx="174">
                  <c:v>37956</c:v>
                </c:pt>
                <c:pt idx="175">
                  <c:v>37957</c:v>
                </c:pt>
                <c:pt idx="176">
                  <c:v>37958</c:v>
                </c:pt>
                <c:pt idx="177">
                  <c:v>37959</c:v>
                </c:pt>
                <c:pt idx="178">
                  <c:v>37960</c:v>
                </c:pt>
                <c:pt idx="179">
                  <c:v>37963</c:v>
                </c:pt>
                <c:pt idx="180">
                  <c:v>37964</c:v>
                </c:pt>
                <c:pt idx="181">
                  <c:v>37965</c:v>
                </c:pt>
                <c:pt idx="182">
                  <c:v>37966</c:v>
                </c:pt>
                <c:pt idx="183">
                  <c:v>37967</c:v>
                </c:pt>
                <c:pt idx="184">
                  <c:v>37970</c:v>
                </c:pt>
                <c:pt idx="185">
                  <c:v>37971</c:v>
                </c:pt>
                <c:pt idx="186">
                  <c:v>37972</c:v>
                </c:pt>
                <c:pt idx="187">
                  <c:v>37973</c:v>
                </c:pt>
                <c:pt idx="188">
                  <c:v>37974</c:v>
                </c:pt>
                <c:pt idx="189">
                  <c:v>37977</c:v>
                </c:pt>
                <c:pt idx="190">
                  <c:v>37978</c:v>
                </c:pt>
                <c:pt idx="191">
                  <c:v>37979</c:v>
                </c:pt>
                <c:pt idx="192">
                  <c:v>37981</c:v>
                </c:pt>
                <c:pt idx="193">
                  <c:v>37984</c:v>
                </c:pt>
                <c:pt idx="194">
                  <c:v>37985</c:v>
                </c:pt>
                <c:pt idx="195">
                  <c:v>37986</c:v>
                </c:pt>
                <c:pt idx="196">
                  <c:v>37988</c:v>
                </c:pt>
                <c:pt idx="197">
                  <c:v>37991</c:v>
                </c:pt>
                <c:pt idx="198">
                  <c:v>37992</c:v>
                </c:pt>
                <c:pt idx="199">
                  <c:v>37993</c:v>
                </c:pt>
                <c:pt idx="200">
                  <c:v>37994</c:v>
                </c:pt>
                <c:pt idx="201">
                  <c:v>37995</c:v>
                </c:pt>
                <c:pt idx="202">
                  <c:v>37998</c:v>
                </c:pt>
                <c:pt idx="203">
                  <c:v>37999</c:v>
                </c:pt>
                <c:pt idx="204">
                  <c:v>38000</c:v>
                </c:pt>
              </c:numCache>
            </c:numRef>
          </c:cat>
          <c:val>
            <c:numRef>
              <c:f>[1]FKB3!$H$667:$H$871</c:f>
              <c:numCache>
                <c:formatCode>General</c:formatCode>
                <c:ptCount val="205"/>
                <c:pt idx="0">
                  <c:v>96.86</c:v>
                </c:pt>
                <c:pt idx="1">
                  <c:v>96.9</c:v>
                </c:pt>
                <c:pt idx="2">
                  <c:v>96.88</c:v>
                </c:pt>
                <c:pt idx="3">
                  <c:v>96.88</c:v>
                </c:pt>
                <c:pt idx="4">
                  <c:v>96.87</c:v>
                </c:pt>
                <c:pt idx="5">
                  <c:v>96.87</c:v>
                </c:pt>
                <c:pt idx="6">
                  <c:v>96.86</c:v>
                </c:pt>
                <c:pt idx="7">
                  <c:v>96.86</c:v>
                </c:pt>
                <c:pt idx="8">
                  <c:v>96.86</c:v>
                </c:pt>
                <c:pt idx="9">
                  <c:v>96.84</c:v>
                </c:pt>
                <c:pt idx="10">
                  <c:v>96.88</c:v>
                </c:pt>
                <c:pt idx="11">
                  <c:v>96.87</c:v>
                </c:pt>
                <c:pt idx="12">
                  <c:v>96.83</c:v>
                </c:pt>
                <c:pt idx="13">
                  <c:v>96.85</c:v>
                </c:pt>
                <c:pt idx="14">
                  <c:v>96.88</c:v>
                </c:pt>
                <c:pt idx="15">
                  <c:v>96.88</c:v>
                </c:pt>
                <c:pt idx="16">
                  <c:v>96.9</c:v>
                </c:pt>
                <c:pt idx="17">
                  <c:v>96.87</c:v>
                </c:pt>
                <c:pt idx="18">
                  <c:v>96.85</c:v>
                </c:pt>
                <c:pt idx="19">
                  <c:v>96.85</c:v>
                </c:pt>
                <c:pt idx="20">
                  <c:v>96.88</c:v>
                </c:pt>
                <c:pt idx="21">
                  <c:v>96.88</c:v>
                </c:pt>
                <c:pt idx="22">
                  <c:v>96.86</c:v>
                </c:pt>
                <c:pt idx="23">
                  <c:v>96.87</c:v>
                </c:pt>
                <c:pt idx="24">
                  <c:v>96.9</c:v>
                </c:pt>
                <c:pt idx="25">
                  <c:v>96.89</c:v>
                </c:pt>
                <c:pt idx="26">
                  <c:v>96.89</c:v>
                </c:pt>
                <c:pt idx="27">
                  <c:v>96.9</c:v>
                </c:pt>
                <c:pt idx="28">
                  <c:v>96.89</c:v>
                </c:pt>
                <c:pt idx="29">
                  <c:v>96.87</c:v>
                </c:pt>
                <c:pt idx="30">
                  <c:v>96.87</c:v>
                </c:pt>
                <c:pt idx="31">
                  <c:v>96.87</c:v>
                </c:pt>
                <c:pt idx="32">
                  <c:v>96.87</c:v>
                </c:pt>
                <c:pt idx="33">
                  <c:v>96.88</c:v>
                </c:pt>
                <c:pt idx="34">
                  <c:v>96.88</c:v>
                </c:pt>
                <c:pt idx="35">
                  <c:v>96.9</c:v>
                </c:pt>
                <c:pt idx="36">
                  <c:v>96.91</c:v>
                </c:pt>
                <c:pt idx="37">
                  <c:v>96.91</c:v>
                </c:pt>
                <c:pt idx="38">
                  <c:v>96.91</c:v>
                </c:pt>
                <c:pt idx="39">
                  <c:v>96.94</c:v>
                </c:pt>
                <c:pt idx="40">
                  <c:v>96.95</c:v>
                </c:pt>
                <c:pt idx="41">
                  <c:v>96.98</c:v>
                </c:pt>
                <c:pt idx="42">
                  <c:v>96.94</c:v>
                </c:pt>
                <c:pt idx="43">
                  <c:v>96.94</c:v>
                </c:pt>
                <c:pt idx="44">
                  <c:v>96.91</c:v>
                </c:pt>
                <c:pt idx="45">
                  <c:v>96.91</c:v>
                </c:pt>
                <c:pt idx="46">
                  <c:v>96.89</c:v>
                </c:pt>
                <c:pt idx="47">
                  <c:v>96.89</c:v>
                </c:pt>
                <c:pt idx="48">
                  <c:v>96.89</c:v>
                </c:pt>
                <c:pt idx="49">
                  <c:v>96.89</c:v>
                </c:pt>
                <c:pt idx="50">
                  <c:v>96.89</c:v>
                </c:pt>
                <c:pt idx="51">
                  <c:v>96.91</c:v>
                </c:pt>
                <c:pt idx="52">
                  <c:v>96.91</c:v>
                </c:pt>
                <c:pt idx="53">
                  <c:v>96.92</c:v>
                </c:pt>
                <c:pt idx="54">
                  <c:v>96.92</c:v>
                </c:pt>
                <c:pt idx="55">
                  <c:v>96.92</c:v>
                </c:pt>
                <c:pt idx="56">
                  <c:v>96.92</c:v>
                </c:pt>
                <c:pt idx="57">
                  <c:v>96.92</c:v>
                </c:pt>
                <c:pt idx="58">
                  <c:v>96.92</c:v>
                </c:pt>
                <c:pt idx="59">
                  <c:v>96.92</c:v>
                </c:pt>
                <c:pt idx="60">
                  <c:v>96.92</c:v>
                </c:pt>
                <c:pt idx="61">
                  <c:v>96.92</c:v>
                </c:pt>
                <c:pt idx="62">
                  <c:v>96.91</c:v>
                </c:pt>
                <c:pt idx="63">
                  <c:v>96.91</c:v>
                </c:pt>
                <c:pt idx="64">
                  <c:v>96.91</c:v>
                </c:pt>
                <c:pt idx="65">
                  <c:v>96.91</c:v>
                </c:pt>
                <c:pt idx="66">
                  <c:v>96.91</c:v>
                </c:pt>
                <c:pt idx="67">
                  <c:v>96.91</c:v>
                </c:pt>
                <c:pt idx="68">
                  <c:v>96.92</c:v>
                </c:pt>
                <c:pt idx="69">
                  <c:v>96.9</c:v>
                </c:pt>
                <c:pt idx="70">
                  <c:v>96.9</c:v>
                </c:pt>
                <c:pt idx="71">
                  <c:v>96.9</c:v>
                </c:pt>
                <c:pt idx="72">
                  <c:v>96.9</c:v>
                </c:pt>
                <c:pt idx="73">
                  <c:v>96.88</c:v>
                </c:pt>
                <c:pt idx="74">
                  <c:v>96.87</c:v>
                </c:pt>
                <c:pt idx="75">
                  <c:v>96.87</c:v>
                </c:pt>
                <c:pt idx="76">
                  <c:v>96.9</c:v>
                </c:pt>
                <c:pt idx="77">
                  <c:v>96.88</c:v>
                </c:pt>
                <c:pt idx="78">
                  <c:v>96.86</c:v>
                </c:pt>
                <c:pt idx="79">
                  <c:v>96.85</c:v>
                </c:pt>
                <c:pt idx="80">
                  <c:v>96.81</c:v>
                </c:pt>
                <c:pt idx="81">
                  <c:v>96.65</c:v>
                </c:pt>
                <c:pt idx="82">
                  <c:v>96.72</c:v>
                </c:pt>
                <c:pt idx="83">
                  <c:v>96.71</c:v>
                </c:pt>
                <c:pt idx="84">
                  <c:v>96.71</c:v>
                </c:pt>
                <c:pt idx="85">
                  <c:v>96.69</c:v>
                </c:pt>
                <c:pt idx="86">
                  <c:v>96.79</c:v>
                </c:pt>
                <c:pt idx="87">
                  <c:v>96.74</c:v>
                </c:pt>
                <c:pt idx="88">
                  <c:v>96.74</c:v>
                </c:pt>
                <c:pt idx="89">
                  <c:v>96.68</c:v>
                </c:pt>
                <c:pt idx="90">
                  <c:v>96.8</c:v>
                </c:pt>
                <c:pt idx="91">
                  <c:v>96.82</c:v>
                </c:pt>
                <c:pt idx="92">
                  <c:v>96.82</c:v>
                </c:pt>
                <c:pt idx="93">
                  <c:v>96.82</c:v>
                </c:pt>
                <c:pt idx="94">
                  <c:v>96.81</c:v>
                </c:pt>
                <c:pt idx="95">
                  <c:v>96.81</c:v>
                </c:pt>
                <c:pt idx="96">
                  <c:v>96.8</c:v>
                </c:pt>
                <c:pt idx="97">
                  <c:v>96.81</c:v>
                </c:pt>
                <c:pt idx="98">
                  <c:v>96.81</c:v>
                </c:pt>
                <c:pt idx="99">
                  <c:v>96.81</c:v>
                </c:pt>
                <c:pt idx="100">
                  <c:v>96.83</c:v>
                </c:pt>
                <c:pt idx="101">
                  <c:v>96.8</c:v>
                </c:pt>
                <c:pt idx="102">
                  <c:v>96.8</c:v>
                </c:pt>
                <c:pt idx="103">
                  <c:v>96.83</c:v>
                </c:pt>
                <c:pt idx="104">
                  <c:v>96.83</c:v>
                </c:pt>
                <c:pt idx="105">
                  <c:v>96.83</c:v>
                </c:pt>
                <c:pt idx="106">
                  <c:v>96.81</c:v>
                </c:pt>
                <c:pt idx="107">
                  <c:v>96.82</c:v>
                </c:pt>
                <c:pt idx="108">
                  <c:v>96.79</c:v>
                </c:pt>
                <c:pt idx="109">
                  <c:v>96.84</c:v>
                </c:pt>
                <c:pt idx="110">
                  <c:v>96.86</c:v>
                </c:pt>
                <c:pt idx="111">
                  <c:v>96.85</c:v>
                </c:pt>
                <c:pt idx="112">
                  <c:v>96.85</c:v>
                </c:pt>
                <c:pt idx="113">
                  <c:v>96.86</c:v>
                </c:pt>
                <c:pt idx="114">
                  <c:v>96.85</c:v>
                </c:pt>
                <c:pt idx="115">
                  <c:v>96.83</c:v>
                </c:pt>
                <c:pt idx="116">
                  <c:v>96.83</c:v>
                </c:pt>
                <c:pt idx="117">
                  <c:v>96.82</c:v>
                </c:pt>
                <c:pt idx="118">
                  <c:v>96.85</c:v>
                </c:pt>
                <c:pt idx="119">
                  <c:v>96.87</c:v>
                </c:pt>
                <c:pt idx="120">
                  <c:v>96.84</c:v>
                </c:pt>
                <c:pt idx="121">
                  <c:v>96.93</c:v>
                </c:pt>
                <c:pt idx="122">
                  <c:v>96.88</c:v>
                </c:pt>
                <c:pt idx="123">
                  <c:v>96.88</c:v>
                </c:pt>
                <c:pt idx="124">
                  <c:v>96.88</c:v>
                </c:pt>
                <c:pt idx="125">
                  <c:v>96.9</c:v>
                </c:pt>
                <c:pt idx="126">
                  <c:v>96.79</c:v>
                </c:pt>
                <c:pt idx="127">
                  <c:v>96.74</c:v>
                </c:pt>
                <c:pt idx="128">
                  <c:v>96.7</c:v>
                </c:pt>
                <c:pt idx="129">
                  <c:v>96.8</c:v>
                </c:pt>
                <c:pt idx="130">
                  <c:v>96.84</c:v>
                </c:pt>
                <c:pt idx="131">
                  <c:v>96.88</c:v>
                </c:pt>
                <c:pt idx="132">
                  <c:v>96.85</c:v>
                </c:pt>
                <c:pt idx="133">
                  <c:v>96.86</c:v>
                </c:pt>
                <c:pt idx="134">
                  <c:v>96.84</c:v>
                </c:pt>
                <c:pt idx="135">
                  <c:v>96.84</c:v>
                </c:pt>
                <c:pt idx="136">
                  <c:v>96.84</c:v>
                </c:pt>
                <c:pt idx="137">
                  <c:v>96.8</c:v>
                </c:pt>
                <c:pt idx="138">
                  <c:v>96.76</c:v>
                </c:pt>
                <c:pt idx="139">
                  <c:v>96.8</c:v>
                </c:pt>
                <c:pt idx="140">
                  <c:v>96.86</c:v>
                </c:pt>
                <c:pt idx="141">
                  <c:v>96.86</c:v>
                </c:pt>
                <c:pt idx="142">
                  <c:v>96.96</c:v>
                </c:pt>
                <c:pt idx="143">
                  <c:v>96.9</c:v>
                </c:pt>
                <c:pt idx="144">
                  <c:v>96.88</c:v>
                </c:pt>
                <c:pt idx="145">
                  <c:v>96.88</c:v>
                </c:pt>
                <c:pt idx="146">
                  <c:v>96.85</c:v>
                </c:pt>
                <c:pt idx="147">
                  <c:v>96.79</c:v>
                </c:pt>
                <c:pt idx="148">
                  <c:v>96.75</c:v>
                </c:pt>
                <c:pt idx="149">
                  <c:v>96.79</c:v>
                </c:pt>
                <c:pt idx="150">
                  <c:v>96.78</c:v>
                </c:pt>
                <c:pt idx="151">
                  <c:v>96.85</c:v>
                </c:pt>
                <c:pt idx="152">
                  <c:v>96.88</c:v>
                </c:pt>
                <c:pt idx="153">
                  <c:v>96.84</c:v>
                </c:pt>
                <c:pt idx="154">
                  <c:v>96.84</c:v>
                </c:pt>
                <c:pt idx="155">
                  <c:v>96.84</c:v>
                </c:pt>
                <c:pt idx="156">
                  <c:v>96.84</c:v>
                </c:pt>
                <c:pt idx="157">
                  <c:v>96.79</c:v>
                </c:pt>
                <c:pt idx="158">
                  <c:v>96.66</c:v>
                </c:pt>
                <c:pt idx="159">
                  <c:v>96.68</c:v>
                </c:pt>
                <c:pt idx="160">
                  <c:v>96.69</c:v>
                </c:pt>
                <c:pt idx="161">
                  <c:v>96.69</c:v>
                </c:pt>
                <c:pt idx="162">
                  <c:v>96.64</c:v>
                </c:pt>
                <c:pt idx="163">
                  <c:v>96.68</c:v>
                </c:pt>
                <c:pt idx="164">
                  <c:v>96.71</c:v>
                </c:pt>
                <c:pt idx="165">
                  <c:v>96.71</c:v>
                </c:pt>
                <c:pt idx="166">
                  <c:v>96.76</c:v>
                </c:pt>
                <c:pt idx="167">
                  <c:v>96.82</c:v>
                </c:pt>
                <c:pt idx="168">
                  <c:v>96.79</c:v>
                </c:pt>
                <c:pt idx="169">
                  <c:v>96.79</c:v>
                </c:pt>
                <c:pt idx="170">
                  <c:v>96.79</c:v>
                </c:pt>
                <c:pt idx="171">
                  <c:v>96.89</c:v>
                </c:pt>
                <c:pt idx="172">
                  <c:v>96.94</c:v>
                </c:pt>
                <c:pt idx="173">
                  <c:v>96.82</c:v>
                </c:pt>
                <c:pt idx="174">
                  <c:v>96.83</c:v>
                </c:pt>
                <c:pt idx="175">
                  <c:v>96.84</c:v>
                </c:pt>
                <c:pt idx="176">
                  <c:v>96.88</c:v>
                </c:pt>
                <c:pt idx="177">
                  <c:v>96.9</c:v>
                </c:pt>
                <c:pt idx="178">
                  <c:v>96.91</c:v>
                </c:pt>
                <c:pt idx="179">
                  <c:v>96.95</c:v>
                </c:pt>
                <c:pt idx="180">
                  <c:v>96.9</c:v>
                </c:pt>
                <c:pt idx="181">
                  <c:v>96.85</c:v>
                </c:pt>
                <c:pt idx="182">
                  <c:v>96.81</c:v>
                </c:pt>
                <c:pt idx="183">
                  <c:v>96.81</c:v>
                </c:pt>
                <c:pt idx="184">
                  <c:v>96.84</c:v>
                </c:pt>
                <c:pt idx="185">
                  <c:v>96.89</c:v>
                </c:pt>
                <c:pt idx="186">
                  <c:v>96.89</c:v>
                </c:pt>
                <c:pt idx="187">
                  <c:v>96.73</c:v>
                </c:pt>
                <c:pt idx="188">
                  <c:v>96.71</c:v>
                </c:pt>
                <c:pt idx="189">
                  <c:v>96.75</c:v>
                </c:pt>
                <c:pt idx="190">
                  <c:v>96.7</c:v>
                </c:pt>
                <c:pt idx="191">
                  <c:v>96.74</c:v>
                </c:pt>
                <c:pt idx="192">
                  <c:v>96.74</c:v>
                </c:pt>
                <c:pt idx="193">
                  <c:v>96.73</c:v>
                </c:pt>
                <c:pt idx="194">
                  <c:v>96.73</c:v>
                </c:pt>
                <c:pt idx="195">
                  <c:v>96.76</c:v>
                </c:pt>
                <c:pt idx="196">
                  <c:v>96.74</c:v>
                </c:pt>
                <c:pt idx="197">
                  <c:v>96.82</c:v>
                </c:pt>
                <c:pt idx="198">
                  <c:v>96.78</c:v>
                </c:pt>
                <c:pt idx="199">
                  <c:v>96.85</c:v>
                </c:pt>
                <c:pt idx="200">
                  <c:v>96.92</c:v>
                </c:pt>
                <c:pt idx="201">
                  <c:v>96.82</c:v>
                </c:pt>
                <c:pt idx="202">
                  <c:v>96.87</c:v>
                </c:pt>
                <c:pt idx="203">
                  <c:v>96.86</c:v>
                </c:pt>
                <c:pt idx="204">
                  <c:v>96.86</c:v>
                </c:pt>
              </c:numCache>
            </c:numRef>
          </c:val>
        </c:ser>
        <c:marker val="1"/>
        <c:axId val="135570560"/>
        <c:axId val="135572096"/>
      </c:lineChart>
      <c:catAx>
        <c:axId val="135570560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2096"/>
        <c:crossesAt val="96"/>
        <c:lblAlgn val="ctr"/>
        <c:lblOffset val="100"/>
        <c:tickLblSkip val="11"/>
        <c:tickMarkSkip val="1"/>
      </c:catAx>
      <c:valAx>
        <c:axId val="135572096"/>
        <c:scaling>
          <c:orientation val="minMax"/>
          <c:max val="97.1"/>
          <c:min val="96.6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Points</a:t>
                </a:r>
              </a:p>
            </c:rich>
          </c:tx>
          <c:layout>
            <c:manualLayout>
              <c:xMode val="edge"/>
              <c:yMode val="edge"/>
              <c:x val="5.8754406580493537E-3"/>
              <c:y val="0.30555659164968446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570560"/>
        <c:crosses val="autoZero"/>
        <c:crossBetween val="midCat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226792009400707"/>
          <c:y val="9.7222551888535819E-2"/>
          <c:w val="0.35135135135135137"/>
          <c:h val="5.555574393630623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OKLI (At the money Premium Value)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3"/>
          <c:order val="1"/>
          <c:tx>
            <c:strRef>
              <c:f>[2]DATA!$E$3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808080"/>
              </a:solidFill>
              <a:prstDash val="solid"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[2]DATA!$E$489:$E$734</c:f>
              <c:numCache>
                <c:formatCode>General</c:formatCode>
                <c:ptCount val="246"/>
                <c:pt idx="0">
                  <c:v>536.95000000000005</c:v>
                </c:pt>
                <c:pt idx="1">
                  <c:v>548.05999999999995</c:v>
                </c:pt>
                <c:pt idx="2">
                  <c:v>575.89</c:v>
                </c:pt>
                <c:pt idx="3">
                  <c:v>607.4</c:v>
                </c:pt>
                <c:pt idx="4">
                  <c:v>676.47</c:v>
                </c:pt>
                <c:pt idx="5">
                  <c:v>629.15</c:v>
                </c:pt>
                <c:pt idx="6">
                  <c:v>636.36</c:v>
                </c:pt>
                <c:pt idx="7">
                  <c:v>589.17999999999995</c:v>
                </c:pt>
                <c:pt idx="8">
                  <c:v>574.91999999999996</c:v>
                </c:pt>
                <c:pt idx="9">
                  <c:v>558.47</c:v>
                </c:pt>
                <c:pt idx="10">
                  <c:v>544.30999999999995</c:v>
                </c:pt>
                <c:pt idx="11">
                  <c:v>556.79</c:v>
                </c:pt>
                <c:pt idx="12">
                  <c:v>577.58000000000004</c:v>
                </c:pt>
                <c:pt idx="13">
                  <c:v>578.76</c:v>
                </c:pt>
                <c:pt idx="14">
                  <c:v>569.83000000000004</c:v>
                </c:pt>
                <c:pt idx="15">
                  <c:v>556.35</c:v>
                </c:pt>
                <c:pt idx="16">
                  <c:v>550.35</c:v>
                </c:pt>
                <c:pt idx="17">
                  <c:v>560.96</c:v>
                </c:pt>
                <c:pt idx="18">
                  <c:v>568.66</c:v>
                </c:pt>
                <c:pt idx="19">
                  <c:v>589.39</c:v>
                </c:pt>
                <c:pt idx="20">
                  <c:v>594.44000000000005</c:v>
                </c:pt>
                <c:pt idx="21">
                  <c:v>571.96</c:v>
                </c:pt>
                <c:pt idx="22">
                  <c:v>546.79</c:v>
                </c:pt>
                <c:pt idx="23">
                  <c:v>525.74</c:v>
                </c:pt>
                <c:pt idx="24">
                  <c:v>521</c:v>
                </c:pt>
                <c:pt idx="25">
                  <c:v>507.16</c:v>
                </c:pt>
                <c:pt idx="26">
                  <c:v>491.6</c:v>
                </c:pt>
                <c:pt idx="27">
                  <c:v>477.57</c:v>
                </c:pt>
                <c:pt idx="28">
                  <c:v>503.89</c:v>
                </c:pt>
                <c:pt idx="29">
                  <c:v>536.67999999999995</c:v>
                </c:pt>
                <c:pt idx="30">
                  <c:v>525.47</c:v>
                </c:pt>
                <c:pt idx="31">
                  <c:v>539.97</c:v>
                </c:pt>
                <c:pt idx="32">
                  <c:v>589.08000000000004</c:v>
                </c:pt>
                <c:pt idx="33">
                  <c:v>585.35</c:v>
                </c:pt>
                <c:pt idx="34">
                  <c:v>590.54999999999995</c:v>
                </c:pt>
                <c:pt idx="35">
                  <c:v>575.21</c:v>
                </c:pt>
                <c:pt idx="36">
                  <c:v>558.57000000000005</c:v>
                </c:pt>
                <c:pt idx="37">
                  <c:v>569.51</c:v>
                </c:pt>
                <c:pt idx="38">
                  <c:v>701.31</c:v>
                </c:pt>
                <c:pt idx="39">
                  <c:v>690.76</c:v>
                </c:pt>
                <c:pt idx="40">
                  <c:v>712.81</c:v>
                </c:pt>
                <c:pt idx="41">
                  <c:v>728.19</c:v>
                </c:pt>
                <c:pt idx="42">
                  <c:v>727.4</c:v>
                </c:pt>
                <c:pt idx="43">
                  <c:v>742.57</c:v>
                </c:pt>
                <c:pt idx="44">
                  <c:v>739.87</c:v>
                </c:pt>
                <c:pt idx="45">
                  <c:v>697.43</c:v>
                </c:pt>
                <c:pt idx="46">
                  <c:v>685.5</c:v>
                </c:pt>
                <c:pt idx="47">
                  <c:v>661.94</c:v>
                </c:pt>
                <c:pt idx="48">
                  <c:v>690.83</c:v>
                </c:pt>
                <c:pt idx="49">
                  <c:v>704.9</c:v>
                </c:pt>
                <c:pt idx="50">
                  <c:v>723.5</c:v>
                </c:pt>
                <c:pt idx="51">
                  <c:v>728.06</c:v>
                </c:pt>
                <c:pt idx="52">
                  <c:v>720.46</c:v>
                </c:pt>
                <c:pt idx="53">
                  <c:v>729.84</c:v>
                </c:pt>
                <c:pt idx="54">
                  <c:v>712.81</c:v>
                </c:pt>
                <c:pt idx="55">
                  <c:v>727.7</c:v>
                </c:pt>
                <c:pt idx="56">
                  <c:v>745.36</c:v>
                </c:pt>
                <c:pt idx="57">
                  <c:v>745.12</c:v>
                </c:pt>
                <c:pt idx="58">
                  <c:v>733.03</c:v>
                </c:pt>
                <c:pt idx="59">
                  <c:v>705.94</c:v>
                </c:pt>
                <c:pt idx="60">
                  <c:v>696.79</c:v>
                </c:pt>
                <c:pt idx="61">
                  <c:v>690.36</c:v>
                </c:pt>
                <c:pt idx="62">
                  <c:v>685.88</c:v>
                </c:pt>
                <c:pt idx="63">
                  <c:v>710.47</c:v>
                </c:pt>
                <c:pt idx="64">
                  <c:v>709.91</c:v>
                </c:pt>
                <c:pt idx="65">
                  <c:v>698.23</c:v>
                </c:pt>
                <c:pt idx="66">
                  <c:v>708.16</c:v>
                </c:pt>
                <c:pt idx="67">
                  <c:v>703.61</c:v>
                </c:pt>
                <c:pt idx="68">
                  <c:v>700.21</c:v>
                </c:pt>
                <c:pt idx="69">
                  <c:v>706.55</c:v>
                </c:pt>
                <c:pt idx="70">
                  <c:v>731.04</c:v>
                </c:pt>
                <c:pt idx="71">
                  <c:v>731.24</c:v>
                </c:pt>
                <c:pt idx="72">
                  <c:v>735.79</c:v>
                </c:pt>
                <c:pt idx="73">
                  <c:v>731.89</c:v>
                </c:pt>
                <c:pt idx="74">
                  <c:v>736.78</c:v>
                </c:pt>
                <c:pt idx="75">
                  <c:v>733.31</c:v>
                </c:pt>
                <c:pt idx="76">
                  <c:v>727.62</c:v>
                </c:pt>
                <c:pt idx="77">
                  <c:v>722.96</c:v>
                </c:pt>
                <c:pt idx="78">
                  <c:v>719.52</c:v>
                </c:pt>
                <c:pt idx="79">
                  <c:v>700.05</c:v>
                </c:pt>
                <c:pt idx="80">
                  <c:v>684.27</c:v>
                </c:pt>
                <c:pt idx="81">
                  <c:v>666.48</c:v>
                </c:pt>
                <c:pt idx="82">
                  <c:v>663.77</c:v>
                </c:pt>
                <c:pt idx="83">
                  <c:v>664.28</c:v>
                </c:pt>
                <c:pt idx="84">
                  <c:v>675.93</c:v>
                </c:pt>
                <c:pt idx="85">
                  <c:v>673.14</c:v>
                </c:pt>
                <c:pt idx="86">
                  <c:v>666.93</c:v>
                </c:pt>
                <c:pt idx="87">
                  <c:v>664.84</c:v>
                </c:pt>
                <c:pt idx="88">
                  <c:v>644.62</c:v>
                </c:pt>
                <c:pt idx="89">
                  <c:v>629.34</c:v>
                </c:pt>
                <c:pt idx="90">
                  <c:v>628.78</c:v>
                </c:pt>
                <c:pt idx="91">
                  <c:v>634.29</c:v>
                </c:pt>
                <c:pt idx="92">
                  <c:v>623.98</c:v>
                </c:pt>
                <c:pt idx="93">
                  <c:v>619.66999999999996</c:v>
                </c:pt>
                <c:pt idx="94">
                  <c:v>628.24</c:v>
                </c:pt>
                <c:pt idx="95">
                  <c:v>635.11</c:v>
                </c:pt>
                <c:pt idx="96">
                  <c:v>620.79</c:v>
                </c:pt>
                <c:pt idx="97">
                  <c:v>622.83000000000004</c:v>
                </c:pt>
                <c:pt idx="98">
                  <c:v>625.97</c:v>
                </c:pt>
                <c:pt idx="99">
                  <c:v>627.42999999999995</c:v>
                </c:pt>
                <c:pt idx="100">
                  <c:v>608.4</c:v>
                </c:pt>
                <c:pt idx="101">
                  <c:v>584.62</c:v>
                </c:pt>
                <c:pt idx="102">
                  <c:v>586.83000000000004</c:v>
                </c:pt>
                <c:pt idx="103">
                  <c:v>580.04999999999995</c:v>
                </c:pt>
                <c:pt idx="104">
                  <c:v>569.16999999999996</c:v>
                </c:pt>
                <c:pt idx="105">
                  <c:v>548.33000000000004</c:v>
                </c:pt>
                <c:pt idx="106">
                  <c:v>560.5</c:v>
                </c:pt>
                <c:pt idx="107">
                  <c:v>566.85</c:v>
                </c:pt>
                <c:pt idx="108">
                  <c:v>549.99</c:v>
                </c:pt>
                <c:pt idx="109">
                  <c:v>554.41999999999996</c:v>
                </c:pt>
                <c:pt idx="110">
                  <c:v>569.19000000000005</c:v>
                </c:pt>
                <c:pt idx="111">
                  <c:v>593.62</c:v>
                </c:pt>
                <c:pt idx="112">
                  <c:v>577.23</c:v>
                </c:pt>
                <c:pt idx="113">
                  <c:v>570.54999999999995</c:v>
                </c:pt>
                <c:pt idx="114">
                  <c:v>561.28</c:v>
                </c:pt>
                <c:pt idx="115">
                  <c:v>552.28</c:v>
                </c:pt>
                <c:pt idx="116">
                  <c:v>544.74</c:v>
                </c:pt>
                <c:pt idx="117">
                  <c:v>538.24</c:v>
                </c:pt>
                <c:pt idx="118">
                  <c:v>518</c:v>
                </c:pt>
                <c:pt idx="119">
                  <c:v>520.61</c:v>
                </c:pt>
                <c:pt idx="120">
                  <c:v>526.36</c:v>
                </c:pt>
                <c:pt idx="121">
                  <c:v>518.61</c:v>
                </c:pt>
                <c:pt idx="122">
                  <c:v>505.05</c:v>
                </c:pt>
                <c:pt idx="123">
                  <c:v>497.79</c:v>
                </c:pt>
                <c:pt idx="124">
                  <c:v>505.64</c:v>
                </c:pt>
                <c:pt idx="125">
                  <c:v>489.86</c:v>
                </c:pt>
                <c:pt idx="126">
                  <c:v>483</c:v>
                </c:pt>
                <c:pt idx="127">
                  <c:v>472.37</c:v>
                </c:pt>
                <c:pt idx="128">
                  <c:v>452.24</c:v>
                </c:pt>
                <c:pt idx="129">
                  <c:v>435.84</c:v>
                </c:pt>
                <c:pt idx="130">
                  <c:v>448</c:v>
                </c:pt>
                <c:pt idx="131">
                  <c:v>471.82</c:v>
                </c:pt>
                <c:pt idx="132">
                  <c:v>467.61</c:v>
                </c:pt>
                <c:pt idx="133">
                  <c:v>457.61</c:v>
                </c:pt>
                <c:pt idx="134">
                  <c:v>457.25</c:v>
                </c:pt>
                <c:pt idx="135">
                  <c:v>455.37</c:v>
                </c:pt>
                <c:pt idx="136">
                  <c:v>448.42</c:v>
                </c:pt>
                <c:pt idx="137">
                  <c:v>445.67</c:v>
                </c:pt>
                <c:pt idx="138">
                  <c:v>450.77</c:v>
                </c:pt>
                <c:pt idx="139">
                  <c:v>455.64</c:v>
                </c:pt>
                <c:pt idx="140">
                  <c:v>471.23</c:v>
                </c:pt>
                <c:pt idx="141">
                  <c:v>478.2</c:v>
                </c:pt>
                <c:pt idx="142">
                  <c:v>473.78</c:v>
                </c:pt>
                <c:pt idx="143">
                  <c:v>467.55</c:v>
                </c:pt>
                <c:pt idx="144">
                  <c:v>455.28</c:v>
                </c:pt>
                <c:pt idx="145">
                  <c:v>447.89</c:v>
                </c:pt>
                <c:pt idx="146">
                  <c:v>428.62</c:v>
                </c:pt>
                <c:pt idx="147">
                  <c:v>421.31</c:v>
                </c:pt>
                <c:pt idx="148">
                  <c:v>420.33</c:v>
                </c:pt>
                <c:pt idx="149">
                  <c:v>433.54</c:v>
                </c:pt>
                <c:pt idx="150">
                  <c:v>429.99</c:v>
                </c:pt>
                <c:pt idx="151">
                  <c:v>445.31</c:v>
                </c:pt>
                <c:pt idx="152">
                  <c:v>445.28</c:v>
                </c:pt>
                <c:pt idx="153">
                  <c:v>437.82</c:v>
                </c:pt>
                <c:pt idx="154">
                  <c:v>421.91</c:v>
                </c:pt>
                <c:pt idx="155">
                  <c:v>415.4</c:v>
                </c:pt>
                <c:pt idx="156">
                  <c:v>418.4</c:v>
                </c:pt>
                <c:pt idx="157">
                  <c:v>408.04</c:v>
                </c:pt>
                <c:pt idx="158">
                  <c:v>403.98</c:v>
                </c:pt>
                <c:pt idx="159">
                  <c:v>385.97</c:v>
                </c:pt>
                <c:pt idx="160">
                  <c:v>389.53</c:v>
                </c:pt>
                <c:pt idx="161">
                  <c:v>402.65</c:v>
                </c:pt>
                <c:pt idx="162">
                  <c:v>386.27</c:v>
                </c:pt>
                <c:pt idx="163">
                  <c:v>386.44</c:v>
                </c:pt>
                <c:pt idx="164">
                  <c:v>380.29</c:v>
                </c:pt>
                <c:pt idx="165">
                  <c:v>374.78</c:v>
                </c:pt>
                <c:pt idx="166">
                  <c:v>364.05</c:v>
                </c:pt>
                <c:pt idx="167">
                  <c:v>353.28</c:v>
                </c:pt>
                <c:pt idx="168">
                  <c:v>334.7</c:v>
                </c:pt>
                <c:pt idx="169">
                  <c:v>342.19</c:v>
                </c:pt>
                <c:pt idx="170">
                  <c:v>326.73</c:v>
                </c:pt>
                <c:pt idx="171">
                  <c:v>327.98</c:v>
                </c:pt>
                <c:pt idx="172">
                  <c:v>316.24</c:v>
                </c:pt>
                <c:pt idx="173">
                  <c:v>315.66000000000003</c:v>
                </c:pt>
                <c:pt idx="174">
                  <c:v>343.47</c:v>
                </c:pt>
                <c:pt idx="175">
                  <c:v>351.04</c:v>
                </c:pt>
                <c:pt idx="176">
                  <c:v>324.06</c:v>
                </c:pt>
                <c:pt idx="177">
                  <c:v>317.2</c:v>
                </c:pt>
                <c:pt idx="178">
                  <c:v>324.17</c:v>
                </c:pt>
                <c:pt idx="179">
                  <c:v>324.49</c:v>
                </c:pt>
                <c:pt idx="180">
                  <c:v>313.51</c:v>
                </c:pt>
                <c:pt idx="181">
                  <c:v>302.91000000000003</c:v>
                </c:pt>
                <c:pt idx="182">
                  <c:v>262.7</c:v>
                </c:pt>
                <c:pt idx="183">
                  <c:v>294.58999999999997</c:v>
                </c:pt>
                <c:pt idx="184">
                  <c:v>313.07</c:v>
                </c:pt>
                <c:pt idx="185">
                  <c:v>363.44</c:v>
                </c:pt>
                <c:pt idx="186">
                  <c:v>445.06</c:v>
                </c:pt>
                <c:pt idx="187">
                  <c:v>349.56</c:v>
                </c:pt>
                <c:pt idx="188">
                  <c:v>389.65</c:v>
                </c:pt>
                <c:pt idx="189">
                  <c:v>380.2</c:v>
                </c:pt>
                <c:pt idx="190">
                  <c:v>368.53</c:v>
                </c:pt>
                <c:pt idx="191">
                  <c:v>393.24</c:v>
                </c:pt>
                <c:pt idx="192">
                  <c:v>389.08</c:v>
                </c:pt>
                <c:pt idx="193">
                  <c:v>394.04</c:v>
                </c:pt>
                <c:pt idx="194">
                  <c:v>386.55</c:v>
                </c:pt>
                <c:pt idx="195">
                  <c:v>393.3</c:v>
                </c:pt>
                <c:pt idx="196">
                  <c:v>378.32</c:v>
                </c:pt>
                <c:pt idx="197">
                  <c:v>385.45</c:v>
                </c:pt>
                <c:pt idx="198">
                  <c:v>376.26</c:v>
                </c:pt>
                <c:pt idx="199">
                  <c:v>387.46</c:v>
                </c:pt>
                <c:pt idx="200">
                  <c:v>387.27</c:v>
                </c:pt>
                <c:pt idx="201">
                  <c:v>377.52</c:v>
                </c:pt>
                <c:pt idx="202">
                  <c:v>373.52</c:v>
                </c:pt>
                <c:pt idx="203">
                  <c:v>367.64</c:v>
                </c:pt>
                <c:pt idx="204">
                  <c:v>363.06</c:v>
                </c:pt>
                <c:pt idx="205">
                  <c:v>360.1</c:v>
                </c:pt>
                <c:pt idx="206">
                  <c:v>374.45</c:v>
                </c:pt>
                <c:pt idx="207">
                  <c:v>370.9</c:v>
                </c:pt>
                <c:pt idx="208">
                  <c:v>372.99</c:v>
                </c:pt>
                <c:pt idx="209">
                  <c:v>372.22</c:v>
                </c:pt>
                <c:pt idx="210">
                  <c:v>389.5</c:v>
                </c:pt>
                <c:pt idx="211">
                  <c:v>385.04</c:v>
                </c:pt>
                <c:pt idx="212">
                  <c:v>384.22</c:v>
                </c:pt>
                <c:pt idx="213">
                  <c:v>393.25</c:v>
                </c:pt>
                <c:pt idx="214">
                  <c:v>396.26</c:v>
                </c:pt>
                <c:pt idx="215">
                  <c:v>422.97</c:v>
                </c:pt>
                <c:pt idx="216">
                  <c:v>424.37</c:v>
                </c:pt>
                <c:pt idx="217">
                  <c:v>421.56</c:v>
                </c:pt>
                <c:pt idx="218">
                  <c:v>419.72</c:v>
                </c:pt>
                <c:pt idx="219">
                  <c:v>419.11</c:v>
                </c:pt>
                <c:pt idx="220">
                  <c:v>415.96</c:v>
                </c:pt>
                <c:pt idx="221">
                  <c:v>410.49</c:v>
                </c:pt>
                <c:pt idx="222">
                  <c:v>406.35</c:v>
                </c:pt>
                <c:pt idx="223">
                  <c:v>405.33</c:v>
                </c:pt>
                <c:pt idx="224">
                  <c:v>419.78</c:v>
                </c:pt>
                <c:pt idx="225">
                  <c:v>421.91</c:v>
                </c:pt>
                <c:pt idx="226">
                  <c:v>431.7</c:v>
                </c:pt>
                <c:pt idx="227">
                  <c:v>438.66</c:v>
                </c:pt>
                <c:pt idx="228">
                  <c:v>453.29</c:v>
                </c:pt>
                <c:pt idx="229">
                  <c:v>465.69</c:v>
                </c:pt>
                <c:pt idx="230">
                  <c:v>467.54</c:v>
                </c:pt>
                <c:pt idx="231">
                  <c:v>476.12</c:v>
                </c:pt>
                <c:pt idx="232">
                  <c:v>460.77</c:v>
                </c:pt>
                <c:pt idx="233">
                  <c:v>465.08</c:v>
                </c:pt>
                <c:pt idx="234">
                  <c:v>462.02</c:v>
                </c:pt>
                <c:pt idx="235">
                  <c:v>464.12</c:v>
                </c:pt>
                <c:pt idx="236">
                  <c:v>458.34</c:v>
                </c:pt>
                <c:pt idx="237">
                  <c:v>458.58</c:v>
                </c:pt>
                <c:pt idx="238">
                  <c:v>461.56</c:v>
                </c:pt>
                <c:pt idx="239">
                  <c:v>477.17</c:v>
                </c:pt>
                <c:pt idx="240">
                  <c:v>489.66</c:v>
                </c:pt>
                <c:pt idx="241">
                  <c:v>502.15</c:v>
                </c:pt>
                <c:pt idx="242">
                  <c:v>498.69</c:v>
                </c:pt>
                <c:pt idx="243">
                  <c:v>498.08</c:v>
                </c:pt>
                <c:pt idx="244">
                  <c:v>501.47</c:v>
                </c:pt>
                <c:pt idx="245">
                  <c:v>518.75</c:v>
                </c:pt>
              </c:numCache>
            </c:numRef>
          </c:val>
        </c:ser>
        <c:axId val="132356736"/>
        <c:axId val="132362624"/>
      </c:areaChart>
      <c:lineChart>
        <c:grouping val="standard"/>
        <c:ser>
          <c:idx val="2"/>
          <c:order val="0"/>
          <c:tx>
            <c:strRef>
              <c:f>[2]DATA!$D$3</c:f>
              <c:strCache>
                <c:ptCount val="1"/>
                <c:pt idx="0">
                  <c:v>FUTURES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[2]DATA!$D$489:$D$734</c:f>
              <c:numCache>
                <c:formatCode>General</c:formatCode>
                <c:ptCount val="246"/>
                <c:pt idx="0">
                  <c:v>549.9</c:v>
                </c:pt>
                <c:pt idx="1">
                  <c:v>544.1</c:v>
                </c:pt>
                <c:pt idx="2">
                  <c:v>579.4</c:v>
                </c:pt>
                <c:pt idx="3">
                  <c:v>620.5</c:v>
                </c:pt>
                <c:pt idx="4">
                  <c:v>655</c:v>
                </c:pt>
                <c:pt idx="5">
                  <c:v>616</c:v>
                </c:pt>
                <c:pt idx="6">
                  <c:v>635.6</c:v>
                </c:pt>
                <c:pt idx="7">
                  <c:v>576.20000000000005</c:v>
                </c:pt>
                <c:pt idx="8">
                  <c:v>573.1</c:v>
                </c:pt>
                <c:pt idx="9">
                  <c:v>542</c:v>
                </c:pt>
                <c:pt idx="10">
                  <c:v>554</c:v>
                </c:pt>
                <c:pt idx="11">
                  <c:v>566</c:v>
                </c:pt>
                <c:pt idx="12">
                  <c:v>596.9</c:v>
                </c:pt>
                <c:pt idx="13">
                  <c:v>574.20000000000005</c:v>
                </c:pt>
                <c:pt idx="14">
                  <c:v>569</c:v>
                </c:pt>
                <c:pt idx="15">
                  <c:v>564.6</c:v>
                </c:pt>
                <c:pt idx="16">
                  <c:v>560.9</c:v>
                </c:pt>
                <c:pt idx="17">
                  <c:v>566.9</c:v>
                </c:pt>
                <c:pt idx="18">
                  <c:v>577</c:v>
                </c:pt>
                <c:pt idx="19">
                  <c:v>596</c:v>
                </c:pt>
                <c:pt idx="20">
                  <c:v>587</c:v>
                </c:pt>
                <c:pt idx="21">
                  <c:v>560</c:v>
                </c:pt>
                <c:pt idx="22">
                  <c:v>536.5</c:v>
                </c:pt>
                <c:pt idx="23">
                  <c:v>528</c:v>
                </c:pt>
                <c:pt idx="24">
                  <c:v>516</c:v>
                </c:pt>
                <c:pt idx="25">
                  <c:v>488</c:v>
                </c:pt>
                <c:pt idx="26">
                  <c:v>484</c:v>
                </c:pt>
                <c:pt idx="27">
                  <c:v>465.5</c:v>
                </c:pt>
                <c:pt idx="28">
                  <c:v>512</c:v>
                </c:pt>
                <c:pt idx="29">
                  <c:v>538.5</c:v>
                </c:pt>
                <c:pt idx="30">
                  <c:v>507.1</c:v>
                </c:pt>
                <c:pt idx="31">
                  <c:v>543</c:v>
                </c:pt>
                <c:pt idx="32">
                  <c:v>583</c:v>
                </c:pt>
                <c:pt idx="33">
                  <c:v>582</c:v>
                </c:pt>
                <c:pt idx="34">
                  <c:v>588.1</c:v>
                </c:pt>
                <c:pt idx="35">
                  <c:v>557</c:v>
                </c:pt>
                <c:pt idx="36">
                  <c:v>559</c:v>
                </c:pt>
                <c:pt idx="37">
                  <c:v>566.6</c:v>
                </c:pt>
                <c:pt idx="38">
                  <c:v>685</c:v>
                </c:pt>
                <c:pt idx="39">
                  <c:v>678</c:v>
                </c:pt>
                <c:pt idx="40">
                  <c:v>702</c:v>
                </c:pt>
                <c:pt idx="41">
                  <c:v>719</c:v>
                </c:pt>
                <c:pt idx="42">
                  <c:v>717.8</c:v>
                </c:pt>
                <c:pt idx="43">
                  <c:v>757</c:v>
                </c:pt>
                <c:pt idx="44">
                  <c:v>726.5</c:v>
                </c:pt>
                <c:pt idx="45">
                  <c:v>696</c:v>
                </c:pt>
                <c:pt idx="46">
                  <c:v>675</c:v>
                </c:pt>
                <c:pt idx="47">
                  <c:v>648.5</c:v>
                </c:pt>
                <c:pt idx="48">
                  <c:v>680</c:v>
                </c:pt>
                <c:pt idx="49">
                  <c:v>709</c:v>
                </c:pt>
                <c:pt idx="50">
                  <c:v>724</c:v>
                </c:pt>
                <c:pt idx="51">
                  <c:v>734</c:v>
                </c:pt>
                <c:pt idx="52">
                  <c:v>711</c:v>
                </c:pt>
                <c:pt idx="53">
                  <c:v>726</c:v>
                </c:pt>
                <c:pt idx="54">
                  <c:v>701</c:v>
                </c:pt>
                <c:pt idx="55">
                  <c:v>725.6</c:v>
                </c:pt>
                <c:pt idx="56">
                  <c:v>743.6</c:v>
                </c:pt>
                <c:pt idx="57">
                  <c:v>736</c:v>
                </c:pt>
                <c:pt idx="58">
                  <c:v>725</c:v>
                </c:pt>
                <c:pt idx="59">
                  <c:v>688.1</c:v>
                </c:pt>
                <c:pt idx="60">
                  <c:v>670</c:v>
                </c:pt>
                <c:pt idx="61">
                  <c:v>681.6</c:v>
                </c:pt>
                <c:pt idx="62">
                  <c:v>680.7</c:v>
                </c:pt>
                <c:pt idx="63">
                  <c:v>706.5</c:v>
                </c:pt>
                <c:pt idx="64">
                  <c:v>713.5</c:v>
                </c:pt>
                <c:pt idx="65">
                  <c:v>692</c:v>
                </c:pt>
                <c:pt idx="66">
                  <c:v>712</c:v>
                </c:pt>
                <c:pt idx="67">
                  <c:v>701.5</c:v>
                </c:pt>
                <c:pt idx="68">
                  <c:v>703</c:v>
                </c:pt>
                <c:pt idx="69">
                  <c:v>714</c:v>
                </c:pt>
                <c:pt idx="70">
                  <c:v>743.5</c:v>
                </c:pt>
                <c:pt idx="71">
                  <c:v>724</c:v>
                </c:pt>
                <c:pt idx="72">
                  <c:v>745.1</c:v>
                </c:pt>
                <c:pt idx="73">
                  <c:v>727</c:v>
                </c:pt>
                <c:pt idx="74">
                  <c:v>738</c:v>
                </c:pt>
                <c:pt idx="75">
                  <c:v>736.7</c:v>
                </c:pt>
                <c:pt idx="76">
                  <c:v>733.6</c:v>
                </c:pt>
                <c:pt idx="77">
                  <c:v>727.3</c:v>
                </c:pt>
                <c:pt idx="78">
                  <c:v>720.2</c:v>
                </c:pt>
                <c:pt idx="79">
                  <c:v>703</c:v>
                </c:pt>
                <c:pt idx="80">
                  <c:v>687.5</c:v>
                </c:pt>
                <c:pt idx="81">
                  <c:v>659.5</c:v>
                </c:pt>
                <c:pt idx="82">
                  <c:v>652.5</c:v>
                </c:pt>
                <c:pt idx="83">
                  <c:v>643.5</c:v>
                </c:pt>
                <c:pt idx="84">
                  <c:v>654.9</c:v>
                </c:pt>
                <c:pt idx="85">
                  <c:v>650</c:v>
                </c:pt>
                <c:pt idx="86">
                  <c:v>647</c:v>
                </c:pt>
                <c:pt idx="87">
                  <c:v>635</c:v>
                </c:pt>
                <c:pt idx="88">
                  <c:v>618</c:v>
                </c:pt>
                <c:pt idx="89">
                  <c:v>605</c:v>
                </c:pt>
                <c:pt idx="90">
                  <c:v>595</c:v>
                </c:pt>
                <c:pt idx="91">
                  <c:v>615.5</c:v>
                </c:pt>
                <c:pt idx="92">
                  <c:v>590</c:v>
                </c:pt>
                <c:pt idx="93">
                  <c:v>600</c:v>
                </c:pt>
                <c:pt idx="94">
                  <c:v>615</c:v>
                </c:pt>
                <c:pt idx="95">
                  <c:v>617</c:v>
                </c:pt>
                <c:pt idx="96">
                  <c:v>608.9</c:v>
                </c:pt>
                <c:pt idx="97">
                  <c:v>618.9</c:v>
                </c:pt>
                <c:pt idx="98">
                  <c:v>622.29999999999995</c:v>
                </c:pt>
                <c:pt idx="99">
                  <c:v>601</c:v>
                </c:pt>
                <c:pt idx="100">
                  <c:v>577.20000000000005</c:v>
                </c:pt>
                <c:pt idx="101">
                  <c:v>551</c:v>
                </c:pt>
                <c:pt idx="102">
                  <c:v>573</c:v>
                </c:pt>
                <c:pt idx="103">
                  <c:v>561</c:v>
                </c:pt>
                <c:pt idx="104">
                  <c:v>542</c:v>
                </c:pt>
                <c:pt idx="105">
                  <c:v>525.1</c:v>
                </c:pt>
                <c:pt idx="106">
                  <c:v>550</c:v>
                </c:pt>
                <c:pt idx="107">
                  <c:v>556.9</c:v>
                </c:pt>
                <c:pt idx="108">
                  <c:v>539.29999999999995</c:v>
                </c:pt>
                <c:pt idx="109">
                  <c:v>551</c:v>
                </c:pt>
                <c:pt idx="110">
                  <c:v>566.4</c:v>
                </c:pt>
                <c:pt idx="111">
                  <c:v>591</c:v>
                </c:pt>
                <c:pt idx="112">
                  <c:v>564</c:v>
                </c:pt>
                <c:pt idx="113">
                  <c:v>562.9</c:v>
                </c:pt>
                <c:pt idx="114">
                  <c:v>553.79999999999995</c:v>
                </c:pt>
                <c:pt idx="115">
                  <c:v>546.9</c:v>
                </c:pt>
                <c:pt idx="116">
                  <c:v>543.5</c:v>
                </c:pt>
                <c:pt idx="117">
                  <c:v>539.5</c:v>
                </c:pt>
                <c:pt idx="118">
                  <c:v>509</c:v>
                </c:pt>
                <c:pt idx="119">
                  <c:v>514.5</c:v>
                </c:pt>
                <c:pt idx="120">
                  <c:v>528.9</c:v>
                </c:pt>
                <c:pt idx="121">
                  <c:v>509.8</c:v>
                </c:pt>
                <c:pt idx="122">
                  <c:v>499.5</c:v>
                </c:pt>
                <c:pt idx="123">
                  <c:v>493</c:v>
                </c:pt>
                <c:pt idx="124">
                  <c:v>508.2</c:v>
                </c:pt>
                <c:pt idx="125">
                  <c:v>488.1</c:v>
                </c:pt>
                <c:pt idx="126">
                  <c:v>481</c:v>
                </c:pt>
                <c:pt idx="127">
                  <c:v>473.5</c:v>
                </c:pt>
                <c:pt idx="128">
                  <c:v>446</c:v>
                </c:pt>
                <c:pt idx="129">
                  <c:v>436.5</c:v>
                </c:pt>
                <c:pt idx="130">
                  <c:v>450</c:v>
                </c:pt>
                <c:pt idx="131">
                  <c:v>470.1</c:v>
                </c:pt>
                <c:pt idx="132">
                  <c:v>465.5</c:v>
                </c:pt>
                <c:pt idx="133">
                  <c:v>441</c:v>
                </c:pt>
                <c:pt idx="134">
                  <c:v>453</c:v>
                </c:pt>
                <c:pt idx="135">
                  <c:v>458</c:v>
                </c:pt>
                <c:pt idx="136">
                  <c:v>454</c:v>
                </c:pt>
                <c:pt idx="137">
                  <c:v>447.7</c:v>
                </c:pt>
                <c:pt idx="138">
                  <c:v>446.1</c:v>
                </c:pt>
                <c:pt idx="139">
                  <c:v>455.9</c:v>
                </c:pt>
                <c:pt idx="140">
                  <c:v>482.5</c:v>
                </c:pt>
                <c:pt idx="141">
                  <c:v>479.9</c:v>
                </c:pt>
                <c:pt idx="142">
                  <c:v>474</c:v>
                </c:pt>
                <c:pt idx="143">
                  <c:v>470.5</c:v>
                </c:pt>
                <c:pt idx="144">
                  <c:v>456.2</c:v>
                </c:pt>
                <c:pt idx="145">
                  <c:v>441.5</c:v>
                </c:pt>
                <c:pt idx="146">
                  <c:v>423</c:v>
                </c:pt>
                <c:pt idx="147">
                  <c:v>431</c:v>
                </c:pt>
                <c:pt idx="148">
                  <c:v>424.1</c:v>
                </c:pt>
                <c:pt idx="149">
                  <c:v>442.5</c:v>
                </c:pt>
                <c:pt idx="150">
                  <c:v>433.8</c:v>
                </c:pt>
                <c:pt idx="151">
                  <c:v>447</c:v>
                </c:pt>
                <c:pt idx="152">
                  <c:v>442.1</c:v>
                </c:pt>
                <c:pt idx="153">
                  <c:v>438.2</c:v>
                </c:pt>
                <c:pt idx="154">
                  <c:v>414.5</c:v>
                </c:pt>
                <c:pt idx="155">
                  <c:v>415.5</c:v>
                </c:pt>
                <c:pt idx="156">
                  <c:v>422</c:v>
                </c:pt>
                <c:pt idx="157">
                  <c:v>405.8</c:v>
                </c:pt>
                <c:pt idx="158">
                  <c:v>396</c:v>
                </c:pt>
                <c:pt idx="159">
                  <c:v>380</c:v>
                </c:pt>
                <c:pt idx="160">
                  <c:v>390</c:v>
                </c:pt>
                <c:pt idx="161">
                  <c:v>401.9</c:v>
                </c:pt>
                <c:pt idx="162">
                  <c:v>384.6</c:v>
                </c:pt>
                <c:pt idx="163">
                  <c:v>390.5</c:v>
                </c:pt>
                <c:pt idx="164">
                  <c:v>379.8</c:v>
                </c:pt>
                <c:pt idx="165">
                  <c:v>373.8</c:v>
                </c:pt>
                <c:pt idx="166">
                  <c:v>355.4</c:v>
                </c:pt>
                <c:pt idx="167">
                  <c:v>346.6</c:v>
                </c:pt>
                <c:pt idx="168">
                  <c:v>331.7</c:v>
                </c:pt>
                <c:pt idx="169">
                  <c:v>340.5</c:v>
                </c:pt>
                <c:pt idx="170">
                  <c:v>318.60000000000002</c:v>
                </c:pt>
                <c:pt idx="171">
                  <c:v>320.89999999999998</c:v>
                </c:pt>
                <c:pt idx="172">
                  <c:v>309.5</c:v>
                </c:pt>
                <c:pt idx="173">
                  <c:v>317</c:v>
                </c:pt>
                <c:pt idx="174">
                  <c:v>340.5</c:v>
                </c:pt>
                <c:pt idx="175">
                  <c:v>353.6</c:v>
                </c:pt>
                <c:pt idx="176">
                  <c:v>321.5</c:v>
                </c:pt>
                <c:pt idx="177">
                  <c:v>322</c:v>
                </c:pt>
                <c:pt idx="178">
                  <c:v>332.9</c:v>
                </c:pt>
                <c:pt idx="179">
                  <c:v>329</c:v>
                </c:pt>
                <c:pt idx="180">
                  <c:v>311.5</c:v>
                </c:pt>
                <c:pt idx="181">
                  <c:v>303.5</c:v>
                </c:pt>
                <c:pt idx="182">
                  <c:v>274.89999999999998</c:v>
                </c:pt>
                <c:pt idx="183">
                  <c:v>289</c:v>
                </c:pt>
                <c:pt idx="184">
                  <c:v>343.6</c:v>
                </c:pt>
                <c:pt idx="185">
                  <c:v>394</c:v>
                </c:pt>
                <c:pt idx="186">
                  <c:v>525.4</c:v>
                </c:pt>
                <c:pt idx="187">
                  <c:v>356.3</c:v>
                </c:pt>
                <c:pt idx="188">
                  <c:v>393</c:v>
                </c:pt>
                <c:pt idx="189">
                  <c:v>399</c:v>
                </c:pt>
                <c:pt idx="190">
                  <c:v>355</c:v>
                </c:pt>
                <c:pt idx="191">
                  <c:v>400</c:v>
                </c:pt>
                <c:pt idx="192">
                  <c:v>387.1</c:v>
                </c:pt>
                <c:pt idx="193">
                  <c:v>401.1</c:v>
                </c:pt>
                <c:pt idx="194">
                  <c:v>388.3</c:v>
                </c:pt>
                <c:pt idx="195">
                  <c:v>401</c:v>
                </c:pt>
                <c:pt idx="196">
                  <c:v>380.5</c:v>
                </c:pt>
                <c:pt idx="197">
                  <c:v>396.9</c:v>
                </c:pt>
                <c:pt idx="198">
                  <c:v>385.8</c:v>
                </c:pt>
                <c:pt idx="199">
                  <c:v>396.7</c:v>
                </c:pt>
                <c:pt idx="200">
                  <c:v>389.5</c:v>
                </c:pt>
                <c:pt idx="201">
                  <c:v>380.5</c:v>
                </c:pt>
                <c:pt idx="202">
                  <c:v>374</c:v>
                </c:pt>
                <c:pt idx="203">
                  <c:v>379.9</c:v>
                </c:pt>
                <c:pt idx="204">
                  <c:v>375</c:v>
                </c:pt>
                <c:pt idx="205">
                  <c:v>374.9</c:v>
                </c:pt>
                <c:pt idx="206">
                  <c:v>391.7</c:v>
                </c:pt>
                <c:pt idx="207">
                  <c:v>385.8</c:v>
                </c:pt>
                <c:pt idx="208">
                  <c:v>388.9</c:v>
                </c:pt>
                <c:pt idx="209">
                  <c:v>388.5</c:v>
                </c:pt>
                <c:pt idx="210">
                  <c:v>406.1</c:v>
                </c:pt>
                <c:pt idx="211">
                  <c:v>396.5</c:v>
                </c:pt>
                <c:pt idx="212">
                  <c:v>399</c:v>
                </c:pt>
                <c:pt idx="213">
                  <c:v>408</c:v>
                </c:pt>
                <c:pt idx="214">
                  <c:v>415.5</c:v>
                </c:pt>
                <c:pt idx="215">
                  <c:v>434.5</c:v>
                </c:pt>
                <c:pt idx="216">
                  <c:v>433.1</c:v>
                </c:pt>
                <c:pt idx="217">
                  <c:v>428.5</c:v>
                </c:pt>
                <c:pt idx="218">
                  <c:v>419</c:v>
                </c:pt>
                <c:pt idx="219">
                  <c:v>419.5</c:v>
                </c:pt>
                <c:pt idx="220">
                  <c:v>417.1</c:v>
                </c:pt>
                <c:pt idx="221">
                  <c:v>412.8</c:v>
                </c:pt>
                <c:pt idx="222">
                  <c:v>404.8</c:v>
                </c:pt>
                <c:pt idx="223">
                  <c:v>406.2</c:v>
                </c:pt>
                <c:pt idx="224">
                  <c:v>434</c:v>
                </c:pt>
                <c:pt idx="225">
                  <c:v>438.5</c:v>
                </c:pt>
                <c:pt idx="226">
                  <c:v>454.8</c:v>
                </c:pt>
                <c:pt idx="227">
                  <c:v>446</c:v>
                </c:pt>
                <c:pt idx="228">
                  <c:v>466</c:v>
                </c:pt>
                <c:pt idx="229">
                  <c:v>472.5</c:v>
                </c:pt>
                <c:pt idx="230">
                  <c:v>474.1</c:v>
                </c:pt>
                <c:pt idx="231">
                  <c:v>480</c:v>
                </c:pt>
                <c:pt idx="232">
                  <c:v>465</c:v>
                </c:pt>
                <c:pt idx="233">
                  <c:v>479.4</c:v>
                </c:pt>
                <c:pt idx="234">
                  <c:v>479.5</c:v>
                </c:pt>
                <c:pt idx="235">
                  <c:v>478.5</c:v>
                </c:pt>
                <c:pt idx="236">
                  <c:v>473.2</c:v>
                </c:pt>
                <c:pt idx="237">
                  <c:v>474.5</c:v>
                </c:pt>
                <c:pt idx="238">
                  <c:v>470.5</c:v>
                </c:pt>
                <c:pt idx="239">
                  <c:v>484</c:v>
                </c:pt>
                <c:pt idx="240">
                  <c:v>496.8</c:v>
                </c:pt>
                <c:pt idx="241">
                  <c:v>509.5</c:v>
                </c:pt>
                <c:pt idx="242">
                  <c:v>501.5</c:v>
                </c:pt>
                <c:pt idx="243">
                  <c:v>502</c:v>
                </c:pt>
                <c:pt idx="244">
                  <c:v>505</c:v>
                </c:pt>
                <c:pt idx="245">
                  <c:v>535.29999999999995</c:v>
                </c:pt>
              </c:numCache>
            </c:numRef>
          </c:val>
        </c:ser>
        <c:marker val="1"/>
        <c:axId val="132356736"/>
        <c:axId val="132362624"/>
      </c:lineChart>
      <c:catAx>
        <c:axId val="1323567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62624"/>
        <c:crossesAt val="44"/>
        <c:lblAlgn val="ctr"/>
        <c:lblOffset val="100"/>
        <c:tickLblSkip val="2"/>
        <c:tickMarkSkip val="1"/>
      </c:catAx>
      <c:valAx>
        <c:axId val="132362624"/>
        <c:scaling>
          <c:orientation val="minMax"/>
          <c:max val="800"/>
          <c:min val="2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56736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39482961222091678"/>
          <c:y val="2.08334039761148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73090481786138E-2"/>
          <c:y val="5.2083509940287091E-2"/>
          <c:w val="0.84136310223266719"/>
          <c:h val="0.68055786321975109"/>
        </c:manualLayout>
      </c:layout>
      <c:barChart>
        <c:barDir val="col"/>
        <c:grouping val="clustered"/>
        <c:ser>
          <c:idx val="2"/>
          <c:order val="0"/>
          <c:tx>
            <c:strRef>
              <c:f>[1]FKB3!$BJ$2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[1]FKB3!$A$627:$A$871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[1]FKB3!$BJ$627:$BJ$871</c:f>
              <c:numCache>
                <c:formatCode>General</c:formatCode>
                <c:ptCount val="245"/>
                <c:pt idx="0">
                  <c:v>457</c:v>
                </c:pt>
                <c:pt idx="1">
                  <c:v>212</c:v>
                </c:pt>
                <c:pt idx="2">
                  <c:v>7</c:v>
                </c:pt>
                <c:pt idx="3">
                  <c:v>595</c:v>
                </c:pt>
                <c:pt idx="4">
                  <c:v>45</c:v>
                </c:pt>
                <c:pt idx="5">
                  <c:v>693</c:v>
                </c:pt>
                <c:pt idx="6">
                  <c:v>790</c:v>
                </c:pt>
                <c:pt idx="7">
                  <c:v>1108</c:v>
                </c:pt>
                <c:pt idx="8">
                  <c:v>515</c:v>
                </c:pt>
                <c:pt idx="9">
                  <c:v>20</c:v>
                </c:pt>
                <c:pt idx="10">
                  <c:v>13</c:v>
                </c:pt>
                <c:pt idx="11">
                  <c:v>2</c:v>
                </c:pt>
                <c:pt idx="12">
                  <c:v>12</c:v>
                </c:pt>
                <c:pt idx="13">
                  <c:v>368</c:v>
                </c:pt>
                <c:pt idx="14">
                  <c:v>193</c:v>
                </c:pt>
                <c:pt idx="15">
                  <c:v>227</c:v>
                </c:pt>
                <c:pt idx="16">
                  <c:v>165</c:v>
                </c:pt>
                <c:pt idx="17">
                  <c:v>220</c:v>
                </c:pt>
                <c:pt idx="18">
                  <c:v>784</c:v>
                </c:pt>
                <c:pt idx="19">
                  <c:v>432</c:v>
                </c:pt>
                <c:pt idx="20">
                  <c:v>385</c:v>
                </c:pt>
                <c:pt idx="21">
                  <c:v>95</c:v>
                </c:pt>
                <c:pt idx="22">
                  <c:v>790</c:v>
                </c:pt>
                <c:pt idx="23">
                  <c:v>1259</c:v>
                </c:pt>
                <c:pt idx="24">
                  <c:v>32</c:v>
                </c:pt>
                <c:pt idx="25">
                  <c:v>2</c:v>
                </c:pt>
                <c:pt idx="26">
                  <c:v>171</c:v>
                </c:pt>
                <c:pt idx="27">
                  <c:v>720</c:v>
                </c:pt>
                <c:pt idx="28">
                  <c:v>0</c:v>
                </c:pt>
                <c:pt idx="29">
                  <c:v>485</c:v>
                </c:pt>
                <c:pt idx="30">
                  <c:v>615</c:v>
                </c:pt>
                <c:pt idx="31">
                  <c:v>138</c:v>
                </c:pt>
                <c:pt idx="32">
                  <c:v>165</c:v>
                </c:pt>
                <c:pt idx="33">
                  <c:v>1260</c:v>
                </c:pt>
                <c:pt idx="34">
                  <c:v>1282</c:v>
                </c:pt>
                <c:pt idx="35">
                  <c:v>1370</c:v>
                </c:pt>
                <c:pt idx="36">
                  <c:v>1975</c:v>
                </c:pt>
                <c:pt idx="37">
                  <c:v>243</c:v>
                </c:pt>
                <c:pt idx="38">
                  <c:v>736</c:v>
                </c:pt>
                <c:pt idx="39">
                  <c:v>3155</c:v>
                </c:pt>
                <c:pt idx="40">
                  <c:v>882</c:v>
                </c:pt>
                <c:pt idx="41">
                  <c:v>1077</c:v>
                </c:pt>
                <c:pt idx="42">
                  <c:v>878</c:v>
                </c:pt>
                <c:pt idx="43">
                  <c:v>343</c:v>
                </c:pt>
                <c:pt idx="44">
                  <c:v>1063</c:v>
                </c:pt>
                <c:pt idx="45">
                  <c:v>437</c:v>
                </c:pt>
                <c:pt idx="46">
                  <c:v>98</c:v>
                </c:pt>
                <c:pt idx="47">
                  <c:v>351</c:v>
                </c:pt>
                <c:pt idx="48">
                  <c:v>1100</c:v>
                </c:pt>
                <c:pt idx="49">
                  <c:v>32</c:v>
                </c:pt>
                <c:pt idx="50">
                  <c:v>335</c:v>
                </c:pt>
                <c:pt idx="51">
                  <c:v>1322</c:v>
                </c:pt>
                <c:pt idx="52">
                  <c:v>380</c:v>
                </c:pt>
                <c:pt idx="53">
                  <c:v>911</c:v>
                </c:pt>
                <c:pt idx="54">
                  <c:v>105</c:v>
                </c:pt>
                <c:pt idx="55">
                  <c:v>1890</c:v>
                </c:pt>
                <c:pt idx="56">
                  <c:v>915</c:v>
                </c:pt>
                <c:pt idx="57">
                  <c:v>640</c:v>
                </c:pt>
                <c:pt idx="58">
                  <c:v>2</c:v>
                </c:pt>
                <c:pt idx="59">
                  <c:v>370</c:v>
                </c:pt>
                <c:pt idx="60">
                  <c:v>5</c:v>
                </c:pt>
                <c:pt idx="61">
                  <c:v>0</c:v>
                </c:pt>
                <c:pt idx="62">
                  <c:v>730</c:v>
                </c:pt>
                <c:pt idx="63">
                  <c:v>0</c:v>
                </c:pt>
                <c:pt idx="64">
                  <c:v>581</c:v>
                </c:pt>
                <c:pt idx="65">
                  <c:v>50</c:v>
                </c:pt>
                <c:pt idx="66">
                  <c:v>315</c:v>
                </c:pt>
                <c:pt idx="67">
                  <c:v>0</c:v>
                </c:pt>
                <c:pt idx="68">
                  <c:v>200</c:v>
                </c:pt>
                <c:pt idx="69">
                  <c:v>40</c:v>
                </c:pt>
                <c:pt idx="70">
                  <c:v>0</c:v>
                </c:pt>
                <c:pt idx="71">
                  <c:v>20</c:v>
                </c:pt>
                <c:pt idx="72">
                  <c:v>0</c:v>
                </c:pt>
                <c:pt idx="73">
                  <c:v>10</c:v>
                </c:pt>
                <c:pt idx="74">
                  <c:v>0</c:v>
                </c:pt>
                <c:pt idx="75">
                  <c:v>25</c:v>
                </c:pt>
                <c:pt idx="76">
                  <c:v>2</c:v>
                </c:pt>
                <c:pt idx="77">
                  <c:v>0</c:v>
                </c:pt>
                <c:pt idx="78">
                  <c:v>0</c:v>
                </c:pt>
                <c:pt idx="79">
                  <c:v>139</c:v>
                </c:pt>
                <c:pt idx="80">
                  <c:v>195</c:v>
                </c:pt>
                <c:pt idx="81">
                  <c:v>340</c:v>
                </c:pt>
                <c:pt idx="82">
                  <c:v>1043</c:v>
                </c:pt>
                <c:pt idx="83">
                  <c:v>0</c:v>
                </c:pt>
                <c:pt idx="84">
                  <c:v>160</c:v>
                </c:pt>
                <c:pt idx="85">
                  <c:v>0</c:v>
                </c:pt>
                <c:pt idx="86">
                  <c:v>68</c:v>
                </c:pt>
                <c:pt idx="87">
                  <c:v>1155</c:v>
                </c:pt>
                <c:pt idx="88">
                  <c:v>0</c:v>
                </c:pt>
                <c:pt idx="89">
                  <c:v>0</c:v>
                </c:pt>
                <c:pt idx="90">
                  <c:v>200</c:v>
                </c:pt>
                <c:pt idx="91">
                  <c:v>267</c:v>
                </c:pt>
                <c:pt idx="92">
                  <c:v>320</c:v>
                </c:pt>
                <c:pt idx="93">
                  <c:v>96</c:v>
                </c:pt>
                <c:pt idx="94">
                  <c:v>0</c:v>
                </c:pt>
                <c:pt idx="95">
                  <c:v>420</c:v>
                </c:pt>
                <c:pt idx="96">
                  <c:v>1077</c:v>
                </c:pt>
                <c:pt idx="97">
                  <c:v>0</c:v>
                </c:pt>
                <c:pt idx="98">
                  <c:v>0</c:v>
                </c:pt>
                <c:pt idx="99">
                  <c:v>350</c:v>
                </c:pt>
                <c:pt idx="100">
                  <c:v>200</c:v>
                </c:pt>
                <c:pt idx="101">
                  <c:v>138</c:v>
                </c:pt>
                <c:pt idx="102">
                  <c:v>750</c:v>
                </c:pt>
                <c:pt idx="103">
                  <c:v>0</c:v>
                </c:pt>
                <c:pt idx="104">
                  <c:v>0</c:v>
                </c:pt>
                <c:pt idx="105">
                  <c:v>200</c:v>
                </c:pt>
                <c:pt idx="106">
                  <c:v>280</c:v>
                </c:pt>
                <c:pt idx="107">
                  <c:v>845</c:v>
                </c:pt>
                <c:pt idx="108">
                  <c:v>245</c:v>
                </c:pt>
                <c:pt idx="109">
                  <c:v>5</c:v>
                </c:pt>
                <c:pt idx="110">
                  <c:v>200</c:v>
                </c:pt>
                <c:pt idx="111">
                  <c:v>0</c:v>
                </c:pt>
                <c:pt idx="112">
                  <c:v>37</c:v>
                </c:pt>
                <c:pt idx="113">
                  <c:v>980</c:v>
                </c:pt>
                <c:pt idx="114">
                  <c:v>1110</c:v>
                </c:pt>
                <c:pt idx="115">
                  <c:v>791</c:v>
                </c:pt>
                <c:pt idx="116">
                  <c:v>700</c:v>
                </c:pt>
                <c:pt idx="117">
                  <c:v>401</c:v>
                </c:pt>
                <c:pt idx="118">
                  <c:v>423</c:v>
                </c:pt>
                <c:pt idx="119">
                  <c:v>202</c:v>
                </c:pt>
                <c:pt idx="120">
                  <c:v>469</c:v>
                </c:pt>
                <c:pt idx="121">
                  <c:v>411</c:v>
                </c:pt>
                <c:pt idx="122">
                  <c:v>1541</c:v>
                </c:pt>
                <c:pt idx="123">
                  <c:v>2365</c:v>
                </c:pt>
                <c:pt idx="124">
                  <c:v>6001</c:v>
                </c:pt>
                <c:pt idx="125">
                  <c:v>1976</c:v>
                </c:pt>
                <c:pt idx="126">
                  <c:v>1114</c:v>
                </c:pt>
                <c:pt idx="127">
                  <c:v>464</c:v>
                </c:pt>
                <c:pt idx="128">
                  <c:v>1790</c:v>
                </c:pt>
                <c:pt idx="129">
                  <c:v>1865</c:v>
                </c:pt>
                <c:pt idx="130">
                  <c:v>966</c:v>
                </c:pt>
                <c:pt idx="131">
                  <c:v>281</c:v>
                </c:pt>
                <c:pt idx="132">
                  <c:v>180</c:v>
                </c:pt>
                <c:pt idx="133">
                  <c:v>223</c:v>
                </c:pt>
                <c:pt idx="134">
                  <c:v>505</c:v>
                </c:pt>
                <c:pt idx="135">
                  <c:v>894</c:v>
                </c:pt>
                <c:pt idx="136">
                  <c:v>61</c:v>
                </c:pt>
                <c:pt idx="137">
                  <c:v>142</c:v>
                </c:pt>
                <c:pt idx="138">
                  <c:v>5</c:v>
                </c:pt>
                <c:pt idx="139">
                  <c:v>96</c:v>
                </c:pt>
                <c:pt idx="140">
                  <c:v>7</c:v>
                </c:pt>
                <c:pt idx="141">
                  <c:v>1165</c:v>
                </c:pt>
                <c:pt idx="142">
                  <c:v>479</c:v>
                </c:pt>
                <c:pt idx="143">
                  <c:v>62</c:v>
                </c:pt>
                <c:pt idx="144">
                  <c:v>548</c:v>
                </c:pt>
                <c:pt idx="145">
                  <c:v>569</c:v>
                </c:pt>
                <c:pt idx="146">
                  <c:v>222</c:v>
                </c:pt>
                <c:pt idx="147">
                  <c:v>220</c:v>
                </c:pt>
                <c:pt idx="148">
                  <c:v>990</c:v>
                </c:pt>
                <c:pt idx="149">
                  <c:v>28</c:v>
                </c:pt>
                <c:pt idx="150">
                  <c:v>889</c:v>
                </c:pt>
                <c:pt idx="151">
                  <c:v>1733</c:v>
                </c:pt>
                <c:pt idx="152">
                  <c:v>1358</c:v>
                </c:pt>
                <c:pt idx="153">
                  <c:v>398</c:v>
                </c:pt>
                <c:pt idx="154">
                  <c:v>521</c:v>
                </c:pt>
                <c:pt idx="155">
                  <c:v>1067</c:v>
                </c:pt>
                <c:pt idx="156">
                  <c:v>460</c:v>
                </c:pt>
                <c:pt idx="157">
                  <c:v>359</c:v>
                </c:pt>
                <c:pt idx="158">
                  <c:v>222</c:v>
                </c:pt>
                <c:pt idx="159">
                  <c:v>530</c:v>
                </c:pt>
                <c:pt idx="160">
                  <c:v>264</c:v>
                </c:pt>
                <c:pt idx="161">
                  <c:v>562</c:v>
                </c:pt>
                <c:pt idx="162">
                  <c:v>339</c:v>
                </c:pt>
                <c:pt idx="163">
                  <c:v>145</c:v>
                </c:pt>
                <c:pt idx="164">
                  <c:v>143</c:v>
                </c:pt>
                <c:pt idx="165">
                  <c:v>41</c:v>
                </c:pt>
                <c:pt idx="166">
                  <c:v>1015</c:v>
                </c:pt>
                <c:pt idx="167">
                  <c:v>25</c:v>
                </c:pt>
                <c:pt idx="168">
                  <c:v>470</c:v>
                </c:pt>
                <c:pt idx="169">
                  <c:v>757</c:v>
                </c:pt>
                <c:pt idx="170">
                  <c:v>291</c:v>
                </c:pt>
                <c:pt idx="171">
                  <c:v>744</c:v>
                </c:pt>
                <c:pt idx="172">
                  <c:v>595</c:v>
                </c:pt>
                <c:pt idx="173">
                  <c:v>350</c:v>
                </c:pt>
                <c:pt idx="174">
                  <c:v>715</c:v>
                </c:pt>
                <c:pt idx="175">
                  <c:v>94</c:v>
                </c:pt>
                <c:pt idx="176">
                  <c:v>187</c:v>
                </c:pt>
                <c:pt idx="177">
                  <c:v>409</c:v>
                </c:pt>
                <c:pt idx="178">
                  <c:v>176</c:v>
                </c:pt>
                <c:pt idx="179">
                  <c:v>549</c:v>
                </c:pt>
                <c:pt idx="180">
                  <c:v>547</c:v>
                </c:pt>
                <c:pt idx="181">
                  <c:v>179</c:v>
                </c:pt>
                <c:pt idx="182">
                  <c:v>1454</c:v>
                </c:pt>
                <c:pt idx="183">
                  <c:v>299</c:v>
                </c:pt>
                <c:pt idx="184">
                  <c:v>196</c:v>
                </c:pt>
                <c:pt idx="185">
                  <c:v>460</c:v>
                </c:pt>
                <c:pt idx="186">
                  <c:v>776</c:v>
                </c:pt>
                <c:pt idx="187">
                  <c:v>393</c:v>
                </c:pt>
                <c:pt idx="188">
                  <c:v>70</c:v>
                </c:pt>
                <c:pt idx="189">
                  <c:v>198</c:v>
                </c:pt>
                <c:pt idx="190">
                  <c:v>1068</c:v>
                </c:pt>
                <c:pt idx="191">
                  <c:v>51</c:v>
                </c:pt>
                <c:pt idx="192">
                  <c:v>532</c:v>
                </c:pt>
                <c:pt idx="193">
                  <c:v>664</c:v>
                </c:pt>
                <c:pt idx="194">
                  <c:v>47</c:v>
                </c:pt>
                <c:pt idx="195">
                  <c:v>28</c:v>
                </c:pt>
                <c:pt idx="196">
                  <c:v>0</c:v>
                </c:pt>
                <c:pt idx="197">
                  <c:v>139</c:v>
                </c:pt>
                <c:pt idx="198">
                  <c:v>143</c:v>
                </c:pt>
                <c:pt idx="199">
                  <c:v>340</c:v>
                </c:pt>
                <c:pt idx="200">
                  <c:v>1805</c:v>
                </c:pt>
                <c:pt idx="201">
                  <c:v>718</c:v>
                </c:pt>
                <c:pt idx="202">
                  <c:v>211</c:v>
                </c:pt>
                <c:pt idx="203">
                  <c:v>602</c:v>
                </c:pt>
                <c:pt idx="204">
                  <c:v>533</c:v>
                </c:pt>
                <c:pt idx="205">
                  <c:v>687</c:v>
                </c:pt>
                <c:pt idx="206">
                  <c:v>370</c:v>
                </c:pt>
                <c:pt idx="207">
                  <c:v>418</c:v>
                </c:pt>
                <c:pt idx="208">
                  <c:v>360</c:v>
                </c:pt>
                <c:pt idx="209">
                  <c:v>132</c:v>
                </c:pt>
                <c:pt idx="210">
                  <c:v>330</c:v>
                </c:pt>
                <c:pt idx="211">
                  <c:v>235</c:v>
                </c:pt>
                <c:pt idx="212">
                  <c:v>1</c:v>
                </c:pt>
                <c:pt idx="213">
                  <c:v>2450</c:v>
                </c:pt>
                <c:pt idx="214">
                  <c:v>390</c:v>
                </c:pt>
                <c:pt idx="215">
                  <c:v>934</c:v>
                </c:pt>
                <c:pt idx="216">
                  <c:v>1577</c:v>
                </c:pt>
                <c:pt idx="217">
                  <c:v>826</c:v>
                </c:pt>
                <c:pt idx="218">
                  <c:v>187</c:v>
                </c:pt>
                <c:pt idx="219">
                  <c:v>28</c:v>
                </c:pt>
                <c:pt idx="220">
                  <c:v>429</c:v>
                </c:pt>
                <c:pt idx="221">
                  <c:v>338</c:v>
                </c:pt>
                <c:pt idx="222">
                  <c:v>1319</c:v>
                </c:pt>
                <c:pt idx="223">
                  <c:v>409</c:v>
                </c:pt>
                <c:pt idx="224">
                  <c:v>102</c:v>
                </c:pt>
                <c:pt idx="225">
                  <c:v>72</c:v>
                </c:pt>
                <c:pt idx="226">
                  <c:v>227</c:v>
                </c:pt>
                <c:pt idx="227">
                  <c:v>337</c:v>
                </c:pt>
                <c:pt idx="228">
                  <c:v>293</c:v>
                </c:pt>
                <c:pt idx="229">
                  <c:v>503</c:v>
                </c:pt>
                <c:pt idx="230">
                  <c:v>10</c:v>
                </c:pt>
                <c:pt idx="231">
                  <c:v>511</c:v>
                </c:pt>
                <c:pt idx="232">
                  <c:v>0</c:v>
                </c:pt>
                <c:pt idx="233">
                  <c:v>610</c:v>
                </c:pt>
                <c:pt idx="234">
                  <c:v>0</c:v>
                </c:pt>
                <c:pt idx="235">
                  <c:v>386</c:v>
                </c:pt>
                <c:pt idx="236">
                  <c:v>2204</c:v>
                </c:pt>
                <c:pt idx="237">
                  <c:v>1465</c:v>
                </c:pt>
                <c:pt idx="238">
                  <c:v>1498</c:v>
                </c:pt>
                <c:pt idx="239">
                  <c:v>2663</c:v>
                </c:pt>
                <c:pt idx="240">
                  <c:v>2728</c:v>
                </c:pt>
                <c:pt idx="241">
                  <c:v>1600</c:v>
                </c:pt>
                <c:pt idx="242">
                  <c:v>1127</c:v>
                </c:pt>
                <c:pt idx="243">
                  <c:v>1182</c:v>
                </c:pt>
                <c:pt idx="244">
                  <c:v>1946</c:v>
                </c:pt>
              </c:numCache>
            </c:numRef>
          </c:val>
        </c:ser>
        <c:gapWidth val="0"/>
        <c:axId val="135615232"/>
        <c:axId val="135616768"/>
      </c:barChart>
      <c:lineChart>
        <c:grouping val="standard"/>
        <c:ser>
          <c:idx val="3"/>
          <c:order val="1"/>
          <c:tx>
            <c:strRef>
              <c:f>[1]FKB3!$BK$2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[1]FKB3!$A$627:$A$871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[1]FKB3!$BK$627:$BK$871</c:f>
              <c:numCache>
                <c:formatCode>General</c:formatCode>
                <c:ptCount val="245"/>
                <c:pt idx="0">
                  <c:v>21971</c:v>
                </c:pt>
                <c:pt idx="1">
                  <c:v>22071</c:v>
                </c:pt>
                <c:pt idx="2">
                  <c:v>22077</c:v>
                </c:pt>
                <c:pt idx="3">
                  <c:v>22355</c:v>
                </c:pt>
                <c:pt idx="4">
                  <c:v>22390</c:v>
                </c:pt>
                <c:pt idx="5">
                  <c:v>22853</c:v>
                </c:pt>
                <c:pt idx="6">
                  <c:v>23339</c:v>
                </c:pt>
                <c:pt idx="7">
                  <c:v>23405</c:v>
                </c:pt>
                <c:pt idx="8">
                  <c:v>23474</c:v>
                </c:pt>
                <c:pt idx="9">
                  <c:v>23493</c:v>
                </c:pt>
                <c:pt idx="10">
                  <c:v>23501</c:v>
                </c:pt>
                <c:pt idx="11">
                  <c:v>23503</c:v>
                </c:pt>
                <c:pt idx="12">
                  <c:v>23515</c:v>
                </c:pt>
                <c:pt idx="13">
                  <c:v>23710</c:v>
                </c:pt>
                <c:pt idx="14">
                  <c:v>23623</c:v>
                </c:pt>
                <c:pt idx="15">
                  <c:v>23592</c:v>
                </c:pt>
                <c:pt idx="16">
                  <c:v>23676</c:v>
                </c:pt>
                <c:pt idx="17">
                  <c:v>23566</c:v>
                </c:pt>
                <c:pt idx="18">
                  <c:v>23191</c:v>
                </c:pt>
                <c:pt idx="19">
                  <c:v>23464</c:v>
                </c:pt>
                <c:pt idx="20">
                  <c:v>23576</c:v>
                </c:pt>
                <c:pt idx="21">
                  <c:v>23543</c:v>
                </c:pt>
                <c:pt idx="22">
                  <c:v>23509</c:v>
                </c:pt>
                <c:pt idx="23">
                  <c:v>24155</c:v>
                </c:pt>
                <c:pt idx="24">
                  <c:v>24162</c:v>
                </c:pt>
                <c:pt idx="25">
                  <c:v>24152</c:v>
                </c:pt>
                <c:pt idx="26">
                  <c:v>24097</c:v>
                </c:pt>
                <c:pt idx="27">
                  <c:v>24146</c:v>
                </c:pt>
                <c:pt idx="28">
                  <c:v>24146</c:v>
                </c:pt>
                <c:pt idx="29">
                  <c:v>24243</c:v>
                </c:pt>
                <c:pt idx="30">
                  <c:v>24528</c:v>
                </c:pt>
                <c:pt idx="31">
                  <c:v>24591</c:v>
                </c:pt>
                <c:pt idx="32">
                  <c:v>24428</c:v>
                </c:pt>
                <c:pt idx="33">
                  <c:v>24232</c:v>
                </c:pt>
                <c:pt idx="34">
                  <c:v>24486</c:v>
                </c:pt>
                <c:pt idx="35">
                  <c:v>24717</c:v>
                </c:pt>
                <c:pt idx="36">
                  <c:v>25682</c:v>
                </c:pt>
                <c:pt idx="37">
                  <c:v>25873</c:v>
                </c:pt>
                <c:pt idx="38">
                  <c:v>25849</c:v>
                </c:pt>
                <c:pt idx="39">
                  <c:v>23603</c:v>
                </c:pt>
                <c:pt idx="40">
                  <c:v>23638</c:v>
                </c:pt>
                <c:pt idx="41">
                  <c:v>23898</c:v>
                </c:pt>
                <c:pt idx="42">
                  <c:v>24186</c:v>
                </c:pt>
                <c:pt idx="43">
                  <c:v>24221</c:v>
                </c:pt>
                <c:pt idx="44">
                  <c:v>24976</c:v>
                </c:pt>
                <c:pt idx="45">
                  <c:v>25318</c:v>
                </c:pt>
                <c:pt idx="46">
                  <c:v>25370</c:v>
                </c:pt>
                <c:pt idx="47">
                  <c:v>25376</c:v>
                </c:pt>
                <c:pt idx="48">
                  <c:v>25821</c:v>
                </c:pt>
                <c:pt idx="49">
                  <c:v>25839</c:v>
                </c:pt>
                <c:pt idx="50">
                  <c:v>25899</c:v>
                </c:pt>
                <c:pt idx="51">
                  <c:v>26450</c:v>
                </c:pt>
                <c:pt idx="52">
                  <c:v>26538</c:v>
                </c:pt>
                <c:pt idx="53">
                  <c:v>26988</c:v>
                </c:pt>
                <c:pt idx="54">
                  <c:v>26961</c:v>
                </c:pt>
                <c:pt idx="55">
                  <c:v>27309</c:v>
                </c:pt>
                <c:pt idx="56">
                  <c:v>27689</c:v>
                </c:pt>
                <c:pt idx="57">
                  <c:v>28159</c:v>
                </c:pt>
                <c:pt idx="58">
                  <c:v>28161</c:v>
                </c:pt>
                <c:pt idx="59">
                  <c:v>28351</c:v>
                </c:pt>
                <c:pt idx="60">
                  <c:v>28346</c:v>
                </c:pt>
                <c:pt idx="61">
                  <c:v>28346</c:v>
                </c:pt>
                <c:pt idx="62">
                  <c:v>28774</c:v>
                </c:pt>
                <c:pt idx="63">
                  <c:v>28774</c:v>
                </c:pt>
                <c:pt idx="64">
                  <c:v>28919</c:v>
                </c:pt>
                <c:pt idx="65">
                  <c:v>28919</c:v>
                </c:pt>
                <c:pt idx="66">
                  <c:v>28961</c:v>
                </c:pt>
                <c:pt idx="67">
                  <c:v>28961</c:v>
                </c:pt>
                <c:pt idx="68">
                  <c:v>28920</c:v>
                </c:pt>
                <c:pt idx="69">
                  <c:v>28923</c:v>
                </c:pt>
                <c:pt idx="70">
                  <c:v>28923</c:v>
                </c:pt>
                <c:pt idx="71">
                  <c:v>28913</c:v>
                </c:pt>
                <c:pt idx="72">
                  <c:v>28913</c:v>
                </c:pt>
                <c:pt idx="73">
                  <c:v>28903</c:v>
                </c:pt>
                <c:pt idx="74">
                  <c:v>28903</c:v>
                </c:pt>
                <c:pt idx="75">
                  <c:v>28888</c:v>
                </c:pt>
                <c:pt idx="76">
                  <c:v>28887</c:v>
                </c:pt>
                <c:pt idx="77">
                  <c:v>28887</c:v>
                </c:pt>
                <c:pt idx="78">
                  <c:v>28887</c:v>
                </c:pt>
                <c:pt idx="79">
                  <c:v>28825</c:v>
                </c:pt>
                <c:pt idx="80">
                  <c:v>28955</c:v>
                </c:pt>
                <c:pt idx="81">
                  <c:v>28947</c:v>
                </c:pt>
                <c:pt idx="82">
                  <c:v>29204</c:v>
                </c:pt>
                <c:pt idx="83">
                  <c:v>29204</c:v>
                </c:pt>
                <c:pt idx="84">
                  <c:v>29289</c:v>
                </c:pt>
                <c:pt idx="85">
                  <c:v>29289</c:v>
                </c:pt>
                <c:pt idx="86">
                  <c:v>29277</c:v>
                </c:pt>
                <c:pt idx="87">
                  <c:v>28810</c:v>
                </c:pt>
                <c:pt idx="88">
                  <c:v>28780</c:v>
                </c:pt>
                <c:pt idx="89">
                  <c:v>28780</c:v>
                </c:pt>
                <c:pt idx="90">
                  <c:v>28680</c:v>
                </c:pt>
                <c:pt idx="91">
                  <c:v>28472</c:v>
                </c:pt>
                <c:pt idx="92">
                  <c:v>28532</c:v>
                </c:pt>
                <c:pt idx="93">
                  <c:v>28506</c:v>
                </c:pt>
                <c:pt idx="94">
                  <c:v>28506</c:v>
                </c:pt>
                <c:pt idx="95">
                  <c:v>28283</c:v>
                </c:pt>
                <c:pt idx="96">
                  <c:v>28271</c:v>
                </c:pt>
                <c:pt idx="97">
                  <c:v>28271</c:v>
                </c:pt>
                <c:pt idx="98">
                  <c:v>28271</c:v>
                </c:pt>
                <c:pt idx="99">
                  <c:v>28361</c:v>
                </c:pt>
                <c:pt idx="100">
                  <c:v>28351</c:v>
                </c:pt>
                <c:pt idx="101">
                  <c:v>25769</c:v>
                </c:pt>
                <c:pt idx="102">
                  <c:v>25714</c:v>
                </c:pt>
                <c:pt idx="103">
                  <c:v>25714</c:v>
                </c:pt>
                <c:pt idx="104">
                  <c:v>25714</c:v>
                </c:pt>
                <c:pt idx="105">
                  <c:v>25714</c:v>
                </c:pt>
                <c:pt idx="106">
                  <c:v>25060</c:v>
                </c:pt>
                <c:pt idx="107">
                  <c:v>15359</c:v>
                </c:pt>
                <c:pt idx="108">
                  <c:v>15284</c:v>
                </c:pt>
                <c:pt idx="109">
                  <c:v>15289</c:v>
                </c:pt>
                <c:pt idx="110">
                  <c:v>15389</c:v>
                </c:pt>
                <c:pt idx="111">
                  <c:v>15389</c:v>
                </c:pt>
                <c:pt idx="112">
                  <c:v>15401</c:v>
                </c:pt>
                <c:pt idx="113">
                  <c:v>15352</c:v>
                </c:pt>
                <c:pt idx="114">
                  <c:v>16452</c:v>
                </c:pt>
                <c:pt idx="115">
                  <c:v>15520</c:v>
                </c:pt>
                <c:pt idx="116">
                  <c:v>15453</c:v>
                </c:pt>
                <c:pt idx="117">
                  <c:v>15445</c:v>
                </c:pt>
                <c:pt idx="118">
                  <c:v>15373</c:v>
                </c:pt>
                <c:pt idx="119">
                  <c:v>15414</c:v>
                </c:pt>
                <c:pt idx="120">
                  <c:v>15462</c:v>
                </c:pt>
                <c:pt idx="121">
                  <c:v>15507</c:v>
                </c:pt>
                <c:pt idx="122">
                  <c:v>15316</c:v>
                </c:pt>
                <c:pt idx="123">
                  <c:v>16226</c:v>
                </c:pt>
                <c:pt idx="124">
                  <c:v>18461</c:v>
                </c:pt>
                <c:pt idx="125">
                  <c:v>18532</c:v>
                </c:pt>
                <c:pt idx="126">
                  <c:v>19108</c:v>
                </c:pt>
                <c:pt idx="127">
                  <c:v>19249</c:v>
                </c:pt>
                <c:pt idx="128">
                  <c:v>19616</c:v>
                </c:pt>
                <c:pt idx="129">
                  <c:v>20138</c:v>
                </c:pt>
                <c:pt idx="130">
                  <c:v>19870</c:v>
                </c:pt>
                <c:pt idx="131">
                  <c:v>19978</c:v>
                </c:pt>
                <c:pt idx="132">
                  <c:v>20023</c:v>
                </c:pt>
                <c:pt idx="133">
                  <c:v>20011</c:v>
                </c:pt>
                <c:pt idx="134">
                  <c:v>19768</c:v>
                </c:pt>
                <c:pt idx="135">
                  <c:v>19154</c:v>
                </c:pt>
                <c:pt idx="136">
                  <c:v>19182</c:v>
                </c:pt>
                <c:pt idx="137">
                  <c:v>19167</c:v>
                </c:pt>
                <c:pt idx="138">
                  <c:v>19172</c:v>
                </c:pt>
                <c:pt idx="139">
                  <c:v>19163</c:v>
                </c:pt>
                <c:pt idx="140">
                  <c:v>19164</c:v>
                </c:pt>
                <c:pt idx="141">
                  <c:v>19891</c:v>
                </c:pt>
                <c:pt idx="142">
                  <c:v>20066</c:v>
                </c:pt>
                <c:pt idx="143">
                  <c:v>20126</c:v>
                </c:pt>
                <c:pt idx="144">
                  <c:v>20174</c:v>
                </c:pt>
                <c:pt idx="145">
                  <c:v>20466</c:v>
                </c:pt>
                <c:pt idx="146">
                  <c:v>20507</c:v>
                </c:pt>
                <c:pt idx="147">
                  <c:v>20528</c:v>
                </c:pt>
                <c:pt idx="148">
                  <c:v>20898</c:v>
                </c:pt>
                <c:pt idx="149">
                  <c:v>20902</c:v>
                </c:pt>
                <c:pt idx="150">
                  <c:v>21015</c:v>
                </c:pt>
                <c:pt idx="151">
                  <c:v>21574</c:v>
                </c:pt>
                <c:pt idx="152">
                  <c:v>21899</c:v>
                </c:pt>
                <c:pt idx="153">
                  <c:v>21645</c:v>
                </c:pt>
                <c:pt idx="154">
                  <c:v>21240</c:v>
                </c:pt>
                <c:pt idx="155">
                  <c:v>21365</c:v>
                </c:pt>
                <c:pt idx="156">
                  <c:v>21416</c:v>
                </c:pt>
                <c:pt idx="157">
                  <c:v>21311</c:v>
                </c:pt>
                <c:pt idx="158">
                  <c:v>21311</c:v>
                </c:pt>
                <c:pt idx="159">
                  <c:v>21094</c:v>
                </c:pt>
                <c:pt idx="160">
                  <c:v>20994</c:v>
                </c:pt>
                <c:pt idx="161">
                  <c:v>21102</c:v>
                </c:pt>
                <c:pt idx="162">
                  <c:v>21311</c:v>
                </c:pt>
                <c:pt idx="163">
                  <c:v>21411</c:v>
                </c:pt>
                <c:pt idx="164">
                  <c:v>21398</c:v>
                </c:pt>
                <c:pt idx="165">
                  <c:v>19780</c:v>
                </c:pt>
                <c:pt idx="166">
                  <c:v>19462</c:v>
                </c:pt>
                <c:pt idx="167">
                  <c:v>19482</c:v>
                </c:pt>
                <c:pt idx="168">
                  <c:v>19346</c:v>
                </c:pt>
                <c:pt idx="169">
                  <c:v>19040</c:v>
                </c:pt>
                <c:pt idx="170">
                  <c:v>19246</c:v>
                </c:pt>
                <c:pt idx="171">
                  <c:v>19265</c:v>
                </c:pt>
                <c:pt idx="172">
                  <c:v>19306</c:v>
                </c:pt>
                <c:pt idx="173">
                  <c:v>19351</c:v>
                </c:pt>
                <c:pt idx="174">
                  <c:v>19166</c:v>
                </c:pt>
                <c:pt idx="175">
                  <c:v>19203</c:v>
                </c:pt>
                <c:pt idx="176">
                  <c:v>19293</c:v>
                </c:pt>
                <c:pt idx="177">
                  <c:v>19457</c:v>
                </c:pt>
                <c:pt idx="178">
                  <c:v>19475</c:v>
                </c:pt>
                <c:pt idx="179">
                  <c:v>19602</c:v>
                </c:pt>
                <c:pt idx="180">
                  <c:v>19827</c:v>
                </c:pt>
                <c:pt idx="181">
                  <c:v>19915</c:v>
                </c:pt>
                <c:pt idx="182">
                  <c:v>19710</c:v>
                </c:pt>
                <c:pt idx="183">
                  <c:v>19659</c:v>
                </c:pt>
                <c:pt idx="184">
                  <c:v>19722</c:v>
                </c:pt>
                <c:pt idx="185">
                  <c:v>19396</c:v>
                </c:pt>
                <c:pt idx="186">
                  <c:v>19399</c:v>
                </c:pt>
                <c:pt idx="187">
                  <c:v>19478</c:v>
                </c:pt>
                <c:pt idx="188">
                  <c:v>19491</c:v>
                </c:pt>
                <c:pt idx="189">
                  <c:v>19481</c:v>
                </c:pt>
                <c:pt idx="190">
                  <c:v>19612</c:v>
                </c:pt>
                <c:pt idx="191">
                  <c:v>19552</c:v>
                </c:pt>
                <c:pt idx="192">
                  <c:v>19272</c:v>
                </c:pt>
                <c:pt idx="193">
                  <c:v>18991</c:v>
                </c:pt>
                <c:pt idx="194">
                  <c:v>18987</c:v>
                </c:pt>
                <c:pt idx="195">
                  <c:v>18977</c:v>
                </c:pt>
                <c:pt idx="196">
                  <c:v>18977</c:v>
                </c:pt>
                <c:pt idx="197">
                  <c:v>18987</c:v>
                </c:pt>
                <c:pt idx="198">
                  <c:v>18978</c:v>
                </c:pt>
                <c:pt idx="199">
                  <c:v>18958</c:v>
                </c:pt>
                <c:pt idx="200">
                  <c:v>19111</c:v>
                </c:pt>
                <c:pt idx="201">
                  <c:v>19111</c:v>
                </c:pt>
                <c:pt idx="202">
                  <c:v>19021</c:v>
                </c:pt>
                <c:pt idx="203">
                  <c:v>18961</c:v>
                </c:pt>
                <c:pt idx="204">
                  <c:v>19116</c:v>
                </c:pt>
                <c:pt idx="205">
                  <c:v>19244</c:v>
                </c:pt>
                <c:pt idx="206">
                  <c:v>19269</c:v>
                </c:pt>
                <c:pt idx="207">
                  <c:v>19463</c:v>
                </c:pt>
                <c:pt idx="208">
                  <c:v>19685</c:v>
                </c:pt>
                <c:pt idx="209">
                  <c:v>19658</c:v>
                </c:pt>
                <c:pt idx="210">
                  <c:v>19601</c:v>
                </c:pt>
                <c:pt idx="211">
                  <c:v>19668</c:v>
                </c:pt>
                <c:pt idx="212">
                  <c:v>19669</c:v>
                </c:pt>
                <c:pt idx="213">
                  <c:v>20605</c:v>
                </c:pt>
                <c:pt idx="214">
                  <c:v>19998</c:v>
                </c:pt>
                <c:pt idx="215">
                  <c:v>20596</c:v>
                </c:pt>
                <c:pt idx="216">
                  <c:v>20704</c:v>
                </c:pt>
                <c:pt idx="217">
                  <c:v>20778</c:v>
                </c:pt>
                <c:pt idx="218">
                  <c:v>20809</c:v>
                </c:pt>
                <c:pt idx="219">
                  <c:v>20814</c:v>
                </c:pt>
                <c:pt idx="220">
                  <c:v>20918</c:v>
                </c:pt>
                <c:pt idx="221">
                  <c:v>20835</c:v>
                </c:pt>
                <c:pt idx="222">
                  <c:v>20373</c:v>
                </c:pt>
                <c:pt idx="223">
                  <c:v>20263</c:v>
                </c:pt>
                <c:pt idx="224">
                  <c:v>20234</c:v>
                </c:pt>
                <c:pt idx="225">
                  <c:v>20262</c:v>
                </c:pt>
                <c:pt idx="226">
                  <c:v>18959</c:v>
                </c:pt>
                <c:pt idx="227">
                  <c:v>19069</c:v>
                </c:pt>
                <c:pt idx="228">
                  <c:v>19144</c:v>
                </c:pt>
                <c:pt idx="229">
                  <c:v>19034</c:v>
                </c:pt>
                <c:pt idx="230">
                  <c:v>19034</c:v>
                </c:pt>
                <c:pt idx="231">
                  <c:v>19053</c:v>
                </c:pt>
                <c:pt idx="232">
                  <c:v>19053</c:v>
                </c:pt>
                <c:pt idx="233">
                  <c:v>18763</c:v>
                </c:pt>
                <c:pt idx="234">
                  <c:v>18763</c:v>
                </c:pt>
                <c:pt idx="235">
                  <c:v>18977</c:v>
                </c:pt>
                <c:pt idx="236">
                  <c:v>19192</c:v>
                </c:pt>
                <c:pt idx="237">
                  <c:v>19101</c:v>
                </c:pt>
                <c:pt idx="238">
                  <c:v>19226</c:v>
                </c:pt>
                <c:pt idx="239">
                  <c:v>18969</c:v>
                </c:pt>
                <c:pt idx="240">
                  <c:v>18019</c:v>
                </c:pt>
                <c:pt idx="241">
                  <c:v>17992</c:v>
                </c:pt>
                <c:pt idx="242">
                  <c:v>17611</c:v>
                </c:pt>
                <c:pt idx="243">
                  <c:v>17306</c:v>
                </c:pt>
                <c:pt idx="244">
                  <c:v>18006</c:v>
                </c:pt>
              </c:numCache>
            </c:numRef>
          </c:val>
        </c:ser>
        <c:marker val="1"/>
        <c:axId val="135631232"/>
        <c:axId val="135632768"/>
      </c:lineChart>
      <c:catAx>
        <c:axId val="135615232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16768"/>
        <c:crosses val="autoZero"/>
        <c:lblAlgn val="ctr"/>
        <c:lblOffset val="100"/>
        <c:tickLblSkip val="10"/>
        <c:tickMarkSkip val="1"/>
      </c:catAx>
      <c:valAx>
        <c:axId val="135616768"/>
        <c:scaling>
          <c:orientation val="minMax"/>
          <c:max val="65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944770857814355"/>
              <c:y val="0.2777787196815310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15232"/>
        <c:crosses val="autoZero"/>
        <c:crossBetween val="between"/>
        <c:majorUnit val="500"/>
        <c:minorUnit val="200"/>
      </c:valAx>
      <c:catAx>
        <c:axId val="135631232"/>
        <c:scaling>
          <c:orientation val="minMax"/>
        </c:scaling>
        <c:delete val="1"/>
        <c:axPos val="b"/>
        <c:numFmt formatCode="General" sourceLinked="1"/>
        <c:tickLblPos val="nextTo"/>
        <c:crossAx val="135632768"/>
        <c:crosses val="autoZero"/>
        <c:lblAlgn val="ctr"/>
        <c:lblOffset val="100"/>
      </c:catAx>
      <c:valAx>
        <c:axId val="135632768"/>
        <c:scaling>
          <c:orientation val="minMax"/>
          <c:max val="32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5.8754406580493537E-3"/>
              <c:y val="0.322917761629780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31232"/>
        <c:crosses val="max"/>
        <c:crossBetween val="between"/>
        <c:majorUnit val="4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964747356051702"/>
          <c:y val="0.93055871093312903"/>
          <c:w val="0.37955346650998834"/>
          <c:h val="5.555574393630623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4007050528789658"/>
          <c:y val="2.0905923344947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30199764982378E-2"/>
          <c:y val="9.4076655052264854E-2"/>
          <c:w val="0.85663924794359625"/>
          <c:h val="0.63763066202090612"/>
        </c:manualLayout>
      </c:layout>
      <c:barChart>
        <c:barDir val="col"/>
        <c:grouping val="clustered"/>
        <c:ser>
          <c:idx val="2"/>
          <c:order val="0"/>
          <c:tx>
            <c:strRef>
              <c:f>[1]FMG5!$N$2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[1]FMG5!$A$202:$A$448</c:f>
              <c:numCache>
                <c:formatCode>General</c:formatCode>
                <c:ptCount val="247"/>
                <c:pt idx="0">
                  <c:v>37635</c:v>
                </c:pt>
                <c:pt idx="1">
                  <c:v>37636</c:v>
                </c:pt>
                <c:pt idx="2">
                  <c:v>37637</c:v>
                </c:pt>
                <c:pt idx="3">
                  <c:v>37638</c:v>
                </c:pt>
                <c:pt idx="4">
                  <c:v>37641</c:v>
                </c:pt>
                <c:pt idx="5">
                  <c:v>37642</c:v>
                </c:pt>
                <c:pt idx="6">
                  <c:v>37643</c:v>
                </c:pt>
                <c:pt idx="7">
                  <c:v>37644</c:v>
                </c:pt>
                <c:pt idx="8">
                  <c:v>37645</c:v>
                </c:pt>
                <c:pt idx="9">
                  <c:v>37648</c:v>
                </c:pt>
                <c:pt idx="10">
                  <c:v>37649</c:v>
                </c:pt>
                <c:pt idx="11">
                  <c:v>37650</c:v>
                </c:pt>
                <c:pt idx="12">
                  <c:v>37651</c:v>
                </c:pt>
                <c:pt idx="13">
                  <c:v>37657</c:v>
                </c:pt>
                <c:pt idx="14">
                  <c:v>37658</c:v>
                </c:pt>
                <c:pt idx="15">
                  <c:v>37659</c:v>
                </c:pt>
                <c:pt idx="16">
                  <c:v>37662</c:v>
                </c:pt>
                <c:pt idx="17">
                  <c:v>37663</c:v>
                </c:pt>
                <c:pt idx="18">
                  <c:v>37665</c:v>
                </c:pt>
                <c:pt idx="19">
                  <c:v>37666</c:v>
                </c:pt>
                <c:pt idx="20">
                  <c:v>37669</c:v>
                </c:pt>
                <c:pt idx="21">
                  <c:v>37670</c:v>
                </c:pt>
                <c:pt idx="22">
                  <c:v>37671</c:v>
                </c:pt>
                <c:pt idx="23">
                  <c:v>37672</c:v>
                </c:pt>
                <c:pt idx="24">
                  <c:v>37673</c:v>
                </c:pt>
                <c:pt idx="25">
                  <c:v>37676</c:v>
                </c:pt>
                <c:pt idx="26">
                  <c:v>37677</c:v>
                </c:pt>
                <c:pt idx="27">
                  <c:v>37678</c:v>
                </c:pt>
                <c:pt idx="28">
                  <c:v>37679</c:v>
                </c:pt>
                <c:pt idx="29">
                  <c:v>37680</c:v>
                </c:pt>
                <c:pt idx="30">
                  <c:v>37683</c:v>
                </c:pt>
                <c:pt idx="31">
                  <c:v>37685</c:v>
                </c:pt>
                <c:pt idx="32">
                  <c:v>37686</c:v>
                </c:pt>
                <c:pt idx="33">
                  <c:v>37687</c:v>
                </c:pt>
                <c:pt idx="34">
                  <c:v>37690</c:v>
                </c:pt>
                <c:pt idx="35">
                  <c:v>37691</c:v>
                </c:pt>
                <c:pt idx="36">
                  <c:v>37692</c:v>
                </c:pt>
                <c:pt idx="37">
                  <c:v>37693</c:v>
                </c:pt>
                <c:pt idx="38">
                  <c:v>37694</c:v>
                </c:pt>
                <c:pt idx="39">
                  <c:v>37697</c:v>
                </c:pt>
                <c:pt idx="40">
                  <c:v>37698</c:v>
                </c:pt>
                <c:pt idx="41">
                  <c:v>37699</c:v>
                </c:pt>
                <c:pt idx="42">
                  <c:v>37700</c:v>
                </c:pt>
                <c:pt idx="43">
                  <c:v>37701</c:v>
                </c:pt>
                <c:pt idx="44">
                  <c:v>37704</c:v>
                </c:pt>
                <c:pt idx="45">
                  <c:v>37705</c:v>
                </c:pt>
                <c:pt idx="46">
                  <c:v>37706</c:v>
                </c:pt>
                <c:pt idx="47">
                  <c:v>37707</c:v>
                </c:pt>
                <c:pt idx="48">
                  <c:v>37708</c:v>
                </c:pt>
                <c:pt idx="49">
                  <c:v>37711</c:v>
                </c:pt>
                <c:pt idx="50">
                  <c:v>37712</c:v>
                </c:pt>
                <c:pt idx="51">
                  <c:v>37713</c:v>
                </c:pt>
                <c:pt idx="52">
                  <c:v>37714</c:v>
                </c:pt>
                <c:pt idx="53">
                  <c:v>37715</c:v>
                </c:pt>
                <c:pt idx="54">
                  <c:v>37718</c:v>
                </c:pt>
                <c:pt idx="55">
                  <c:v>37719</c:v>
                </c:pt>
                <c:pt idx="56">
                  <c:v>37720</c:v>
                </c:pt>
                <c:pt idx="57">
                  <c:v>37721</c:v>
                </c:pt>
                <c:pt idx="58">
                  <c:v>37722</c:v>
                </c:pt>
                <c:pt idx="59">
                  <c:v>37725</c:v>
                </c:pt>
                <c:pt idx="60">
                  <c:v>37726</c:v>
                </c:pt>
                <c:pt idx="61">
                  <c:v>37727</c:v>
                </c:pt>
                <c:pt idx="62">
                  <c:v>37728</c:v>
                </c:pt>
                <c:pt idx="63">
                  <c:v>37729</c:v>
                </c:pt>
                <c:pt idx="64">
                  <c:v>37732</c:v>
                </c:pt>
                <c:pt idx="65">
                  <c:v>37733</c:v>
                </c:pt>
                <c:pt idx="66">
                  <c:v>37734</c:v>
                </c:pt>
                <c:pt idx="67">
                  <c:v>37735</c:v>
                </c:pt>
                <c:pt idx="68">
                  <c:v>37736</c:v>
                </c:pt>
                <c:pt idx="69">
                  <c:v>37739</c:v>
                </c:pt>
                <c:pt idx="70">
                  <c:v>37740</c:v>
                </c:pt>
                <c:pt idx="71">
                  <c:v>37741</c:v>
                </c:pt>
                <c:pt idx="72">
                  <c:v>37743</c:v>
                </c:pt>
                <c:pt idx="73">
                  <c:v>37746</c:v>
                </c:pt>
                <c:pt idx="74">
                  <c:v>37747</c:v>
                </c:pt>
                <c:pt idx="75">
                  <c:v>37748</c:v>
                </c:pt>
                <c:pt idx="76">
                  <c:v>37749</c:v>
                </c:pt>
                <c:pt idx="77">
                  <c:v>37750</c:v>
                </c:pt>
                <c:pt idx="78">
                  <c:v>37753</c:v>
                </c:pt>
                <c:pt idx="79">
                  <c:v>37754</c:v>
                </c:pt>
                <c:pt idx="80">
                  <c:v>37757</c:v>
                </c:pt>
                <c:pt idx="81">
                  <c:v>37760</c:v>
                </c:pt>
                <c:pt idx="82">
                  <c:v>37761</c:v>
                </c:pt>
                <c:pt idx="83">
                  <c:v>37762</c:v>
                </c:pt>
                <c:pt idx="84">
                  <c:v>37763</c:v>
                </c:pt>
                <c:pt idx="85">
                  <c:v>37764</c:v>
                </c:pt>
                <c:pt idx="86">
                  <c:v>37767</c:v>
                </c:pt>
                <c:pt idx="87">
                  <c:v>37768</c:v>
                </c:pt>
                <c:pt idx="88">
                  <c:v>37769</c:v>
                </c:pt>
                <c:pt idx="89">
                  <c:v>37770</c:v>
                </c:pt>
                <c:pt idx="90">
                  <c:v>37771</c:v>
                </c:pt>
                <c:pt idx="91">
                  <c:v>37774</c:v>
                </c:pt>
                <c:pt idx="92">
                  <c:v>37775</c:v>
                </c:pt>
                <c:pt idx="93">
                  <c:v>37776</c:v>
                </c:pt>
                <c:pt idx="94">
                  <c:v>37777</c:v>
                </c:pt>
                <c:pt idx="95">
                  <c:v>37778</c:v>
                </c:pt>
                <c:pt idx="96">
                  <c:v>37781</c:v>
                </c:pt>
                <c:pt idx="97">
                  <c:v>37782</c:v>
                </c:pt>
                <c:pt idx="98">
                  <c:v>37783</c:v>
                </c:pt>
                <c:pt idx="99">
                  <c:v>37784</c:v>
                </c:pt>
                <c:pt idx="100">
                  <c:v>37785</c:v>
                </c:pt>
                <c:pt idx="101">
                  <c:v>37788</c:v>
                </c:pt>
                <c:pt idx="102">
                  <c:v>37789</c:v>
                </c:pt>
                <c:pt idx="103">
                  <c:v>37790</c:v>
                </c:pt>
                <c:pt idx="104">
                  <c:v>37791</c:v>
                </c:pt>
                <c:pt idx="105">
                  <c:v>37792</c:v>
                </c:pt>
                <c:pt idx="106">
                  <c:v>37795</c:v>
                </c:pt>
                <c:pt idx="107">
                  <c:v>37796</c:v>
                </c:pt>
                <c:pt idx="108">
                  <c:v>37797</c:v>
                </c:pt>
                <c:pt idx="109">
                  <c:v>37798</c:v>
                </c:pt>
                <c:pt idx="110">
                  <c:v>37799</c:v>
                </c:pt>
                <c:pt idx="111">
                  <c:v>37802</c:v>
                </c:pt>
                <c:pt idx="112">
                  <c:v>37803</c:v>
                </c:pt>
                <c:pt idx="113">
                  <c:v>37804</c:v>
                </c:pt>
                <c:pt idx="114">
                  <c:v>37805</c:v>
                </c:pt>
                <c:pt idx="115">
                  <c:v>37806</c:v>
                </c:pt>
                <c:pt idx="116">
                  <c:v>37809</c:v>
                </c:pt>
                <c:pt idx="117">
                  <c:v>37810</c:v>
                </c:pt>
                <c:pt idx="118">
                  <c:v>37811</c:v>
                </c:pt>
                <c:pt idx="119">
                  <c:v>37812</c:v>
                </c:pt>
                <c:pt idx="120">
                  <c:v>37813</c:v>
                </c:pt>
                <c:pt idx="121">
                  <c:v>37816</c:v>
                </c:pt>
                <c:pt idx="122">
                  <c:v>37817</c:v>
                </c:pt>
                <c:pt idx="123">
                  <c:v>37818</c:v>
                </c:pt>
                <c:pt idx="124">
                  <c:v>37819</c:v>
                </c:pt>
                <c:pt idx="125">
                  <c:v>37820</c:v>
                </c:pt>
                <c:pt idx="126">
                  <c:v>37823</c:v>
                </c:pt>
                <c:pt idx="127">
                  <c:v>37824</c:v>
                </c:pt>
                <c:pt idx="128">
                  <c:v>37825</c:v>
                </c:pt>
                <c:pt idx="129">
                  <c:v>37826</c:v>
                </c:pt>
                <c:pt idx="130">
                  <c:v>37827</c:v>
                </c:pt>
                <c:pt idx="131">
                  <c:v>37830</c:v>
                </c:pt>
                <c:pt idx="132">
                  <c:v>37831</c:v>
                </c:pt>
                <c:pt idx="133">
                  <c:v>37832</c:v>
                </c:pt>
                <c:pt idx="134">
                  <c:v>37833</c:v>
                </c:pt>
                <c:pt idx="135">
                  <c:v>37834</c:v>
                </c:pt>
                <c:pt idx="136">
                  <c:v>37837</c:v>
                </c:pt>
                <c:pt idx="137">
                  <c:v>37838</c:v>
                </c:pt>
                <c:pt idx="138">
                  <c:v>37839</c:v>
                </c:pt>
                <c:pt idx="139">
                  <c:v>37840</c:v>
                </c:pt>
                <c:pt idx="140">
                  <c:v>37841</c:v>
                </c:pt>
                <c:pt idx="141">
                  <c:v>37844</c:v>
                </c:pt>
                <c:pt idx="142">
                  <c:v>37845</c:v>
                </c:pt>
                <c:pt idx="143">
                  <c:v>37846</c:v>
                </c:pt>
                <c:pt idx="144">
                  <c:v>37847</c:v>
                </c:pt>
                <c:pt idx="145">
                  <c:v>37848</c:v>
                </c:pt>
                <c:pt idx="146">
                  <c:v>37851</c:v>
                </c:pt>
                <c:pt idx="147">
                  <c:v>37852</c:v>
                </c:pt>
                <c:pt idx="148">
                  <c:v>37853</c:v>
                </c:pt>
                <c:pt idx="149">
                  <c:v>37854</c:v>
                </c:pt>
                <c:pt idx="150">
                  <c:v>37855</c:v>
                </c:pt>
                <c:pt idx="151">
                  <c:v>37858</c:v>
                </c:pt>
                <c:pt idx="152">
                  <c:v>37859</c:v>
                </c:pt>
                <c:pt idx="153">
                  <c:v>37860</c:v>
                </c:pt>
                <c:pt idx="154">
                  <c:v>37861</c:v>
                </c:pt>
                <c:pt idx="155">
                  <c:v>37862</c:v>
                </c:pt>
                <c:pt idx="156">
                  <c:v>37866</c:v>
                </c:pt>
                <c:pt idx="157">
                  <c:v>37867</c:v>
                </c:pt>
                <c:pt idx="158">
                  <c:v>37868</c:v>
                </c:pt>
                <c:pt idx="159">
                  <c:v>37869</c:v>
                </c:pt>
                <c:pt idx="160">
                  <c:v>37872</c:v>
                </c:pt>
                <c:pt idx="161">
                  <c:v>37873</c:v>
                </c:pt>
                <c:pt idx="162">
                  <c:v>37874</c:v>
                </c:pt>
                <c:pt idx="163">
                  <c:v>37875</c:v>
                </c:pt>
                <c:pt idx="164">
                  <c:v>37876</c:v>
                </c:pt>
                <c:pt idx="165">
                  <c:v>37879</c:v>
                </c:pt>
                <c:pt idx="166">
                  <c:v>37880</c:v>
                </c:pt>
                <c:pt idx="167">
                  <c:v>37881</c:v>
                </c:pt>
                <c:pt idx="168">
                  <c:v>37882</c:v>
                </c:pt>
                <c:pt idx="169">
                  <c:v>37883</c:v>
                </c:pt>
                <c:pt idx="170">
                  <c:v>37886</c:v>
                </c:pt>
                <c:pt idx="171">
                  <c:v>37887</c:v>
                </c:pt>
                <c:pt idx="172">
                  <c:v>37888</c:v>
                </c:pt>
                <c:pt idx="173">
                  <c:v>37889</c:v>
                </c:pt>
                <c:pt idx="174">
                  <c:v>37890</c:v>
                </c:pt>
                <c:pt idx="175">
                  <c:v>37893</c:v>
                </c:pt>
                <c:pt idx="176">
                  <c:v>37894</c:v>
                </c:pt>
                <c:pt idx="177">
                  <c:v>37895</c:v>
                </c:pt>
                <c:pt idx="178">
                  <c:v>37896</c:v>
                </c:pt>
                <c:pt idx="179">
                  <c:v>37897</c:v>
                </c:pt>
                <c:pt idx="180">
                  <c:v>37900</c:v>
                </c:pt>
                <c:pt idx="181">
                  <c:v>37901</c:v>
                </c:pt>
                <c:pt idx="182">
                  <c:v>37902</c:v>
                </c:pt>
                <c:pt idx="183">
                  <c:v>37903</c:v>
                </c:pt>
                <c:pt idx="184">
                  <c:v>37904</c:v>
                </c:pt>
                <c:pt idx="185">
                  <c:v>37907</c:v>
                </c:pt>
                <c:pt idx="186">
                  <c:v>37908</c:v>
                </c:pt>
                <c:pt idx="187">
                  <c:v>37909</c:v>
                </c:pt>
                <c:pt idx="188">
                  <c:v>37910</c:v>
                </c:pt>
                <c:pt idx="189">
                  <c:v>37911</c:v>
                </c:pt>
                <c:pt idx="190">
                  <c:v>37914</c:v>
                </c:pt>
                <c:pt idx="191">
                  <c:v>37915</c:v>
                </c:pt>
                <c:pt idx="192">
                  <c:v>37916</c:v>
                </c:pt>
                <c:pt idx="193">
                  <c:v>37917</c:v>
                </c:pt>
                <c:pt idx="194">
                  <c:v>37921</c:v>
                </c:pt>
                <c:pt idx="195">
                  <c:v>37922</c:v>
                </c:pt>
                <c:pt idx="196">
                  <c:v>37923</c:v>
                </c:pt>
                <c:pt idx="197">
                  <c:v>37924</c:v>
                </c:pt>
                <c:pt idx="198">
                  <c:v>37925</c:v>
                </c:pt>
                <c:pt idx="199">
                  <c:v>37928</c:v>
                </c:pt>
                <c:pt idx="200">
                  <c:v>37929</c:v>
                </c:pt>
                <c:pt idx="201">
                  <c:v>37930</c:v>
                </c:pt>
                <c:pt idx="202">
                  <c:v>37931</c:v>
                </c:pt>
                <c:pt idx="203">
                  <c:v>37932</c:v>
                </c:pt>
                <c:pt idx="204">
                  <c:v>37935</c:v>
                </c:pt>
                <c:pt idx="205">
                  <c:v>37936</c:v>
                </c:pt>
                <c:pt idx="206">
                  <c:v>37937</c:v>
                </c:pt>
                <c:pt idx="207">
                  <c:v>37938</c:v>
                </c:pt>
                <c:pt idx="208">
                  <c:v>37939</c:v>
                </c:pt>
                <c:pt idx="209">
                  <c:v>37942</c:v>
                </c:pt>
                <c:pt idx="210">
                  <c:v>37943</c:v>
                </c:pt>
                <c:pt idx="211">
                  <c:v>37944</c:v>
                </c:pt>
                <c:pt idx="212">
                  <c:v>37945</c:v>
                </c:pt>
                <c:pt idx="213">
                  <c:v>37946</c:v>
                </c:pt>
                <c:pt idx="214">
                  <c:v>37952</c:v>
                </c:pt>
                <c:pt idx="215">
                  <c:v>37953</c:v>
                </c:pt>
                <c:pt idx="216">
                  <c:v>37956</c:v>
                </c:pt>
                <c:pt idx="217">
                  <c:v>37957</c:v>
                </c:pt>
                <c:pt idx="218">
                  <c:v>37958</c:v>
                </c:pt>
                <c:pt idx="219">
                  <c:v>37959</c:v>
                </c:pt>
                <c:pt idx="220">
                  <c:v>37960</c:v>
                </c:pt>
                <c:pt idx="221">
                  <c:v>37963</c:v>
                </c:pt>
                <c:pt idx="222">
                  <c:v>37964</c:v>
                </c:pt>
                <c:pt idx="223">
                  <c:v>37965</c:v>
                </c:pt>
                <c:pt idx="224">
                  <c:v>37966</c:v>
                </c:pt>
                <c:pt idx="225">
                  <c:v>37967</c:v>
                </c:pt>
                <c:pt idx="226">
                  <c:v>37970</c:v>
                </c:pt>
                <c:pt idx="227">
                  <c:v>37971</c:v>
                </c:pt>
                <c:pt idx="228">
                  <c:v>37972</c:v>
                </c:pt>
                <c:pt idx="229">
                  <c:v>37973</c:v>
                </c:pt>
                <c:pt idx="230">
                  <c:v>37974</c:v>
                </c:pt>
                <c:pt idx="231">
                  <c:v>37977</c:v>
                </c:pt>
                <c:pt idx="232">
                  <c:v>37978</c:v>
                </c:pt>
                <c:pt idx="233">
                  <c:v>37979</c:v>
                </c:pt>
                <c:pt idx="234">
                  <c:v>37981</c:v>
                </c:pt>
                <c:pt idx="235">
                  <c:v>37984</c:v>
                </c:pt>
                <c:pt idx="236">
                  <c:v>37985</c:v>
                </c:pt>
                <c:pt idx="237">
                  <c:v>37986</c:v>
                </c:pt>
                <c:pt idx="238">
                  <c:v>37988</c:v>
                </c:pt>
                <c:pt idx="239">
                  <c:v>37991</c:v>
                </c:pt>
                <c:pt idx="240">
                  <c:v>37992</c:v>
                </c:pt>
                <c:pt idx="241">
                  <c:v>37993</c:v>
                </c:pt>
                <c:pt idx="242">
                  <c:v>37994</c:v>
                </c:pt>
                <c:pt idx="243">
                  <c:v>37995</c:v>
                </c:pt>
                <c:pt idx="244">
                  <c:v>37998</c:v>
                </c:pt>
                <c:pt idx="245">
                  <c:v>37999</c:v>
                </c:pt>
                <c:pt idx="246">
                  <c:v>38000</c:v>
                </c:pt>
              </c:numCache>
            </c:numRef>
          </c:cat>
          <c:val>
            <c:numRef>
              <c:f>[1]FMG5!$N$202:$N$448</c:f>
              <c:numCache>
                <c:formatCode>General</c:formatCode>
                <c:ptCount val="247"/>
                <c:pt idx="0">
                  <c:v>170</c:v>
                </c:pt>
                <c:pt idx="1">
                  <c:v>70</c:v>
                </c:pt>
                <c:pt idx="2">
                  <c:v>635</c:v>
                </c:pt>
                <c:pt idx="3">
                  <c:v>1150</c:v>
                </c:pt>
                <c:pt idx="4">
                  <c:v>350</c:v>
                </c:pt>
                <c:pt idx="5">
                  <c:v>370</c:v>
                </c:pt>
                <c:pt idx="6">
                  <c:v>0</c:v>
                </c:pt>
                <c:pt idx="7">
                  <c:v>585</c:v>
                </c:pt>
                <c:pt idx="8">
                  <c:v>2245</c:v>
                </c:pt>
                <c:pt idx="9">
                  <c:v>1790</c:v>
                </c:pt>
                <c:pt idx="10">
                  <c:v>555</c:v>
                </c:pt>
                <c:pt idx="11">
                  <c:v>590</c:v>
                </c:pt>
                <c:pt idx="12">
                  <c:v>1332</c:v>
                </c:pt>
                <c:pt idx="13">
                  <c:v>520</c:v>
                </c:pt>
                <c:pt idx="14">
                  <c:v>0</c:v>
                </c:pt>
                <c:pt idx="15">
                  <c:v>0</c:v>
                </c:pt>
                <c:pt idx="16">
                  <c:v>150</c:v>
                </c:pt>
                <c:pt idx="17">
                  <c:v>260</c:v>
                </c:pt>
                <c:pt idx="18">
                  <c:v>2070</c:v>
                </c:pt>
                <c:pt idx="19">
                  <c:v>150</c:v>
                </c:pt>
                <c:pt idx="20">
                  <c:v>600</c:v>
                </c:pt>
                <c:pt idx="21">
                  <c:v>52</c:v>
                </c:pt>
                <c:pt idx="22">
                  <c:v>1780</c:v>
                </c:pt>
                <c:pt idx="23">
                  <c:v>1070</c:v>
                </c:pt>
                <c:pt idx="24">
                  <c:v>750</c:v>
                </c:pt>
                <c:pt idx="25">
                  <c:v>300</c:v>
                </c:pt>
                <c:pt idx="26">
                  <c:v>350</c:v>
                </c:pt>
                <c:pt idx="27">
                  <c:v>485</c:v>
                </c:pt>
                <c:pt idx="28">
                  <c:v>1350</c:v>
                </c:pt>
                <c:pt idx="29">
                  <c:v>2000</c:v>
                </c:pt>
                <c:pt idx="30">
                  <c:v>350</c:v>
                </c:pt>
                <c:pt idx="31">
                  <c:v>820</c:v>
                </c:pt>
                <c:pt idx="32">
                  <c:v>110</c:v>
                </c:pt>
                <c:pt idx="33">
                  <c:v>110</c:v>
                </c:pt>
                <c:pt idx="34">
                  <c:v>100</c:v>
                </c:pt>
                <c:pt idx="35">
                  <c:v>530</c:v>
                </c:pt>
                <c:pt idx="36">
                  <c:v>22</c:v>
                </c:pt>
                <c:pt idx="37">
                  <c:v>974</c:v>
                </c:pt>
                <c:pt idx="38">
                  <c:v>1267</c:v>
                </c:pt>
                <c:pt idx="39">
                  <c:v>815</c:v>
                </c:pt>
                <c:pt idx="40">
                  <c:v>170</c:v>
                </c:pt>
                <c:pt idx="41">
                  <c:v>450</c:v>
                </c:pt>
                <c:pt idx="42">
                  <c:v>550</c:v>
                </c:pt>
                <c:pt idx="43">
                  <c:v>170</c:v>
                </c:pt>
                <c:pt idx="44">
                  <c:v>520</c:v>
                </c:pt>
                <c:pt idx="45">
                  <c:v>1140</c:v>
                </c:pt>
                <c:pt idx="46">
                  <c:v>2870</c:v>
                </c:pt>
                <c:pt idx="47">
                  <c:v>295</c:v>
                </c:pt>
                <c:pt idx="48">
                  <c:v>150</c:v>
                </c:pt>
                <c:pt idx="49">
                  <c:v>1110</c:v>
                </c:pt>
                <c:pt idx="50">
                  <c:v>772</c:v>
                </c:pt>
                <c:pt idx="51">
                  <c:v>940</c:v>
                </c:pt>
                <c:pt idx="52">
                  <c:v>950</c:v>
                </c:pt>
                <c:pt idx="53">
                  <c:v>290</c:v>
                </c:pt>
                <c:pt idx="54">
                  <c:v>570</c:v>
                </c:pt>
                <c:pt idx="55">
                  <c:v>1740</c:v>
                </c:pt>
                <c:pt idx="56">
                  <c:v>220</c:v>
                </c:pt>
                <c:pt idx="57">
                  <c:v>1430</c:v>
                </c:pt>
                <c:pt idx="58">
                  <c:v>820</c:v>
                </c:pt>
                <c:pt idx="59">
                  <c:v>100</c:v>
                </c:pt>
                <c:pt idx="60">
                  <c:v>500</c:v>
                </c:pt>
                <c:pt idx="61">
                  <c:v>200</c:v>
                </c:pt>
                <c:pt idx="62">
                  <c:v>670</c:v>
                </c:pt>
                <c:pt idx="63">
                  <c:v>390</c:v>
                </c:pt>
                <c:pt idx="64">
                  <c:v>310</c:v>
                </c:pt>
                <c:pt idx="65">
                  <c:v>660</c:v>
                </c:pt>
                <c:pt idx="66">
                  <c:v>210</c:v>
                </c:pt>
                <c:pt idx="67">
                  <c:v>50</c:v>
                </c:pt>
                <c:pt idx="68">
                  <c:v>1055</c:v>
                </c:pt>
                <c:pt idx="69">
                  <c:v>190</c:v>
                </c:pt>
                <c:pt idx="70">
                  <c:v>1520</c:v>
                </c:pt>
                <c:pt idx="71">
                  <c:v>1350</c:v>
                </c:pt>
                <c:pt idx="72">
                  <c:v>90</c:v>
                </c:pt>
                <c:pt idx="73">
                  <c:v>850</c:v>
                </c:pt>
                <c:pt idx="74">
                  <c:v>500</c:v>
                </c:pt>
                <c:pt idx="75">
                  <c:v>290</c:v>
                </c:pt>
                <c:pt idx="76">
                  <c:v>1145</c:v>
                </c:pt>
                <c:pt idx="77">
                  <c:v>210</c:v>
                </c:pt>
                <c:pt idx="78">
                  <c:v>50</c:v>
                </c:pt>
                <c:pt idx="79">
                  <c:v>40</c:v>
                </c:pt>
                <c:pt idx="80">
                  <c:v>50</c:v>
                </c:pt>
                <c:pt idx="81">
                  <c:v>230</c:v>
                </c:pt>
                <c:pt idx="82">
                  <c:v>457</c:v>
                </c:pt>
                <c:pt idx="83">
                  <c:v>938</c:v>
                </c:pt>
                <c:pt idx="84">
                  <c:v>1665</c:v>
                </c:pt>
                <c:pt idx="85">
                  <c:v>1421</c:v>
                </c:pt>
                <c:pt idx="86">
                  <c:v>80</c:v>
                </c:pt>
                <c:pt idx="87">
                  <c:v>710</c:v>
                </c:pt>
                <c:pt idx="88">
                  <c:v>300</c:v>
                </c:pt>
                <c:pt idx="89">
                  <c:v>100</c:v>
                </c:pt>
                <c:pt idx="90">
                  <c:v>1085</c:v>
                </c:pt>
                <c:pt idx="91">
                  <c:v>50</c:v>
                </c:pt>
                <c:pt idx="92">
                  <c:v>70</c:v>
                </c:pt>
                <c:pt idx="93">
                  <c:v>1290</c:v>
                </c:pt>
                <c:pt idx="94">
                  <c:v>2280</c:v>
                </c:pt>
                <c:pt idx="95">
                  <c:v>360</c:v>
                </c:pt>
                <c:pt idx="96">
                  <c:v>621</c:v>
                </c:pt>
                <c:pt idx="97">
                  <c:v>1510</c:v>
                </c:pt>
                <c:pt idx="98">
                  <c:v>750</c:v>
                </c:pt>
                <c:pt idx="99">
                  <c:v>0</c:v>
                </c:pt>
                <c:pt idx="100">
                  <c:v>1245</c:v>
                </c:pt>
                <c:pt idx="101">
                  <c:v>350</c:v>
                </c:pt>
                <c:pt idx="102">
                  <c:v>455</c:v>
                </c:pt>
                <c:pt idx="103">
                  <c:v>130</c:v>
                </c:pt>
                <c:pt idx="104">
                  <c:v>1130</c:v>
                </c:pt>
                <c:pt idx="105">
                  <c:v>754</c:v>
                </c:pt>
                <c:pt idx="106">
                  <c:v>690</c:v>
                </c:pt>
                <c:pt idx="107">
                  <c:v>100</c:v>
                </c:pt>
                <c:pt idx="108">
                  <c:v>600</c:v>
                </c:pt>
                <c:pt idx="109">
                  <c:v>225</c:v>
                </c:pt>
                <c:pt idx="110">
                  <c:v>980</c:v>
                </c:pt>
                <c:pt idx="111">
                  <c:v>400</c:v>
                </c:pt>
                <c:pt idx="112">
                  <c:v>1680</c:v>
                </c:pt>
                <c:pt idx="113">
                  <c:v>1240</c:v>
                </c:pt>
                <c:pt idx="114">
                  <c:v>1310</c:v>
                </c:pt>
                <c:pt idx="115">
                  <c:v>1080</c:v>
                </c:pt>
                <c:pt idx="116">
                  <c:v>100</c:v>
                </c:pt>
                <c:pt idx="117">
                  <c:v>650</c:v>
                </c:pt>
                <c:pt idx="118">
                  <c:v>250</c:v>
                </c:pt>
                <c:pt idx="119">
                  <c:v>750</c:v>
                </c:pt>
                <c:pt idx="120">
                  <c:v>200</c:v>
                </c:pt>
                <c:pt idx="121">
                  <c:v>435</c:v>
                </c:pt>
                <c:pt idx="122">
                  <c:v>450</c:v>
                </c:pt>
                <c:pt idx="123">
                  <c:v>3215</c:v>
                </c:pt>
                <c:pt idx="124">
                  <c:v>920</c:v>
                </c:pt>
                <c:pt idx="125">
                  <c:v>400</c:v>
                </c:pt>
                <c:pt idx="126">
                  <c:v>155</c:v>
                </c:pt>
                <c:pt idx="127">
                  <c:v>1201</c:v>
                </c:pt>
                <c:pt idx="128">
                  <c:v>1100</c:v>
                </c:pt>
                <c:pt idx="129">
                  <c:v>530</c:v>
                </c:pt>
                <c:pt idx="130">
                  <c:v>445</c:v>
                </c:pt>
                <c:pt idx="131">
                  <c:v>1623</c:v>
                </c:pt>
                <c:pt idx="132">
                  <c:v>2712</c:v>
                </c:pt>
                <c:pt idx="133">
                  <c:v>384</c:v>
                </c:pt>
                <c:pt idx="134">
                  <c:v>905</c:v>
                </c:pt>
                <c:pt idx="135">
                  <c:v>1462</c:v>
                </c:pt>
                <c:pt idx="136">
                  <c:v>1</c:v>
                </c:pt>
                <c:pt idx="137">
                  <c:v>50</c:v>
                </c:pt>
                <c:pt idx="138">
                  <c:v>615</c:v>
                </c:pt>
                <c:pt idx="139">
                  <c:v>105</c:v>
                </c:pt>
                <c:pt idx="140">
                  <c:v>0</c:v>
                </c:pt>
                <c:pt idx="141">
                  <c:v>0</c:v>
                </c:pt>
                <c:pt idx="142">
                  <c:v>550</c:v>
                </c:pt>
                <c:pt idx="143">
                  <c:v>200</c:v>
                </c:pt>
                <c:pt idx="144">
                  <c:v>10</c:v>
                </c:pt>
                <c:pt idx="145">
                  <c:v>250</c:v>
                </c:pt>
                <c:pt idx="146">
                  <c:v>0</c:v>
                </c:pt>
                <c:pt idx="147">
                  <c:v>795</c:v>
                </c:pt>
                <c:pt idx="148">
                  <c:v>150</c:v>
                </c:pt>
                <c:pt idx="149">
                  <c:v>800</c:v>
                </c:pt>
                <c:pt idx="150">
                  <c:v>1141</c:v>
                </c:pt>
                <c:pt idx="151">
                  <c:v>20</c:v>
                </c:pt>
                <c:pt idx="152">
                  <c:v>186</c:v>
                </c:pt>
                <c:pt idx="153">
                  <c:v>0</c:v>
                </c:pt>
                <c:pt idx="154">
                  <c:v>209</c:v>
                </c:pt>
                <c:pt idx="155">
                  <c:v>406</c:v>
                </c:pt>
                <c:pt idx="156">
                  <c:v>230</c:v>
                </c:pt>
                <c:pt idx="157">
                  <c:v>0</c:v>
                </c:pt>
                <c:pt idx="158">
                  <c:v>50</c:v>
                </c:pt>
                <c:pt idx="159">
                  <c:v>50</c:v>
                </c:pt>
                <c:pt idx="160">
                  <c:v>0</c:v>
                </c:pt>
                <c:pt idx="161">
                  <c:v>250</c:v>
                </c:pt>
                <c:pt idx="162">
                  <c:v>205</c:v>
                </c:pt>
                <c:pt idx="163">
                  <c:v>200</c:v>
                </c:pt>
                <c:pt idx="164">
                  <c:v>0</c:v>
                </c:pt>
                <c:pt idx="165">
                  <c:v>120</c:v>
                </c:pt>
                <c:pt idx="166">
                  <c:v>570</c:v>
                </c:pt>
                <c:pt idx="167">
                  <c:v>610</c:v>
                </c:pt>
                <c:pt idx="168">
                  <c:v>365</c:v>
                </c:pt>
                <c:pt idx="169">
                  <c:v>100</c:v>
                </c:pt>
                <c:pt idx="170">
                  <c:v>220</c:v>
                </c:pt>
                <c:pt idx="171">
                  <c:v>352</c:v>
                </c:pt>
                <c:pt idx="172">
                  <c:v>250</c:v>
                </c:pt>
                <c:pt idx="173">
                  <c:v>410</c:v>
                </c:pt>
                <c:pt idx="174">
                  <c:v>0</c:v>
                </c:pt>
                <c:pt idx="175">
                  <c:v>255</c:v>
                </c:pt>
                <c:pt idx="176">
                  <c:v>790</c:v>
                </c:pt>
                <c:pt idx="177">
                  <c:v>60</c:v>
                </c:pt>
                <c:pt idx="178">
                  <c:v>150</c:v>
                </c:pt>
                <c:pt idx="179">
                  <c:v>210</c:v>
                </c:pt>
                <c:pt idx="180">
                  <c:v>450</c:v>
                </c:pt>
                <c:pt idx="181">
                  <c:v>370</c:v>
                </c:pt>
                <c:pt idx="182">
                  <c:v>727</c:v>
                </c:pt>
                <c:pt idx="183">
                  <c:v>930</c:v>
                </c:pt>
                <c:pt idx="184">
                  <c:v>1060</c:v>
                </c:pt>
                <c:pt idx="185">
                  <c:v>150</c:v>
                </c:pt>
                <c:pt idx="186">
                  <c:v>222</c:v>
                </c:pt>
                <c:pt idx="187">
                  <c:v>55</c:v>
                </c:pt>
                <c:pt idx="188">
                  <c:v>176</c:v>
                </c:pt>
                <c:pt idx="189">
                  <c:v>25</c:v>
                </c:pt>
                <c:pt idx="190">
                  <c:v>394</c:v>
                </c:pt>
                <c:pt idx="191">
                  <c:v>170</c:v>
                </c:pt>
                <c:pt idx="192">
                  <c:v>465</c:v>
                </c:pt>
                <c:pt idx="193">
                  <c:v>0</c:v>
                </c:pt>
                <c:pt idx="194">
                  <c:v>20</c:v>
                </c:pt>
                <c:pt idx="195">
                  <c:v>10</c:v>
                </c:pt>
                <c:pt idx="196">
                  <c:v>90</c:v>
                </c:pt>
                <c:pt idx="197">
                  <c:v>0</c:v>
                </c:pt>
                <c:pt idx="198">
                  <c:v>210</c:v>
                </c:pt>
                <c:pt idx="199">
                  <c:v>0</c:v>
                </c:pt>
                <c:pt idx="200">
                  <c:v>470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100</c:v>
                </c:pt>
                <c:pt idx="207">
                  <c:v>150</c:v>
                </c:pt>
                <c:pt idx="208">
                  <c:v>218</c:v>
                </c:pt>
                <c:pt idx="209">
                  <c:v>0</c:v>
                </c:pt>
                <c:pt idx="210">
                  <c:v>0</c:v>
                </c:pt>
                <c:pt idx="211">
                  <c:v>250</c:v>
                </c:pt>
                <c:pt idx="212">
                  <c:v>0</c:v>
                </c:pt>
                <c:pt idx="213">
                  <c:v>10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50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220</c:v>
                </c:pt>
                <c:pt idx="239">
                  <c:v>0</c:v>
                </c:pt>
                <c:pt idx="240">
                  <c:v>330</c:v>
                </c:pt>
                <c:pt idx="241">
                  <c:v>101</c:v>
                </c:pt>
                <c:pt idx="242">
                  <c:v>387</c:v>
                </c:pt>
                <c:pt idx="243">
                  <c:v>0</c:v>
                </c:pt>
                <c:pt idx="244">
                  <c:v>20</c:v>
                </c:pt>
                <c:pt idx="245">
                  <c:v>200</c:v>
                </c:pt>
                <c:pt idx="246">
                  <c:v>52</c:v>
                </c:pt>
              </c:numCache>
            </c:numRef>
          </c:val>
        </c:ser>
        <c:gapWidth val="0"/>
        <c:axId val="135680000"/>
        <c:axId val="135681536"/>
      </c:barChart>
      <c:lineChart>
        <c:grouping val="standard"/>
        <c:ser>
          <c:idx val="3"/>
          <c:order val="1"/>
          <c:tx>
            <c:strRef>
              <c:f>[1]FMG5!$O$2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[1]FMG5!$A$202:$A$448</c:f>
              <c:numCache>
                <c:formatCode>General</c:formatCode>
                <c:ptCount val="247"/>
                <c:pt idx="0">
                  <c:v>37635</c:v>
                </c:pt>
                <c:pt idx="1">
                  <c:v>37636</c:v>
                </c:pt>
                <c:pt idx="2">
                  <c:v>37637</c:v>
                </c:pt>
                <c:pt idx="3">
                  <c:v>37638</c:v>
                </c:pt>
                <c:pt idx="4">
                  <c:v>37641</c:v>
                </c:pt>
                <c:pt idx="5">
                  <c:v>37642</c:v>
                </c:pt>
                <c:pt idx="6">
                  <c:v>37643</c:v>
                </c:pt>
                <c:pt idx="7">
                  <c:v>37644</c:v>
                </c:pt>
                <c:pt idx="8">
                  <c:v>37645</c:v>
                </c:pt>
                <c:pt idx="9">
                  <c:v>37648</c:v>
                </c:pt>
                <c:pt idx="10">
                  <c:v>37649</c:v>
                </c:pt>
                <c:pt idx="11">
                  <c:v>37650</c:v>
                </c:pt>
                <c:pt idx="12">
                  <c:v>37651</c:v>
                </c:pt>
                <c:pt idx="13">
                  <c:v>37657</c:v>
                </c:pt>
                <c:pt idx="14">
                  <c:v>37658</c:v>
                </c:pt>
                <c:pt idx="15">
                  <c:v>37659</c:v>
                </c:pt>
                <c:pt idx="16">
                  <c:v>37662</c:v>
                </c:pt>
                <c:pt idx="17">
                  <c:v>37663</c:v>
                </c:pt>
                <c:pt idx="18">
                  <c:v>37665</c:v>
                </c:pt>
                <c:pt idx="19">
                  <c:v>37666</c:v>
                </c:pt>
                <c:pt idx="20">
                  <c:v>37669</c:v>
                </c:pt>
                <c:pt idx="21">
                  <c:v>37670</c:v>
                </c:pt>
                <c:pt idx="22">
                  <c:v>37671</c:v>
                </c:pt>
                <c:pt idx="23">
                  <c:v>37672</c:v>
                </c:pt>
                <c:pt idx="24">
                  <c:v>37673</c:v>
                </c:pt>
                <c:pt idx="25">
                  <c:v>37676</c:v>
                </c:pt>
                <c:pt idx="26">
                  <c:v>37677</c:v>
                </c:pt>
                <c:pt idx="27">
                  <c:v>37678</c:v>
                </c:pt>
                <c:pt idx="28">
                  <c:v>37679</c:v>
                </c:pt>
                <c:pt idx="29">
                  <c:v>37680</c:v>
                </c:pt>
                <c:pt idx="30">
                  <c:v>37683</c:v>
                </c:pt>
                <c:pt idx="31">
                  <c:v>37685</c:v>
                </c:pt>
                <c:pt idx="32">
                  <c:v>37686</c:v>
                </c:pt>
                <c:pt idx="33">
                  <c:v>37687</c:v>
                </c:pt>
                <c:pt idx="34">
                  <c:v>37690</c:v>
                </c:pt>
                <c:pt idx="35">
                  <c:v>37691</c:v>
                </c:pt>
                <c:pt idx="36">
                  <c:v>37692</c:v>
                </c:pt>
                <c:pt idx="37">
                  <c:v>37693</c:v>
                </c:pt>
                <c:pt idx="38">
                  <c:v>37694</c:v>
                </c:pt>
                <c:pt idx="39">
                  <c:v>37697</c:v>
                </c:pt>
                <c:pt idx="40">
                  <c:v>37698</c:v>
                </c:pt>
                <c:pt idx="41">
                  <c:v>37699</c:v>
                </c:pt>
                <c:pt idx="42">
                  <c:v>37700</c:v>
                </c:pt>
                <c:pt idx="43">
                  <c:v>37701</c:v>
                </c:pt>
                <c:pt idx="44">
                  <c:v>37704</c:v>
                </c:pt>
                <c:pt idx="45">
                  <c:v>37705</c:v>
                </c:pt>
                <c:pt idx="46">
                  <c:v>37706</c:v>
                </c:pt>
                <c:pt idx="47">
                  <c:v>37707</c:v>
                </c:pt>
                <c:pt idx="48">
                  <c:v>37708</c:v>
                </c:pt>
                <c:pt idx="49">
                  <c:v>37711</c:v>
                </c:pt>
                <c:pt idx="50">
                  <c:v>37712</c:v>
                </c:pt>
                <c:pt idx="51">
                  <c:v>37713</c:v>
                </c:pt>
                <c:pt idx="52">
                  <c:v>37714</c:v>
                </c:pt>
                <c:pt idx="53">
                  <c:v>37715</c:v>
                </c:pt>
                <c:pt idx="54">
                  <c:v>37718</c:v>
                </c:pt>
                <c:pt idx="55">
                  <c:v>37719</c:v>
                </c:pt>
                <c:pt idx="56">
                  <c:v>37720</c:v>
                </c:pt>
                <c:pt idx="57">
                  <c:v>37721</c:v>
                </c:pt>
                <c:pt idx="58">
                  <c:v>37722</c:v>
                </c:pt>
                <c:pt idx="59">
                  <c:v>37725</c:v>
                </c:pt>
                <c:pt idx="60">
                  <c:v>37726</c:v>
                </c:pt>
                <c:pt idx="61">
                  <c:v>37727</c:v>
                </c:pt>
                <c:pt idx="62">
                  <c:v>37728</c:v>
                </c:pt>
                <c:pt idx="63">
                  <c:v>37729</c:v>
                </c:pt>
                <c:pt idx="64">
                  <c:v>37732</c:v>
                </c:pt>
                <c:pt idx="65">
                  <c:v>37733</c:v>
                </c:pt>
                <c:pt idx="66">
                  <c:v>37734</c:v>
                </c:pt>
                <c:pt idx="67">
                  <c:v>37735</c:v>
                </c:pt>
                <c:pt idx="68">
                  <c:v>37736</c:v>
                </c:pt>
                <c:pt idx="69">
                  <c:v>37739</c:v>
                </c:pt>
                <c:pt idx="70">
                  <c:v>37740</c:v>
                </c:pt>
                <c:pt idx="71">
                  <c:v>37741</c:v>
                </c:pt>
                <c:pt idx="72">
                  <c:v>37743</c:v>
                </c:pt>
                <c:pt idx="73">
                  <c:v>37746</c:v>
                </c:pt>
                <c:pt idx="74">
                  <c:v>37747</c:v>
                </c:pt>
                <c:pt idx="75">
                  <c:v>37748</c:v>
                </c:pt>
                <c:pt idx="76">
                  <c:v>37749</c:v>
                </c:pt>
                <c:pt idx="77">
                  <c:v>37750</c:v>
                </c:pt>
                <c:pt idx="78">
                  <c:v>37753</c:v>
                </c:pt>
                <c:pt idx="79">
                  <c:v>37754</c:v>
                </c:pt>
                <c:pt idx="80">
                  <c:v>37757</c:v>
                </c:pt>
                <c:pt idx="81">
                  <c:v>37760</c:v>
                </c:pt>
                <c:pt idx="82">
                  <c:v>37761</c:v>
                </c:pt>
                <c:pt idx="83">
                  <c:v>37762</c:v>
                </c:pt>
                <c:pt idx="84">
                  <c:v>37763</c:v>
                </c:pt>
                <c:pt idx="85">
                  <c:v>37764</c:v>
                </c:pt>
                <c:pt idx="86">
                  <c:v>37767</c:v>
                </c:pt>
                <c:pt idx="87">
                  <c:v>37768</c:v>
                </c:pt>
                <c:pt idx="88">
                  <c:v>37769</c:v>
                </c:pt>
                <c:pt idx="89">
                  <c:v>37770</c:v>
                </c:pt>
                <c:pt idx="90">
                  <c:v>37771</c:v>
                </c:pt>
                <c:pt idx="91">
                  <c:v>37774</c:v>
                </c:pt>
                <c:pt idx="92">
                  <c:v>37775</c:v>
                </c:pt>
                <c:pt idx="93">
                  <c:v>37776</c:v>
                </c:pt>
                <c:pt idx="94">
                  <c:v>37777</c:v>
                </c:pt>
                <c:pt idx="95">
                  <c:v>37778</c:v>
                </c:pt>
                <c:pt idx="96">
                  <c:v>37781</c:v>
                </c:pt>
                <c:pt idx="97">
                  <c:v>37782</c:v>
                </c:pt>
                <c:pt idx="98">
                  <c:v>37783</c:v>
                </c:pt>
                <c:pt idx="99">
                  <c:v>37784</c:v>
                </c:pt>
                <c:pt idx="100">
                  <c:v>37785</c:v>
                </c:pt>
                <c:pt idx="101">
                  <c:v>37788</c:v>
                </c:pt>
                <c:pt idx="102">
                  <c:v>37789</c:v>
                </c:pt>
                <c:pt idx="103">
                  <c:v>37790</c:v>
                </c:pt>
                <c:pt idx="104">
                  <c:v>37791</c:v>
                </c:pt>
                <c:pt idx="105">
                  <c:v>37792</c:v>
                </c:pt>
                <c:pt idx="106">
                  <c:v>37795</c:v>
                </c:pt>
                <c:pt idx="107">
                  <c:v>37796</c:v>
                </c:pt>
                <c:pt idx="108">
                  <c:v>37797</c:v>
                </c:pt>
                <c:pt idx="109">
                  <c:v>37798</c:v>
                </c:pt>
                <c:pt idx="110">
                  <c:v>37799</c:v>
                </c:pt>
                <c:pt idx="111">
                  <c:v>37802</c:v>
                </c:pt>
                <c:pt idx="112">
                  <c:v>37803</c:v>
                </c:pt>
                <c:pt idx="113">
                  <c:v>37804</c:v>
                </c:pt>
                <c:pt idx="114">
                  <c:v>37805</c:v>
                </c:pt>
                <c:pt idx="115">
                  <c:v>37806</c:v>
                </c:pt>
                <c:pt idx="116">
                  <c:v>37809</c:v>
                </c:pt>
                <c:pt idx="117">
                  <c:v>37810</c:v>
                </c:pt>
                <c:pt idx="118">
                  <c:v>37811</c:v>
                </c:pt>
                <c:pt idx="119">
                  <c:v>37812</c:v>
                </c:pt>
                <c:pt idx="120">
                  <c:v>37813</c:v>
                </c:pt>
                <c:pt idx="121">
                  <c:v>37816</c:v>
                </c:pt>
                <c:pt idx="122">
                  <c:v>37817</c:v>
                </c:pt>
                <c:pt idx="123">
                  <c:v>37818</c:v>
                </c:pt>
                <c:pt idx="124">
                  <c:v>37819</c:v>
                </c:pt>
                <c:pt idx="125">
                  <c:v>37820</c:v>
                </c:pt>
                <c:pt idx="126">
                  <c:v>37823</c:v>
                </c:pt>
                <c:pt idx="127">
                  <c:v>37824</c:v>
                </c:pt>
                <c:pt idx="128">
                  <c:v>37825</c:v>
                </c:pt>
                <c:pt idx="129">
                  <c:v>37826</c:v>
                </c:pt>
                <c:pt idx="130">
                  <c:v>37827</c:v>
                </c:pt>
                <c:pt idx="131">
                  <c:v>37830</c:v>
                </c:pt>
                <c:pt idx="132">
                  <c:v>37831</c:v>
                </c:pt>
                <c:pt idx="133">
                  <c:v>37832</c:v>
                </c:pt>
                <c:pt idx="134">
                  <c:v>37833</c:v>
                </c:pt>
                <c:pt idx="135">
                  <c:v>37834</c:v>
                </c:pt>
                <c:pt idx="136">
                  <c:v>37837</c:v>
                </c:pt>
                <c:pt idx="137">
                  <c:v>37838</c:v>
                </c:pt>
                <c:pt idx="138">
                  <c:v>37839</c:v>
                </c:pt>
                <c:pt idx="139">
                  <c:v>37840</c:v>
                </c:pt>
                <c:pt idx="140">
                  <c:v>37841</c:v>
                </c:pt>
                <c:pt idx="141">
                  <c:v>37844</c:v>
                </c:pt>
                <c:pt idx="142">
                  <c:v>37845</c:v>
                </c:pt>
                <c:pt idx="143">
                  <c:v>37846</c:v>
                </c:pt>
                <c:pt idx="144">
                  <c:v>37847</c:v>
                </c:pt>
                <c:pt idx="145">
                  <c:v>37848</c:v>
                </c:pt>
                <c:pt idx="146">
                  <c:v>37851</c:v>
                </c:pt>
                <c:pt idx="147">
                  <c:v>37852</c:v>
                </c:pt>
                <c:pt idx="148">
                  <c:v>37853</c:v>
                </c:pt>
                <c:pt idx="149">
                  <c:v>37854</c:v>
                </c:pt>
                <c:pt idx="150">
                  <c:v>37855</c:v>
                </c:pt>
                <c:pt idx="151">
                  <c:v>37858</c:v>
                </c:pt>
                <c:pt idx="152">
                  <c:v>37859</c:v>
                </c:pt>
                <c:pt idx="153">
                  <c:v>37860</c:v>
                </c:pt>
                <c:pt idx="154">
                  <c:v>37861</c:v>
                </c:pt>
                <c:pt idx="155">
                  <c:v>37862</c:v>
                </c:pt>
                <c:pt idx="156">
                  <c:v>37866</c:v>
                </c:pt>
                <c:pt idx="157">
                  <c:v>37867</c:v>
                </c:pt>
                <c:pt idx="158">
                  <c:v>37868</c:v>
                </c:pt>
                <c:pt idx="159">
                  <c:v>37869</c:v>
                </c:pt>
                <c:pt idx="160">
                  <c:v>37872</c:v>
                </c:pt>
                <c:pt idx="161">
                  <c:v>37873</c:v>
                </c:pt>
                <c:pt idx="162">
                  <c:v>37874</c:v>
                </c:pt>
                <c:pt idx="163">
                  <c:v>37875</c:v>
                </c:pt>
                <c:pt idx="164">
                  <c:v>37876</c:v>
                </c:pt>
                <c:pt idx="165">
                  <c:v>37879</c:v>
                </c:pt>
                <c:pt idx="166">
                  <c:v>37880</c:v>
                </c:pt>
                <c:pt idx="167">
                  <c:v>37881</c:v>
                </c:pt>
                <c:pt idx="168">
                  <c:v>37882</c:v>
                </c:pt>
                <c:pt idx="169">
                  <c:v>37883</c:v>
                </c:pt>
                <c:pt idx="170">
                  <c:v>37886</c:v>
                </c:pt>
                <c:pt idx="171">
                  <c:v>37887</c:v>
                </c:pt>
                <c:pt idx="172">
                  <c:v>37888</c:v>
                </c:pt>
                <c:pt idx="173">
                  <c:v>37889</c:v>
                </c:pt>
                <c:pt idx="174">
                  <c:v>37890</c:v>
                </c:pt>
                <c:pt idx="175">
                  <c:v>37893</c:v>
                </c:pt>
                <c:pt idx="176">
                  <c:v>37894</c:v>
                </c:pt>
                <c:pt idx="177">
                  <c:v>37895</c:v>
                </c:pt>
                <c:pt idx="178">
                  <c:v>37896</c:v>
                </c:pt>
                <c:pt idx="179">
                  <c:v>37897</c:v>
                </c:pt>
                <c:pt idx="180">
                  <c:v>37900</c:v>
                </c:pt>
                <c:pt idx="181">
                  <c:v>37901</c:v>
                </c:pt>
                <c:pt idx="182">
                  <c:v>37902</c:v>
                </c:pt>
                <c:pt idx="183">
                  <c:v>37903</c:v>
                </c:pt>
                <c:pt idx="184">
                  <c:v>37904</c:v>
                </c:pt>
                <c:pt idx="185">
                  <c:v>37907</c:v>
                </c:pt>
                <c:pt idx="186">
                  <c:v>37908</c:v>
                </c:pt>
                <c:pt idx="187">
                  <c:v>37909</c:v>
                </c:pt>
                <c:pt idx="188">
                  <c:v>37910</c:v>
                </c:pt>
                <c:pt idx="189">
                  <c:v>37911</c:v>
                </c:pt>
                <c:pt idx="190">
                  <c:v>37914</c:v>
                </c:pt>
                <c:pt idx="191">
                  <c:v>37915</c:v>
                </c:pt>
                <c:pt idx="192">
                  <c:v>37916</c:v>
                </c:pt>
                <c:pt idx="193">
                  <c:v>37917</c:v>
                </c:pt>
                <c:pt idx="194">
                  <c:v>37921</c:v>
                </c:pt>
                <c:pt idx="195">
                  <c:v>37922</c:v>
                </c:pt>
                <c:pt idx="196">
                  <c:v>37923</c:v>
                </c:pt>
                <c:pt idx="197">
                  <c:v>37924</c:v>
                </c:pt>
                <c:pt idx="198">
                  <c:v>37925</c:v>
                </c:pt>
                <c:pt idx="199">
                  <c:v>37928</c:v>
                </c:pt>
                <c:pt idx="200">
                  <c:v>37929</c:v>
                </c:pt>
                <c:pt idx="201">
                  <c:v>37930</c:v>
                </c:pt>
                <c:pt idx="202">
                  <c:v>37931</c:v>
                </c:pt>
                <c:pt idx="203">
                  <c:v>37932</c:v>
                </c:pt>
                <c:pt idx="204">
                  <c:v>37935</c:v>
                </c:pt>
                <c:pt idx="205">
                  <c:v>37936</c:v>
                </c:pt>
                <c:pt idx="206">
                  <c:v>37937</c:v>
                </c:pt>
                <c:pt idx="207">
                  <c:v>37938</c:v>
                </c:pt>
                <c:pt idx="208">
                  <c:v>37939</c:v>
                </c:pt>
                <c:pt idx="209">
                  <c:v>37942</c:v>
                </c:pt>
                <c:pt idx="210">
                  <c:v>37943</c:v>
                </c:pt>
                <c:pt idx="211">
                  <c:v>37944</c:v>
                </c:pt>
                <c:pt idx="212">
                  <c:v>37945</c:v>
                </c:pt>
                <c:pt idx="213">
                  <c:v>37946</c:v>
                </c:pt>
                <c:pt idx="214">
                  <c:v>37952</c:v>
                </c:pt>
                <c:pt idx="215">
                  <c:v>37953</c:v>
                </c:pt>
                <c:pt idx="216">
                  <c:v>37956</c:v>
                </c:pt>
                <c:pt idx="217">
                  <c:v>37957</c:v>
                </c:pt>
                <c:pt idx="218">
                  <c:v>37958</c:v>
                </c:pt>
                <c:pt idx="219">
                  <c:v>37959</c:v>
                </c:pt>
                <c:pt idx="220">
                  <c:v>37960</c:v>
                </c:pt>
                <c:pt idx="221">
                  <c:v>37963</c:v>
                </c:pt>
                <c:pt idx="222">
                  <c:v>37964</c:v>
                </c:pt>
                <c:pt idx="223">
                  <c:v>37965</c:v>
                </c:pt>
                <c:pt idx="224">
                  <c:v>37966</c:v>
                </c:pt>
                <c:pt idx="225">
                  <c:v>37967</c:v>
                </c:pt>
                <c:pt idx="226">
                  <c:v>37970</c:v>
                </c:pt>
                <c:pt idx="227">
                  <c:v>37971</c:v>
                </c:pt>
                <c:pt idx="228">
                  <c:v>37972</c:v>
                </c:pt>
                <c:pt idx="229">
                  <c:v>37973</c:v>
                </c:pt>
                <c:pt idx="230">
                  <c:v>37974</c:v>
                </c:pt>
                <c:pt idx="231">
                  <c:v>37977</c:v>
                </c:pt>
                <c:pt idx="232">
                  <c:v>37978</c:v>
                </c:pt>
                <c:pt idx="233">
                  <c:v>37979</c:v>
                </c:pt>
                <c:pt idx="234">
                  <c:v>37981</c:v>
                </c:pt>
                <c:pt idx="235">
                  <c:v>37984</c:v>
                </c:pt>
                <c:pt idx="236">
                  <c:v>37985</c:v>
                </c:pt>
                <c:pt idx="237">
                  <c:v>37986</c:v>
                </c:pt>
                <c:pt idx="238">
                  <c:v>37988</c:v>
                </c:pt>
                <c:pt idx="239">
                  <c:v>37991</c:v>
                </c:pt>
                <c:pt idx="240">
                  <c:v>37992</c:v>
                </c:pt>
                <c:pt idx="241">
                  <c:v>37993</c:v>
                </c:pt>
                <c:pt idx="242">
                  <c:v>37994</c:v>
                </c:pt>
                <c:pt idx="243">
                  <c:v>37995</c:v>
                </c:pt>
                <c:pt idx="244">
                  <c:v>37998</c:v>
                </c:pt>
                <c:pt idx="245">
                  <c:v>37999</c:v>
                </c:pt>
                <c:pt idx="246">
                  <c:v>38000</c:v>
                </c:pt>
              </c:numCache>
            </c:numRef>
          </c:cat>
          <c:val>
            <c:numRef>
              <c:f>[1]FMG5!$O$202:$O$448</c:f>
              <c:numCache>
                <c:formatCode>General</c:formatCode>
                <c:ptCount val="247"/>
                <c:pt idx="0">
                  <c:v>6022</c:v>
                </c:pt>
                <c:pt idx="1">
                  <c:v>6012</c:v>
                </c:pt>
                <c:pt idx="2">
                  <c:v>5952</c:v>
                </c:pt>
                <c:pt idx="3">
                  <c:v>6033</c:v>
                </c:pt>
                <c:pt idx="4">
                  <c:v>6123</c:v>
                </c:pt>
                <c:pt idx="5">
                  <c:v>6383</c:v>
                </c:pt>
                <c:pt idx="6">
                  <c:v>6383</c:v>
                </c:pt>
                <c:pt idx="7">
                  <c:v>6658</c:v>
                </c:pt>
                <c:pt idx="8">
                  <c:v>7388</c:v>
                </c:pt>
                <c:pt idx="9">
                  <c:v>7268</c:v>
                </c:pt>
                <c:pt idx="10">
                  <c:v>7243</c:v>
                </c:pt>
                <c:pt idx="11">
                  <c:v>7263</c:v>
                </c:pt>
                <c:pt idx="12">
                  <c:v>7563</c:v>
                </c:pt>
                <c:pt idx="13">
                  <c:v>7563</c:v>
                </c:pt>
                <c:pt idx="14">
                  <c:v>7563</c:v>
                </c:pt>
                <c:pt idx="15">
                  <c:v>7563</c:v>
                </c:pt>
                <c:pt idx="16">
                  <c:v>7533</c:v>
                </c:pt>
                <c:pt idx="17">
                  <c:v>7603</c:v>
                </c:pt>
                <c:pt idx="18">
                  <c:v>8663</c:v>
                </c:pt>
                <c:pt idx="19">
                  <c:v>8623</c:v>
                </c:pt>
                <c:pt idx="20">
                  <c:v>8473</c:v>
                </c:pt>
                <c:pt idx="21">
                  <c:v>8525</c:v>
                </c:pt>
                <c:pt idx="22">
                  <c:v>8985</c:v>
                </c:pt>
                <c:pt idx="23">
                  <c:v>8865</c:v>
                </c:pt>
                <c:pt idx="24">
                  <c:v>8965</c:v>
                </c:pt>
                <c:pt idx="25">
                  <c:v>8985</c:v>
                </c:pt>
                <c:pt idx="26">
                  <c:v>8945</c:v>
                </c:pt>
                <c:pt idx="27">
                  <c:v>9180</c:v>
                </c:pt>
                <c:pt idx="28">
                  <c:v>9245</c:v>
                </c:pt>
                <c:pt idx="29">
                  <c:v>9505</c:v>
                </c:pt>
                <c:pt idx="30">
                  <c:v>9319</c:v>
                </c:pt>
                <c:pt idx="31">
                  <c:v>8744</c:v>
                </c:pt>
                <c:pt idx="32">
                  <c:v>8744</c:v>
                </c:pt>
                <c:pt idx="33">
                  <c:v>8794</c:v>
                </c:pt>
                <c:pt idx="34">
                  <c:v>8564</c:v>
                </c:pt>
                <c:pt idx="35">
                  <c:v>8384</c:v>
                </c:pt>
                <c:pt idx="36">
                  <c:v>8364</c:v>
                </c:pt>
                <c:pt idx="37">
                  <c:v>8009</c:v>
                </c:pt>
                <c:pt idx="38">
                  <c:v>8228</c:v>
                </c:pt>
                <c:pt idx="39">
                  <c:v>8273</c:v>
                </c:pt>
                <c:pt idx="40">
                  <c:v>8258</c:v>
                </c:pt>
                <c:pt idx="41">
                  <c:v>5253</c:v>
                </c:pt>
                <c:pt idx="42">
                  <c:v>5663</c:v>
                </c:pt>
                <c:pt idx="43">
                  <c:v>5783</c:v>
                </c:pt>
                <c:pt idx="44">
                  <c:v>5613</c:v>
                </c:pt>
                <c:pt idx="45">
                  <c:v>5738</c:v>
                </c:pt>
                <c:pt idx="46">
                  <c:v>6104</c:v>
                </c:pt>
                <c:pt idx="47">
                  <c:v>6254</c:v>
                </c:pt>
                <c:pt idx="48">
                  <c:v>6204</c:v>
                </c:pt>
                <c:pt idx="49">
                  <c:v>5984</c:v>
                </c:pt>
                <c:pt idx="50">
                  <c:v>6102</c:v>
                </c:pt>
                <c:pt idx="51">
                  <c:v>6597</c:v>
                </c:pt>
                <c:pt idx="52">
                  <c:v>6889</c:v>
                </c:pt>
                <c:pt idx="53">
                  <c:v>6439</c:v>
                </c:pt>
                <c:pt idx="54">
                  <c:v>6663</c:v>
                </c:pt>
                <c:pt idx="55">
                  <c:v>6776</c:v>
                </c:pt>
                <c:pt idx="56">
                  <c:v>6656</c:v>
                </c:pt>
                <c:pt idx="57">
                  <c:v>6546</c:v>
                </c:pt>
                <c:pt idx="58">
                  <c:v>6758</c:v>
                </c:pt>
                <c:pt idx="59">
                  <c:v>6758</c:v>
                </c:pt>
                <c:pt idx="60">
                  <c:v>7028</c:v>
                </c:pt>
                <c:pt idx="61">
                  <c:v>6998</c:v>
                </c:pt>
                <c:pt idx="62">
                  <c:v>6618</c:v>
                </c:pt>
                <c:pt idx="63">
                  <c:v>6598</c:v>
                </c:pt>
                <c:pt idx="64">
                  <c:v>6908</c:v>
                </c:pt>
                <c:pt idx="65">
                  <c:v>6881</c:v>
                </c:pt>
                <c:pt idx="66">
                  <c:v>6941</c:v>
                </c:pt>
                <c:pt idx="67">
                  <c:v>6991</c:v>
                </c:pt>
                <c:pt idx="68">
                  <c:v>7481</c:v>
                </c:pt>
                <c:pt idx="69">
                  <c:v>7621</c:v>
                </c:pt>
                <c:pt idx="70">
                  <c:v>7892</c:v>
                </c:pt>
                <c:pt idx="71">
                  <c:v>8972</c:v>
                </c:pt>
                <c:pt idx="72">
                  <c:v>9032</c:v>
                </c:pt>
                <c:pt idx="73">
                  <c:v>9372</c:v>
                </c:pt>
                <c:pt idx="74">
                  <c:v>9722</c:v>
                </c:pt>
                <c:pt idx="75">
                  <c:v>9792</c:v>
                </c:pt>
                <c:pt idx="76">
                  <c:v>9967</c:v>
                </c:pt>
                <c:pt idx="77">
                  <c:v>9967</c:v>
                </c:pt>
                <c:pt idx="78">
                  <c:v>9947</c:v>
                </c:pt>
                <c:pt idx="79">
                  <c:v>9947</c:v>
                </c:pt>
                <c:pt idx="80">
                  <c:v>9947</c:v>
                </c:pt>
                <c:pt idx="81">
                  <c:v>10137</c:v>
                </c:pt>
                <c:pt idx="82">
                  <c:v>10149</c:v>
                </c:pt>
                <c:pt idx="83">
                  <c:v>10521</c:v>
                </c:pt>
                <c:pt idx="84">
                  <c:v>9962</c:v>
                </c:pt>
                <c:pt idx="85">
                  <c:v>10273</c:v>
                </c:pt>
                <c:pt idx="86">
                  <c:v>10323</c:v>
                </c:pt>
                <c:pt idx="87">
                  <c:v>10283</c:v>
                </c:pt>
                <c:pt idx="88">
                  <c:v>10533</c:v>
                </c:pt>
                <c:pt idx="89">
                  <c:v>10533</c:v>
                </c:pt>
                <c:pt idx="90">
                  <c:v>10168</c:v>
                </c:pt>
                <c:pt idx="91">
                  <c:v>10138</c:v>
                </c:pt>
                <c:pt idx="92">
                  <c:v>10138</c:v>
                </c:pt>
                <c:pt idx="93">
                  <c:v>10408</c:v>
                </c:pt>
                <c:pt idx="94">
                  <c:v>10038</c:v>
                </c:pt>
                <c:pt idx="95">
                  <c:v>10126</c:v>
                </c:pt>
                <c:pt idx="96">
                  <c:v>10409</c:v>
                </c:pt>
                <c:pt idx="97">
                  <c:v>10709</c:v>
                </c:pt>
                <c:pt idx="98">
                  <c:v>10359</c:v>
                </c:pt>
                <c:pt idx="99">
                  <c:v>10359</c:v>
                </c:pt>
                <c:pt idx="100">
                  <c:v>10329</c:v>
                </c:pt>
                <c:pt idx="101">
                  <c:v>10529</c:v>
                </c:pt>
                <c:pt idx="102">
                  <c:v>10679</c:v>
                </c:pt>
                <c:pt idx="103">
                  <c:v>5952</c:v>
                </c:pt>
                <c:pt idx="104">
                  <c:v>6192</c:v>
                </c:pt>
                <c:pt idx="105">
                  <c:v>6842</c:v>
                </c:pt>
                <c:pt idx="106">
                  <c:v>6812</c:v>
                </c:pt>
                <c:pt idx="107">
                  <c:v>6862</c:v>
                </c:pt>
                <c:pt idx="108">
                  <c:v>6110</c:v>
                </c:pt>
                <c:pt idx="109">
                  <c:v>5985</c:v>
                </c:pt>
                <c:pt idx="110">
                  <c:v>6357</c:v>
                </c:pt>
                <c:pt idx="111">
                  <c:v>6207</c:v>
                </c:pt>
                <c:pt idx="112">
                  <c:v>6044</c:v>
                </c:pt>
                <c:pt idx="113">
                  <c:v>5309</c:v>
                </c:pt>
                <c:pt idx="114">
                  <c:v>5274</c:v>
                </c:pt>
                <c:pt idx="115">
                  <c:v>5034</c:v>
                </c:pt>
                <c:pt idx="116">
                  <c:v>5134</c:v>
                </c:pt>
                <c:pt idx="117">
                  <c:v>5184</c:v>
                </c:pt>
                <c:pt idx="118">
                  <c:v>5404</c:v>
                </c:pt>
                <c:pt idx="119">
                  <c:v>5344</c:v>
                </c:pt>
                <c:pt idx="120">
                  <c:v>5294</c:v>
                </c:pt>
                <c:pt idx="121">
                  <c:v>5539</c:v>
                </c:pt>
                <c:pt idx="122">
                  <c:v>5494</c:v>
                </c:pt>
                <c:pt idx="123">
                  <c:v>6144</c:v>
                </c:pt>
                <c:pt idx="124">
                  <c:v>5759</c:v>
                </c:pt>
                <c:pt idx="125">
                  <c:v>5984</c:v>
                </c:pt>
                <c:pt idx="126">
                  <c:v>6034</c:v>
                </c:pt>
                <c:pt idx="127">
                  <c:v>5549</c:v>
                </c:pt>
                <c:pt idx="128">
                  <c:v>6079</c:v>
                </c:pt>
                <c:pt idx="129">
                  <c:v>6189</c:v>
                </c:pt>
                <c:pt idx="130">
                  <c:v>6119</c:v>
                </c:pt>
                <c:pt idx="131">
                  <c:v>6014</c:v>
                </c:pt>
                <c:pt idx="132">
                  <c:v>4584</c:v>
                </c:pt>
                <c:pt idx="133">
                  <c:v>4522</c:v>
                </c:pt>
                <c:pt idx="134">
                  <c:v>4672</c:v>
                </c:pt>
                <c:pt idx="135">
                  <c:v>5160</c:v>
                </c:pt>
                <c:pt idx="136">
                  <c:v>5161</c:v>
                </c:pt>
                <c:pt idx="137">
                  <c:v>5211</c:v>
                </c:pt>
                <c:pt idx="138">
                  <c:v>5151</c:v>
                </c:pt>
                <c:pt idx="139">
                  <c:v>5056</c:v>
                </c:pt>
                <c:pt idx="140">
                  <c:v>5056</c:v>
                </c:pt>
                <c:pt idx="141">
                  <c:v>5056</c:v>
                </c:pt>
                <c:pt idx="142">
                  <c:v>4806</c:v>
                </c:pt>
                <c:pt idx="143">
                  <c:v>4672</c:v>
                </c:pt>
                <c:pt idx="144">
                  <c:v>4662</c:v>
                </c:pt>
                <c:pt idx="145">
                  <c:v>4312</c:v>
                </c:pt>
                <c:pt idx="146">
                  <c:v>4312</c:v>
                </c:pt>
                <c:pt idx="147">
                  <c:v>4522</c:v>
                </c:pt>
                <c:pt idx="148">
                  <c:v>4572</c:v>
                </c:pt>
                <c:pt idx="149">
                  <c:v>4322</c:v>
                </c:pt>
                <c:pt idx="150">
                  <c:v>3532</c:v>
                </c:pt>
                <c:pt idx="151">
                  <c:v>3532</c:v>
                </c:pt>
                <c:pt idx="152">
                  <c:v>3476</c:v>
                </c:pt>
                <c:pt idx="153">
                  <c:v>3476</c:v>
                </c:pt>
                <c:pt idx="154">
                  <c:v>3648</c:v>
                </c:pt>
                <c:pt idx="155">
                  <c:v>3753</c:v>
                </c:pt>
                <c:pt idx="156">
                  <c:v>3698</c:v>
                </c:pt>
                <c:pt idx="157">
                  <c:v>3698</c:v>
                </c:pt>
                <c:pt idx="158">
                  <c:v>3698</c:v>
                </c:pt>
                <c:pt idx="159">
                  <c:v>3748</c:v>
                </c:pt>
                <c:pt idx="160">
                  <c:v>3748</c:v>
                </c:pt>
                <c:pt idx="161">
                  <c:v>3698</c:v>
                </c:pt>
                <c:pt idx="162">
                  <c:v>3748</c:v>
                </c:pt>
                <c:pt idx="163">
                  <c:v>3898</c:v>
                </c:pt>
                <c:pt idx="164">
                  <c:v>3898</c:v>
                </c:pt>
                <c:pt idx="165">
                  <c:v>3918</c:v>
                </c:pt>
                <c:pt idx="166">
                  <c:v>3683</c:v>
                </c:pt>
                <c:pt idx="167">
                  <c:v>2147</c:v>
                </c:pt>
                <c:pt idx="168">
                  <c:v>2042</c:v>
                </c:pt>
                <c:pt idx="169">
                  <c:v>2042</c:v>
                </c:pt>
                <c:pt idx="170">
                  <c:v>2077</c:v>
                </c:pt>
                <c:pt idx="171">
                  <c:v>2077</c:v>
                </c:pt>
                <c:pt idx="172">
                  <c:v>2127</c:v>
                </c:pt>
                <c:pt idx="173">
                  <c:v>2189</c:v>
                </c:pt>
                <c:pt idx="174">
                  <c:v>2189</c:v>
                </c:pt>
                <c:pt idx="175">
                  <c:v>2254</c:v>
                </c:pt>
                <c:pt idx="176">
                  <c:v>1944</c:v>
                </c:pt>
                <c:pt idx="177">
                  <c:v>2004</c:v>
                </c:pt>
                <c:pt idx="178">
                  <c:v>2154</c:v>
                </c:pt>
                <c:pt idx="179">
                  <c:v>2314</c:v>
                </c:pt>
                <c:pt idx="180">
                  <c:v>2414</c:v>
                </c:pt>
                <c:pt idx="181">
                  <c:v>2404</c:v>
                </c:pt>
                <c:pt idx="182">
                  <c:v>2619</c:v>
                </c:pt>
                <c:pt idx="183">
                  <c:v>2414</c:v>
                </c:pt>
                <c:pt idx="184">
                  <c:v>2066</c:v>
                </c:pt>
                <c:pt idx="185">
                  <c:v>2166</c:v>
                </c:pt>
                <c:pt idx="186">
                  <c:v>2141</c:v>
                </c:pt>
                <c:pt idx="187">
                  <c:v>2086</c:v>
                </c:pt>
                <c:pt idx="188">
                  <c:v>2157</c:v>
                </c:pt>
                <c:pt idx="189">
                  <c:v>2157</c:v>
                </c:pt>
                <c:pt idx="190">
                  <c:v>1909</c:v>
                </c:pt>
                <c:pt idx="191">
                  <c:v>1961</c:v>
                </c:pt>
                <c:pt idx="192">
                  <c:v>2161</c:v>
                </c:pt>
                <c:pt idx="193">
                  <c:v>2161</c:v>
                </c:pt>
                <c:pt idx="194">
                  <c:v>2161</c:v>
                </c:pt>
                <c:pt idx="195">
                  <c:v>2171</c:v>
                </c:pt>
                <c:pt idx="196">
                  <c:v>2141</c:v>
                </c:pt>
                <c:pt idx="197">
                  <c:v>2141</c:v>
                </c:pt>
                <c:pt idx="198">
                  <c:v>2041</c:v>
                </c:pt>
                <c:pt idx="199">
                  <c:v>2041</c:v>
                </c:pt>
                <c:pt idx="200">
                  <c:v>1921</c:v>
                </c:pt>
                <c:pt idx="201">
                  <c:v>1921</c:v>
                </c:pt>
                <c:pt idx="202">
                  <c:v>1921</c:v>
                </c:pt>
                <c:pt idx="203">
                  <c:v>1921</c:v>
                </c:pt>
                <c:pt idx="204">
                  <c:v>1921</c:v>
                </c:pt>
                <c:pt idx="205">
                  <c:v>1921</c:v>
                </c:pt>
                <c:pt idx="206">
                  <c:v>1871</c:v>
                </c:pt>
                <c:pt idx="207">
                  <c:v>1844</c:v>
                </c:pt>
                <c:pt idx="208">
                  <c:v>1724</c:v>
                </c:pt>
                <c:pt idx="209">
                  <c:v>1724</c:v>
                </c:pt>
                <c:pt idx="210">
                  <c:v>1724</c:v>
                </c:pt>
                <c:pt idx="211">
                  <c:v>1574</c:v>
                </c:pt>
                <c:pt idx="212">
                  <c:v>1574</c:v>
                </c:pt>
                <c:pt idx="213">
                  <c:v>1574</c:v>
                </c:pt>
                <c:pt idx="214">
                  <c:v>1574</c:v>
                </c:pt>
                <c:pt idx="215">
                  <c:v>1574</c:v>
                </c:pt>
                <c:pt idx="216">
                  <c:v>1574</c:v>
                </c:pt>
                <c:pt idx="217">
                  <c:v>1574</c:v>
                </c:pt>
                <c:pt idx="218">
                  <c:v>1574</c:v>
                </c:pt>
                <c:pt idx="219">
                  <c:v>1574</c:v>
                </c:pt>
                <c:pt idx="220">
                  <c:v>1574</c:v>
                </c:pt>
                <c:pt idx="221">
                  <c:v>1574</c:v>
                </c:pt>
                <c:pt idx="222">
                  <c:v>1574</c:v>
                </c:pt>
                <c:pt idx="223">
                  <c:v>1574</c:v>
                </c:pt>
                <c:pt idx="224">
                  <c:v>1574</c:v>
                </c:pt>
                <c:pt idx="225">
                  <c:v>1574</c:v>
                </c:pt>
                <c:pt idx="226">
                  <c:v>1574</c:v>
                </c:pt>
                <c:pt idx="227">
                  <c:v>1574</c:v>
                </c:pt>
                <c:pt idx="228">
                  <c:v>127</c:v>
                </c:pt>
                <c:pt idx="229">
                  <c:v>127</c:v>
                </c:pt>
                <c:pt idx="230">
                  <c:v>127</c:v>
                </c:pt>
                <c:pt idx="231">
                  <c:v>127</c:v>
                </c:pt>
                <c:pt idx="232">
                  <c:v>127</c:v>
                </c:pt>
                <c:pt idx="233">
                  <c:v>127</c:v>
                </c:pt>
                <c:pt idx="234">
                  <c:v>127</c:v>
                </c:pt>
                <c:pt idx="235">
                  <c:v>127</c:v>
                </c:pt>
                <c:pt idx="236">
                  <c:v>127</c:v>
                </c:pt>
                <c:pt idx="237">
                  <c:v>127</c:v>
                </c:pt>
                <c:pt idx="238">
                  <c:v>337</c:v>
                </c:pt>
                <c:pt idx="239">
                  <c:v>337</c:v>
                </c:pt>
                <c:pt idx="240">
                  <c:v>637</c:v>
                </c:pt>
                <c:pt idx="241">
                  <c:v>688</c:v>
                </c:pt>
                <c:pt idx="242">
                  <c:v>933</c:v>
                </c:pt>
                <c:pt idx="243">
                  <c:v>933</c:v>
                </c:pt>
                <c:pt idx="244">
                  <c:v>913</c:v>
                </c:pt>
                <c:pt idx="245">
                  <c:v>998</c:v>
                </c:pt>
                <c:pt idx="246">
                  <c:v>1047</c:v>
                </c:pt>
              </c:numCache>
            </c:numRef>
          </c:val>
        </c:ser>
        <c:marker val="1"/>
        <c:axId val="135683456"/>
        <c:axId val="135685248"/>
      </c:lineChart>
      <c:catAx>
        <c:axId val="135680000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81536"/>
        <c:crosses val="autoZero"/>
        <c:lblAlgn val="ctr"/>
        <c:lblOffset val="100"/>
        <c:tickLblSkip val="7"/>
        <c:tickMarkSkip val="1"/>
      </c:catAx>
      <c:valAx>
        <c:axId val="135681536"/>
        <c:scaling>
          <c:orientation val="minMax"/>
          <c:max val="3500"/>
          <c:min val="0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Open Interest</a:t>
                </a:r>
              </a:p>
            </c:rich>
          </c:tx>
          <c:layout>
            <c:manualLayout>
              <c:xMode val="edge"/>
              <c:yMode val="edge"/>
              <c:x val="0.96944770857814355"/>
              <c:y val="0.2682926829268292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80000"/>
        <c:crosses val="autoZero"/>
        <c:crossBetween val="between"/>
        <c:majorUnit val="500"/>
        <c:minorUnit val="100"/>
      </c:valAx>
      <c:catAx>
        <c:axId val="135683456"/>
        <c:scaling>
          <c:orientation val="minMax"/>
        </c:scaling>
        <c:delete val="1"/>
        <c:axPos val="b"/>
        <c:numFmt formatCode="General" sourceLinked="1"/>
        <c:tickLblPos val="nextTo"/>
        <c:crossAx val="135685248"/>
        <c:crosses val="autoZero"/>
        <c:lblAlgn val="ctr"/>
        <c:lblOffset val="100"/>
      </c:catAx>
      <c:valAx>
        <c:axId val="135685248"/>
        <c:scaling>
          <c:orientation val="minMax"/>
          <c:max val="12000"/>
          <c:min val="0"/>
        </c:scaling>
        <c:axPos val="r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Volume</a:t>
                </a:r>
              </a:p>
            </c:rich>
          </c:tx>
          <c:layout>
            <c:manualLayout>
              <c:xMode val="edge"/>
              <c:yMode val="edge"/>
              <c:x val="5.8754406580493537E-3"/>
              <c:y val="0.3414634146341463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83456"/>
        <c:crosses val="max"/>
        <c:crossBetween val="between"/>
        <c:majorUnit val="10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52291421856648"/>
          <c:y val="0.92682926829268319"/>
          <c:w val="0.37955346650998834"/>
          <c:h val="6.271777003484325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FMG5 1st Quarterly Contract Month</a:t>
            </a:r>
          </a:p>
        </c:rich>
      </c:tx>
      <c:layout>
        <c:manualLayout>
          <c:xMode val="edge"/>
          <c:yMode val="edge"/>
          <c:x val="0.40823552862794615"/>
          <c:y val="2.0905923344947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823574691851264E-2"/>
          <c:y val="5.2264808362369311E-2"/>
          <c:w val="0.90352993079614563"/>
          <c:h val="0.74564459930313631"/>
        </c:manualLayout>
      </c:layout>
      <c:lineChart>
        <c:grouping val="standard"/>
        <c:ser>
          <c:idx val="2"/>
          <c:order val="0"/>
          <c:tx>
            <c:strRef>
              <c:f>[1]FMG5!$B$2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[1]FMG5!$A$200:$A$448</c:f>
              <c:numCache>
                <c:formatCode>General</c:formatCode>
                <c:ptCount val="249"/>
                <c:pt idx="0">
                  <c:v>37631</c:v>
                </c:pt>
                <c:pt idx="1">
                  <c:v>37634</c:v>
                </c:pt>
                <c:pt idx="2">
                  <c:v>37635</c:v>
                </c:pt>
                <c:pt idx="3">
                  <c:v>37636</c:v>
                </c:pt>
                <c:pt idx="4">
                  <c:v>37637</c:v>
                </c:pt>
                <c:pt idx="5">
                  <c:v>37638</c:v>
                </c:pt>
                <c:pt idx="6">
                  <c:v>37641</c:v>
                </c:pt>
                <c:pt idx="7">
                  <c:v>37642</c:v>
                </c:pt>
                <c:pt idx="8">
                  <c:v>37643</c:v>
                </c:pt>
                <c:pt idx="9">
                  <c:v>37644</c:v>
                </c:pt>
                <c:pt idx="10">
                  <c:v>37645</c:v>
                </c:pt>
                <c:pt idx="11">
                  <c:v>37648</c:v>
                </c:pt>
                <c:pt idx="12">
                  <c:v>37649</c:v>
                </c:pt>
                <c:pt idx="13">
                  <c:v>37650</c:v>
                </c:pt>
                <c:pt idx="14">
                  <c:v>37651</c:v>
                </c:pt>
                <c:pt idx="15">
                  <c:v>37657</c:v>
                </c:pt>
                <c:pt idx="16">
                  <c:v>37658</c:v>
                </c:pt>
                <c:pt idx="17">
                  <c:v>37659</c:v>
                </c:pt>
                <c:pt idx="18">
                  <c:v>37662</c:v>
                </c:pt>
                <c:pt idx="19">
                  <c:v>37663</c:v>
                </c:pt>
                <c:pt idx="20">
                  <c:v>37665</c:v>
                </c:pt>
                <c:pt idx="21">
                  <c:v>37666</c:v>
                </c:pt>
                <c:pt idx="22">
                  <c:v>37669</c:v>
                </c:pt>
                <c:pt idx="23">
                  <c:v>37670</c:v>
                </c:pt>
                <c:pt idx="24">
                  <c:v>37671</c:v>
                </c:pt>
                <c:pt idx="25">
                  <c:v>37672</c:v>
                </c:pt>
                <c:pt idx="26">
                  <c:v>37673</c:v>
                </c:pt>
                <c:pt idx="27">
                  <c:v>37676</c:v>
                </c:pt>
                <c:pt idx="28">
                  <c:v>37677</c:v>
                </c:pt>
                <c:pt idx="29">
                  <c:v>37678</c:v>
                </c:pt>
                <c:pt idx="30">
                  <c:v>37679</c:v>
                </c:pt>
                <c:pt idx="31">
                  <c:v>37680</c:v>
                </c:pt>
                <c:pt idx="32">
                  <c:v>37683</c:v>
                </c:pt>
                <c:pt idx="33">
                  <c:v>37685</c:v>
                </c:pt>
                <c:pt idx="34">
                  <c:v>37686</c:v>
                </c:pt>
                <c:pt idx="35">
                  <c:v>37687</c:v>
                </c:pt>
                <c:pt idx="36">
                  <c:v>37690</c:v>
                </c:pt>
                <c:pt idx="37">
                  <c:v>37691</c:v>
                </c:pt>
                <c:pt idx="38">
                  <c:v>37692</c:v>
                </c:pt>
                <c:pt idx="39">
                  <c:v>37693</c:v>
                </c:pt>
                <c:pt idx="40">
                  <c:v>37694</c:v>
                </c:pt>
                <c:pt idx="41">
                  <c:v>37697</c:v>
                </c:pt>
                <c:pt idx="42">
                  <c:v>37698</c:v>
                </c:pt>
                <c:pt idx="43">
                  <c:v>37699</c:v>
                </c:pt>
                <c:pt idx="44">
                  <c:v>37700</c:v>
                </c:pt>
                <c:pt idx="45">
                  <c:v>37701</c:v>
                </c:pt>
                <c:pt idx="46">
                  <c:v>37704</c:v>
                </c:pt>
                <c:pt idx="47">
                  <c:v>37705</c:v>
                </c:pt>
                <c:pt idx="48">
                  <c:v>37706</c:v>
                </c:pt>
                <c:pt idx="49">
                  <c:v>37707</c:v>
                </c:pt>
                <c:pt idx="50">
                  <c:v>37708</c:v>
                </c:pt>
                <c:pt idx="51">
                  <c:v>37711</c:v>
                </c:pt>
                <c:pt idx="52">
                  <c:v>37712</c:v>
                </c:pt>
                <c:pt idx="53">
                  <c:v>37713</c:v>
                </c:pt>
                <c:pt idx="54">
                  <c:v>37714</c:v>
                </c:pt>
                <c:pt idx="55">
                  <c:v>37715</c:v>
                </c:pt>
                <c:pt idx="56">
                  <c:v>37718</c:v>
                </c:pt>
                <c:pt idx="57">
                  <c:v>37719</c:v>
                </c:pt>
                <c:pt idx="58">
                  <c:v>37720</c:v>
                </c:pt>
                <c:pt idx="59">
                  <c:v>37721</c:v>
                </c:pt>
                <c:pt idx="60">
                  <c:v>37722</c:v>
                </c:pt>
                <c:pt idx="61">
                  <c:v>37725</c:v>
                </c:pt>
                <c:pt idx="62">
                  <c:v>37726</c:v>
                </c:pt>
                <c:pt idx="63">
                  <c:v>37727</c:v>
                </c:pt>
                <c:pt idx="64">
                  <c:v>37728</c:v>
                </c:pt>
                <c:pt idx="65">
                  <c:v>37729</c:v>
                </c:pt>
                <c:pt idx="66">
                  <c:v>37732</c:v>
                </c:pt>
                <c:pt idx="67">
                  <c:v>37733</c:v>
                </c:pt>
                <c:pt idx="68">
                  <c:v>37734</c:v>
                </c:pt>
                <c:pt idx="69">
                  <c:v>37735</c:v>
                </c:pt>
                <c:pt idx="70">
                  <c:v>37736</c:v>
                </c:pt>
                <c:pt idx="71">
                  <c:v>37739</c:v>
                </c:pt>
                <c:pt idx="72">
                  <c:v>37740</c:v>
                </c:pt>
                <c:pt idx="73">
                  <c:v>37741</c:v>
                </c:pt>
                <c:pt idx="74">
                  <c:v>37743</c:v>
                </c:pt>
                <c:pt idx="75">
                  <c:v>37746</c:v>
                </c:pt>
                <c:pt idx="76">
                  <c:v>37747</c:v>
                </c:pt>
                <c:pt idx="77">
                  <c:v>37748</c:v>
                </c:pt>
                <c:pt idx="78">
                  <c:v>37749</c:v>
                </c:pt>
                <c:pt idx="79">
                  <c:v>37750</c:v>
                </c:pt>
                <c:pt idx="80">
                  <c:v>37753</c:v>
                </c:pt>
                <c:pt idx="81">
                  <c:v>37754</c:v>
                </c:pt>
                <c:pt idx="82">
                  <c:v>37757</c:v>
                </c:pt>
                <c:pt idx="83">
                  <c:v>37760</c:v>
                </c:pt>
                <c:pt idx="84">
                  <c:v>37761</c:v>
                </c:pt>
                <c:pt idx="85">
                  <c:v>37762</c:v>
                </c:pt>
                <c:pt idx="86">
                  <c:v>37763</c:v>
                </c:pt>
                <c:pt idx="87">
                  <c:v>37764</c:v>
                </c:pt>
                <c:pt idx="88">
                  <c:v>37767</c:v>
                </c:pt>
                <c:pt idx="89">
                  <c:v>37768</c:v>
                </c:pt>
                <c:pt idx="90">
                  <c:v>37769</c:v>
                </c:pt>
                <c:pt idx="91">
                  <c:v>37770</c:v>
                </c:pt>
                <c:pt idx="92">
                  <c:v>37771</c:v>
                </c:pt>
                <c:pt idx="93">
                  <c:v>37774</c:v>
                </c:pt>
                <c:pt idx="94">
                  <c:v>37775</c:v>
                </c:pt>
                <c:pt idx="95">
                  <c:v>37776</c:v>
                </c:pt>
                <c:pt idx="96">
                  <c:v>37777</c:v>
                </c:pt>
                <c:pt idx="97">
                  <c:v>37778</c:v>
                </c:pt>
                <c:pt idx="98">
                  <c:v>37781</c:v>
                </c:pt>
                <c:pt idx="99">
                  <c:v>37782</c:v>
                </c:pt>
                <c:pt idx="100">
                  <c:v>37783</c:v>
                </c:pt>
                <c:pt idx="101">
                  <c:v>37784</c:v>
                </c:pt>
                <c:pt idx="102">
                  <c:v>37785</c:v>
                </c:pt>
                <c:pt idx="103">
                  <c:v>37788</c:v>
                </c:pt>
                <c:pt idx="104">
                  <c:v>37789</c:v>
                </c:pt>
                <c:pt idx="105">
                  <c:v>37790</c:v>
                </c:pt>
                <c:pt idx="106">
                  <c:v>37791</c:v>
                </c:pt>
                <c:pt idx="107">
                  <c:v>37792</c:v>
                </c:pt>
                <c:pt idx="108">
                  <c:v>37795</c:v>
                </c:pt>
                <c:pt idx="109">
                  <c:v>37796</c:v>
                </c:pt>
                <c:pt idx="110">
                  <c:v>37797</c:v>
                </c:pt>
                <c:pt idx="111">
                  <c:v>37798</c:v>
                </c:pt>
                <c:pt idx="112">
                  <c:v>37799</c:v>
                </c:pt>
                <c:pt idx="113">
                  <c:v>37802</c:v>
                </c:pt>
                <c:pt idx="114">
                  <c:v>37803</c:v>
                </c:pt>
                <c:pt idx="115">
                  <c:v>37804</c:v>
                </c:pt>
                <c:pt idx="116">
                  <c:v>37805</c:v>
                </c:pt>
                <c:pt idx="117">
                  <c:v>37806</c:v>
                </c:pt>
                <c:pt idx="118">
                  <c:v>37809</c:v>
                </c:pt>
                <c:pt idx="119">
                  <c:v>37810</c:v>
                </c:pt>
                <c:pt idx="120">
                  <c:v>37811</c:v>
                </c:pt>
                <c:pt idx="121">
                  <c:v>37812</c:v>
                </c:pt>
                <c:pt idx="122">
                  <c:v>37813</c:v>
                </c:pt>
                <c:pt idx="123">
                  <c:v>37816</c:v>
                </c:pt>
                <c:pt idx="124">
                  <c:v>37817</c:v>
                </c:pt>
                <c:pt idx="125">
                  <c:v>37818</c:v>
                </c:pt>
                <c:pt idx="126">
                  <c:v>37819</c:v>
                </c:pt>
                <c:pt idx="127">
                  <c:v>37820</c:v>
                </c:pt>
                <c:pt idx="128">
                  <c:v>37823</c:v>
                </c:pt>
                <c:pt idx="129">
                  <c:v>37824</c:v>
                </c:pt>
                <c:pt idx="130">
                  <c:v>37825</c:v>
                </c:pt>
                <c:pt idx="131">
                  <c:v>37826</c:v>
                </c:pt>
                <c:pt idx="132">
                  <c:v>37827</c:v>
                </c:pt>
                <c:pt idx="133">
                  <c:v>37830</c:v>
                </c:pt>
                <c:pt idx="134">
                  <c:v>37831</c:v>
                </c:pt>
                <c:pt idx="135">
                  <c:v>37832</c:v>
                </c:pt>
                <c:pt idx="136">
                  <c:v>37833</c:v>
                </c:pt>
                <c:pt idx="137">
                  <c:v>37834</c:v>
                </c:pt>
                <c:pt idx="138">
                  <c:v>37837</c:v>
                </c:pt>
                <c:pt idx="139">
                  <c:v>37838</c:v>
                </c:pt>
                <c:pt idx="140">
                  <c:v>37839</c:v>
                </c:pt>
                <c:pt idx="141">
                  <c:v>37840</c:v>
                </c:pt>
                <c:pt idx="142">
                  <c:v>37841</c:v>
                </c:pt>
                <c:pt idx="143">
                  <c:v>37844</c:v>
                </c:pt>
                <c:pt idx="144">
                  <c:v>37845</c:v>
                </c:pt>
                <c:pt idx="145">
                  <c:v>37846</c:v>
                </c:pt>
                <c:pt idx="146">
                  <c:v>37847</c:v>
                </c:pt>
                <c:pt idx="147">
                  <c:v>37848</c:v>
                </c:pt>
                <c:pt idx="148">
                  <c:v>37851</c:v>
                </c:pt>
                <c:pt idx="149">
                  <c:v>37852</c:v>
                </c:pt>
                <c:pt idx="150">
                  <c:v>37853</c:v>
                </c:pt>
                <c:pt idx="151">
                  <c:v>37854</c:v>
                </c:pt>
                <c:pt idx="152">
                  <c:v>37855</c:v>
                </c:pt>
                <c:pt idx="153">
                  <c:v>37858</c:v>
                </c:pt>
                <c:pt idx="154">
                  <c:v>37859</c:v>
                </c:pt>
                <c:pt idx="155">
                  <c:v>37860</c:v>
                </c:pt>
                <c:pt idx="156">
                  <c:v>37861</c:v>
                </c:pt>
                <c:pt idx="157">
                  <c:v>37862</c:v>
                </c:pt>
                <c:pt idx="158">
                  <c:v>37866</c:v>
                </c:pt>
                <c:pt idx="159">
                  <c:v>37867</c:v>
                </c:pt>
                <c:pt idx="160">
                  <c:v>37868</c:v>
                </c:pt>
                <c:pt idx="161">
                  <c:v>37869</c:v>
                </c:pt>
                <c:pt idx="162">
                  <c:v>37872</c:v>
                </c:pt>
                <c:pt idx="163">
                  <c:v>37873</c:v>
                </c:pt>
                <c:pt idx="164">
                  <c:v>37874</c:v>
                </c:pt>
                <c:pt idx="165">
                  <c:v>37875</c:v>
                </c:pt>
                <c:pt idx="166">
                  <c:v>37876</c:v>
                </c:pt>
                <c:pt idx="167">
                  <c:v>37879</c:v>
                </c:pt>
                <c:pt idx="168">
                  <c:v>37880</c:v>
                </c:pt>
                <c:pt idx="169">
                  <c:v>37881</c:v>
                </c:pt>
                <c:pt idx="170">
                  <c:v>37882</c:v>
                </c:pt>
                <c:pt idx="171">
                  <c:v>37883</c:v>
                </c:pt>
                <c:pt idx="172">
                  <c:v>37886</c:v>
                </c:pt>
                <c:pt idx="173">
                  <c:v>37887</c:v>
                </c:pt>
                <c:pt idx="174">
                  <c:v>37888</c:v>
                </c:pt>
                <c:pt idx="175">
                  <c:v>37889</c:v>
                </c:pt>
                <c:pt idx="176">
                  <c:v>37890</c:v>
                </c:pt>
                <c:pt idx="177">
                  <c:v>37893</c:v>
                </c:pt>
                <c:pt idx="178">
                  <c:v>37894</c:v>
                </c:pt>
                <c:pt idx="179">
                  <c:v>37895</c:v>
                </c:pt>
                <c:pt idx="180">
                  <c:v>37896</c:v>
                </c:pt>
                <c:pt idx="181">
                  <c:v>37897</c:v>
                </c:pt>
                <c:pt idx="182">
                  <c:v>37900</c:v>
                </c:pt>
                <c:pt idx="183">
                  <c:v>37901</c:v>
                </c:pt>
                <c:pt idx="184">
                  <c:v>37902</c:v>
                </c:pt>
                <c:pt idx="185">
                  <c:v>37903</c:v>
                </c:pt>
                <c:pt idx="186">
                  <c:v>37904</c:v>
                </c:pt>
                <c:pt idx="187">
                  <c:v>37907</c:v>
                </c:pt>
                <c:pt idx="188">
                  <c:v>37908</c:v>
                </c:pt>
                <c:pt idx="189">
                  <c:v>37909</c:v>
                </c:pt>
                <c:pt idx="190">
                  <c:v>37910</c:v>
                </c:pt>
                <c:pt idx="191">
                  <c:v>37911</c:v>
                </c:pt>
                <c:pt idx="192">
                  <c:v>37914</c:v>
                </c:pt>
                <c:pt idx="193">
                  <c:v>37915</c:v>
                </c:pt>
                <c:pt idx="194">
                  <c:v>37916</c:v>
                </c:pt>
                <c:pt idx="195">
                  <c:v>37917</c:v>
                </c:pt>
                <c:pt idx="196">
                  <c:v>37921</c:v>
                </c:pt>
                <c:pt idx="197">
                  <c:v>37922</c:v>
                </c:pt>
                <c:pt idx="198">
                  <c:v>37923</c:v>
                </c:pt>
                <c:pt idx="199">
                  <c:v>37924</c:v>
                </c:pt>
                <c:pt idx="200">
                  <c:v>37925</c:v>
                </c:pt>
                <c:pt idx="201">
                  <c:v>37928</c:v>
                </c:pt>
                <c:pt idx="202">
                  <c:v>37929</c:v>
                </c:pt>
                <c:pt idx="203">
                  <c:v>37930</c:v>
                </c:pt>
                <c:pt idx="204">
                  <c:v>37931</c:v>
                </c:pt>
                <c:pt idx="205">
                  <c:v>37932</c:v>
                </c:pt>
                <c:pt idx="206">
                  <c:v>37935</c:v>
                </c:pt>
                <c:pt idx="207">
                  <c:v>37936</c:v>
                </c:pt>
                <c:pt idx="208">
                  <c:v>37937</c:v>
                </c:pt>
                <c:pt idx="209">
                  <c:v>37938</c:v>
                </c:pt>
                <c:pt idx="210">
                  <c:v>37939</c:v>
                </c:pt>
                <c:pt idx="211">
                  <c:v>37942</c:v>
                </c:pt>
                <c:pt idx="212">
                  <c:v>37943</c:v>
                </c:pt>
                <c:pt idx="213">
                  <c:v>37944</c:v>
                </c:pt>
                <c:pt idx="214">
                  <c:v>37945</c:v>
                </c:pt>
                <c:pt idx="215">
                  <c:v>37946</c:v>
                </c:pt>
                <c:pt idx="216">
                  <c:v>37952</c:v>
                </c:pt>
                <c:pt idx="217">
                  <c:v>37953</c:v>
                </c:pt>
                <c:pt idx="218">
                  <c:v>37956</c:v>
                </c:pt>
                <c:pt idx="219">
                  <c:v>37957</c:v>
                </c:pt>
                <c:pt idx="220">
                  <c:v>37958</c:v>
                </c:pt>
                <c:pt idx="221">
                  <c:v>37959</c:v>
                </c:pt>
                <c:pt idx="222">
                  <c:v>37960</c:v>
                </c:pt>
                <c:pt idx="223">
                  <c:v>37963</c:v>
                </c:pt>
                <c:pt idx="224">
                  <c:v>37964</c:v>
                </c:pt>
                <c:pt idx="225">
                  <c:v>37965</c:v>
                </c:pt>
                <c:pt idx="226">
                  <c:v>37966</c:v>
                </c:pt>
                <c:pt idx="227">
                  <c:v>37967</c:v>
                </c:pt>
                <c:pt idx="228">
                  <c:v>37970</c:v>
                </c:pt>
                <c:pt idx="229">
                  <c:v>37971</c:v>
                </c:pt>
                <c:pt idx="230">
                  <c:v>37972</c:v>
                </c:pt>
                <c:pt idx="231">
                  <c:v>37973</c:v>
                </c:pt>
                <c:pt idx="232">
                  <c:v>37974</c:v>
                </c:pt>
                <c:pt idx="233">
                  <c:v>37977</c:v>
                </c:pt>
                <c:pt idx="234">
                  <c:v>37978</c:v>
                </c:pt>
                <c:pt idx="235">
                  <c:v>37979</c:v>
                </c:pt>
                <c:pt idx="236">
                  <c:v>37981</c:v>
                </c:pt>
                <c:pt idx="237">
                  <c:v>37984</c:v>
                </c:pt>
                <c:pt idx="238">
                  <c:v>37985</c:v>
                </c:pt>
                <c:pt idx="239">
                  <c:v>37986</c:v>
                </c:pt>
                <c:pt idx="240">
                  <c:v>37988</c:v>
                </c:pt>
                <c:pt idx="241">
                  <c:v>37991</c:v>
                </c:pt>
                <c:pt idx="242">
                  <c:v>37992</c:v>
                </c:pt>
                <c:pt idx="243">
                  <c:v>37993</c:v>
                </c:pt>
                <c:pt idx="244">
                  <c:v>37994</c:v>
                </c:pt>
                <c:pt idx="245">
                  <c:v>37995</c:v>
                </c:pt>
                <c:pt idx="246">
                  <c:v>37998</c:v>
                </c:pt>
                <c:pt idx="247">
                  <c:v>37999</c:v>
                </c:pt>
                <c:pt idx="248">
                  <c:v>38000</c:v>
                </c:pt>
              </c:numCache>
            </c:numRef>
          </c:cat>
          <c:val>
            <c:numRef>
              <c:f>[1]FMG5!$B$200:$B$448</c:f>
              <c:numCache>
                <c:formatCode>General</c:formatCode>
                <c:ptCount val="249"/>
                <c:pt idx="0">
                  <c:v>112.89</c:v>
                </c:pt>
                <c:pt idx="1">
                  <c:v>112.78</c:v>
                </c:pt>
                <c:pt idx="2">
                  <c:v>112.85</c:v>
                </c:pt>
                <c:pt idx="3">
                  <c:v>112.86</c:v>
                </c:pt>
                <c:pt idx="4">
                  <c:v>112.9</c:v>
                </c:pt>
                <c:pt idx="5">
                  <c:v>112.91</c:v>
                </c:pt>
                <c:pt idx="6">
                  <c:v>112.91</c:v>
                </c:pt>
                <c:pt idx="7">
                  <c:v>112.91</c:v>
                </c:pt>
                <c:pt idx="8">
                  <c:v>112.92</c:v>
                </c:pt>
                <c:pt idx="9">
                  <c:v>112.98</c:v>
                </c:pt>
                <c:pt idx="10">
                  <c:v>113.1</c:v>
                </c:pt>
                <c:pt idx="11">
                  <c:v>113.17</c:v>
                </c:pt>
                <c:pt idx="12">
                  <c:v>113.12</c:v>
                </c:pt>
                <c:pt idx="13">
                  <c:v>113.1</c:v>
                </c:pt>
                <c:pt idx="14">
                  <c:v>113.08</c:v>
                </c:pt>
                <c:pt idx="15">
                  <c:v>113.12</c:v>
                </c:pt>
                <c:pt idx="16">
                  <c:v>113.12</c:v>
                </c:pt>
                <c:pt idx="17">
                  <c:v>113.12</c:v>
                </c:pt>
                <c:pt idx="18">
                  <c:v>113.22</c:v>
                </c:pt>
                <c:pt idx="19">
                  <c:v>113.24</c:v>
                </c:pt>
                <c:pt idx="20">
                  <c:v>113.3</c:v>
                </c:pt>
                <c:pt idx="21">
                  <c:v>113.29</c:v>
                </c:pt>
                <c:pt idx="22">
                  <c:v>113.28</c:v>
                </c:pt>
                <c:pt idx="23">
                  <c:v>113.3</c:v>
                </c:pt>
                <c:pt idx="24">
                  <c:v>113.3</c:v>
                </c:pt>
                <c:pt idx="25">
                  <c:v>113.33</c:v>
                </c:pt>
                <c:pt idx="26">
                  <c:v>113.24</c:v>
                </c:pt>
                <c:pt idx="27">
                  <c:v>113.24</c:v>
                </c:pt>
                <c:pt idx="28">
                  <c:v>113.24</c:v>
                </c:pt>
                <c:pt idx="29">
                  <c:v>113.2</c:v>
                </c:pt>
                <c:pt idx="30">
                  <c:v>113.1</c:v>
                </c:pt>
                <c:pt idx="31">
                  <c:v>113.09</c:v>
                </c:pt>
                <c:pt idx="32">
                  <c:v>113.13</c:v>
                </c:pt>
                <c:pt idx="33">
                  <c:v>113.27</c:v>
                </c:pt>
                <c:pt idx="34">
                  <c:v>113.22</c:v>
                </c:pt>
                <c:pt idx="35">
                  <c:v>113.2</c:v>
                </c:pt>
                <c:pt idx="36">
                  <c:v>113.3</c:v>
                </c:pt>
                <c:pt idx="37">
                  <c:v>113.27</c:v>
                </c:pt>
                <c:pt idx="38">
                  <c:v>113.27</c:v>
                </c:pt>
                <c:pt idx="39">
                  <c:v>113.18</c:v>
                </c:pt>
                <c:pt idx="40">
                  <c:v>113.15</c:v>
                </c:pt>
                <c:pt idx="41">
                  <c:v>113.24</c:v>
                </c:pt>
                <c:pt idx="42">
                  <c:v>113.19</c:v>
                </c:pt>
                <c:pt idx="43">
                  <c:v>113.19</c:v>
                </c:pt>
                <c:pt idx="44">
                  <c:v>112.8</c:v>
                </c:pt>
                <c:pt idx="45">
                  <c:v>112.89</c:v>
                </c:pt>
                <c:pt idx="46">
                  <c:v>112.95</c:v>
                </c:pt>
                <c:pt idx="47">
                  <c:v>113.04</c:v>
                </c:pt>
                <c:pt idx="48">
                  <c:v>113.07</c:v>
                </c:pt>
                <c:pt idx="49">
                  <c:v>113.07</c:v>
                </c:pt>
                <c:pt idx="50">
                  <c:v>113.02</c:v>
                </c:pt>
                <c:pt idx="51">
                  <c:v>113.11</c:v>
                </c:pt>
                <c:pt idx="52">
                  <c:v>113.12</c:v>
                </c:pt>
                <c:pt idx="53">
                  <c:v>113.06</c:v>
                </c:pt>
                <c:pt idx="54">
                  <c:v>113.05</c:v>
                </c:pt>
                <c:pt idx="55">
                  <c:v>113.04</c:v>
                </c:pt>
                <c:pt idx="56">
                  <c:v>112.91</c:v>
                </c:pt>
                <c:pt idx="57">
                  <c:v>113</c:v>
                </c:pt>
                <c:pt idx="58">
                  <c:v>113.02</c:v>
                </c:pt>
                <c:pt idx="59">
                  <c:v>113.1</c:v>
                </c:pt>
                <c:pt idx="60">
                  <c:v>113.06</c:v>
                </c:pt>
                <c:pt idx="61">
                  <c:v>113.06</c:v>
                </c:pt>
                <c:pt idx="62">
                  <c:v>113.07</c:v>
                </c:pt>
                <c:pt idx="63">
                  <c:v>113.1</c:v>
                </c:pt>
                <c:pt idx="64">
                  <c:v>113.14</c:v>
                </c:pt>
                <c:pt idx="65">
                  <c:v>113.14</c:v>
                </c:pt>
                <c:pt idx="66">
                  <c:v>113.16</c:v>
                </c:pt>
                <c:pt idx="67">
                  <c:v>113.2</c:v>
                </c:pt>
                <c:pt idx="68">
                  <c:v>113.2</c:v>
                </c:pt>
                <c:pt idx="69">
                  <c:v>113.2</c:v>
                </c:pt>
                <c:pt idx="70">
                  <c:v>113.17</c:v>
                </c:pt>
                <c:pt idx="71">
                  <c:v>113.22</c:v>
                </c:pt>
                <c:pt idx="72">
                  <c:v>113.16</c:v>
                </c:pt>
                <c:pt idx="73">
                  <c:v>113.17</c:v>
                </c:pt>
                <c:pt idx="74">
                  <c:v>113.19</c:v>
                </c:pt>
                <c:pt idx="75">
                  <c:v>113.18</c:v>
                </c:pt>
                <c:pt idx="76">
                  <c:v>113.17</c:v>
                </c:pt>
                <c:pt idx="77">
                  <c:v>113.25</c:v>
                </c:pt>
                <c:pt idx="78">
                  <c:v>113.31</c:v>
                </c:pt>
                <c:pt idx="79">
                  <c:v>113.28</c:v>
                </c:pt>
                <c:pt idx="80">
                  <c:v>113.12</c:v>
                </c:pt>
                <c:pt idx="81">
                  <c:v>113.3</c:v>
                </c:pt>
                <c:pt idx="82">
                  <c:v>113.32</c:v>
                </c:pt>
                <c:pt idx="83">
                  <c:v>113.42</c:v>
                </c:pt>
                <c:pt idx="84">
                  <c:v>113.45</c:v>
                </c:pt>
                <c:pt idx="85">
                  <c:v>113.5</c:v>
                </c:pt>
                <c:pt idx="86">
                  <c:v>113.55</c:v>
                </c:pt>
                <c:pt idx="87">
                  <c:v>113.4</c:v>
                </c:pt>
                <c:pt idx="88">
                  <c:v>113.34</c:v>
                </c:pt>
                <c:pt idx="89">
                  <c:v>113.37</c:v>
                </c:pt>
                <c:pt idx="90">
                  <c:v>113.3</c:v>
                </c:pt>
                <c:pt idx="91">
                  <c:v>113.3</c:v>
                </c:pt>
                <c:pt idx="92">
                  <c:v>113.28</c:v>
                </c:pt>
                <c:pt idx="93">
                  <c:v>113.23</c:v>
                </c:pt>
                <c:pt idx="94">
                  <c:v>113.32</c:v>
                </c:pt>
                <c:pt idx="95">
                  <c:v>113.38</c:v>
                </c:pt>
                <c:pt idx="96">
                  <c:v>113.42</c:v>
                </c:pt>
                <c:pt idx="97">
                  <c:v>113.47</c:v>
                </c:pt>
                <c:pt idx="98">
                  <c:v>113.47</c:v>
                </c:pt>
                <c:pt idx="99">
                  <c:v>113.5</c:v>
                </c:pt>
                <c:pt idx="100">
                  <c:v>113.55</c:v>
                </c:pt>
                <c:pt idx="101">
                  <c:v>113.55</c:v>
                </c:pt>
                <c:pt idx="102">
                  <c:v>113.55</c:v>
                </c:pt>
                <c:pt idx="103">
                  <c:v>113.59</c:v>
                </c:pt>
                <c:pt idx="104">
                  <c:v>113.56</c:v>
                </c:pt>
                <c:pt idx="105">
                  <c:v>113.51</c:v>
                </c:pt>
                <c:pt idx="106">
                  <c:v>113.25</c:v>
                </c:pt>
                <c:pt idx="107">
                  <c:v>113.25</c:v>
                </c:pt>
                <c:pt idx="108">
                  <c:v>113.15</c:v>
                </c:pt>
                <c:pt idx="109">
                  <c:v>113.08</c:v>
                </c:pt>
                <c:pt idx="110">
                  <c:v>113.13</c:v>
                </c:pt>
                <c:pt idx="111">
                  <c:v>113.1</c:v>
                </c:pt>
                <c:pt idx="112">
                  <c:v>113.16</c:v>
                </c:pt>
                <c:pt idx="113">
                  <c:v>113.2</c:v>
                </c:pt>
                <c:pt idx="114">
                  <c:v>113.25</c:v>
                </c:pt>
                <c:pt idx="115">
                  <c:v>113.2</c:v>
                </c:pt>
                <c:pt idx="116">
                  <c:v>113.1</c:v>
                </c:pt>
                <c:pt idx="117">
                  <c:v>113.15</c:v>
                </c:pt>
                <c:pt idx="118">
                  <c:v>113.13</c:v>
                </c:pt>
                <c:pt idx="119">
                  <c:v>113.12</c:v>
                </c:pt>
                <c:pt idx="120">
                  <c:v>113.17</c:v>
                </c:pt>
                <c:pt idx="121">
                  <c:v>113.18</c:v>
                </c:pt>
                <c:pt idx="122">
                  <c:v>113.12</c:v>
                </c:pt>
                <c:pt idx="123">
                  <c:v>112.98</c:v>
                </c:pt>
                <c:pt idx="124">
                  <c:v>112.8</c:v>
                </c:pt>
                <c:pt idx="125">
                  <c:v>112.47</c:v>
                </c:pt>
                <c:pt idx="126">
                  <c:v>112.67</c:v>
                </c:pt>
                <c:pt idx="127">
                  <c:v>112.48</c:v>
                </c:pt>
                <c:pt idx="128">
                  <c:v>112.18</c:v>
                </c:pt>
                <c:pt idx="129">
                  <c:v>111.45</c:v>
                </c:pt>
                <c:pt idx="130">
                  <c:v>111.7</c:v>
                </c:pt>
                <c:pt idx="131">
                  <c:v>111.75</c:v>
                </c:pt>
                <c:pt idx="132">
                  <c:v>111.18</c:v>
                </c:pt>
                <c:pt idx="133">
                  <c:v>109</c:v>
                </c:pt>
                <c:pt idx="134">
                  <c:v>109.45</c:v>
                </c:pt>
                <c:pt idx="135">
                  <c:v>110.15</c:v>
                </c:pt>
                <c:pt idx="136">
                  <c:v>110.2</c:v>
                </c:pt>
                <c:pt idx="137">
                  <c:v>108.6</c:v>
                </c:pt>
                <c:pt idx="138">
                  <c:v>109</c:v>
                </c:pt>
                <c:pt idx="139">
                  <c:v>109.2</c:v>
                </c:pt>
                <c:pt idx="140">
                  <c:v>108.4</c:v>
                </c:pt>
                <c:pt idx="141">
                  <c:v>108.65</c:v>
                </c:pt>
                <c:pt idx="142">
                  <c:v>108.65</c:v>
                </c:pt>
                <c:pt idx="143">
                  <c:v>108.65</c:v>
                </c:pt>
                <c:pt idx="144">
                  <c:v>108.45</c:v>
                </c:pt>
                <c:pt idx="145">
                  <c:v>108.6</c:v>
                </c:pt>
                <c:pt idx="146">
                  <c:v>108.55</c:v>
                </c:pt>
                <c:pt idx="147">
                  <c:v>108.6</c:v>
                </c:pt>
                <c:pt idx="148">
                  <c:v>107.95</c:v>
                </c:pt>
                <c:pt idx="149">
                  <c:v>108.35</c:v>
                </c:pt>
                <c:pt idx="150">
                  <c:v>108.25</c:v>
                </c:pt>
                <c:pt idx="151">
                  <c:v>108.4</c:v>
                </c:pt>
                <c:pt idx="152">
                  <c:v>108.55</c:v>
                </c:pt>
                <c:pt idx="153">
                  <c:v>108.6</c:v>
                </c:pt>
                <c:pt idx="154">
                  <c:v>108.8</c:v>
                </c:pt>
                <c:pt idx="155">
                  <c:v>108.8</c:v>
                </c:pt>
                <c:pt idx="156">
                  <c:v>108.9</c:v>
                </c:pt>
                <c:pt idx="157">
                  <c:v>109</c:v>
                </c:pt>
                <c:pt idx="158">
                  <c:v>108.5</c:v>
                </c:pt>
                <c:pt idx="159">
                  <c:v>108.5</c:v>
                </c:pt>
                <c:pt idx="160">
                  <c:v>108.47</c:v>
                </c:pt>
                <c:pt idx="161">
                  <c:v>108.68</c:v>
                </c:pt>
                <c:pt idx="162">
                  <c:v>108.85</c:v>
                </c:pt>
                <c:pt idx="163">
                  <c:v>108.9</c:v>
                </c:pt>
                <c:pt idx="164">
                  <c:v>108.99</c:v>
                </c:pt>
                <c:pt idx="165">
                  <c:v>108.99</c:v>
                </c:pt>
                <c:pt idx="166">
                  <c:v>108.99</c:v>
                </c:pt>
                <c:pt idx="167">
                  <c:v>109</c:v>
                </c:pt>
                <c:pt idx="168">
                  <c:v>109.1</c:v>
                </c:pt>
                <c:pt idx="169">
                  <c:v>109.02</c:v>
                </c:pt>
                <c:pt idx="170">
                  <c:v>108.75</c:v>
                </c:pt>
                <c:pt idx="171">
                  <c:v>108.6</c:v>
                </c:pt>
                <c:pt idx="172">
                  <c:v>108.2</c:v>
                </c:pt>
                <c:pt idx="173">
                  <c:v>108.65</c:v>
                </c:pt>
                <c:pt idx="174">
                  <c:v>108.7</c:v>
                </c:pt>
                <c:pt idx="175">
                  <c:v>108.9</c:v>
                </c:pt>
                <c:pt idx="176">
                  <c:v>109.1</c:v>
                </c:pt>
                <c:pt idx="177">
                  <c:v>108.9</c:v>
                </c:pt>
                <c:pt idx="178">
                  <c:v>108.63</c:v>
                </c:pt>
                <c:pt idx="179">
                  <c:v>108.63</c:v>
                </c:pt>
                <c:pt idx="180">
                  <c:v>108.57</c:v>
                </c:pt>
                <c:pt idx="181">
                  <c:v>108.4</c:v>
                </c:pt>
                <c:pt idx="182">
                  <c:v>107.85</c:v>
                </c:pt>
                <c:pt idx="183">
                  <c:v>107</c:v>
                </c:pt>
                <c:pt idx="184">
                  <c:v>106.2</c:v>
                </c:pt>
                <c:pt idx="185">
                  <c:v>105.7</c:v>
                </c:pt>
                <c:pt idx="186">
                  <c:v>106.5</c:v>
                </c:pt>
                <c:pt idx="187">
                  <c:v>106.8</c:v>
                </c:pt>
                <c:pt idx="188">
                  <c:v>106.3</c:v>
                </c:pt>
                <c:pt idx="189">
                  <c:v>106.3</c:v>
                </c:pt>
                <c:pt idx="190">
                  <c:v>106</c:v>
                </c:pt>
                <c:pt idx="191">
                  <c:v>105.8</c:v>
                </c:pt>
                <c:pt idx="192">
                  <c:v>104.7</c:v>
                </c:pt>
                <c:pt idx="193">
                  <c:v>104.5</c:v>
                </c:pt>
                <c:pt idx="194">
                  <c:v>105.2</c:v>
                </c:pt>
                <c:pt idx="195">
                  <c:v>105.75</c:v>
                </c:pt>
                <c:pt idx="196">
                  <c:v>106</c:v>
                </c:pt>
                <c:pt idx="197">
                  <c:v>105.9</c:v>
                </c:pt>
                <c:pt idx="198">
                  <c:v>105.6</c:v>
                </c:pt>
                <c:pt idx="199">
                  <c:v>105.6</c:v>
                </c:pt>
                <c:pt idx="200">
                  <c:v>105.5</c:v>
                </c:pt>
                <c:pt idx="201">
                  <c:v>105.5</c:v>
                </c:pt>
                <c:pt idx="202">
                  <c:v>105.5</c:v>
                </c:pt>
                <c:pt idx="203">
                  <c:v>105.5</c:v>
                </c:pt>
                <c:pt idx="204">
                  <c:v>105.5</c:v>
                </c:pt>
                <c:pt idx="205">
                  <c:v>105.5</c:v>
                </c:pt>
                <c:pt idx="206">
                  <c:v>105</c:v>
                </c:pt>
                <c:pt idx="207">
                  <c:v>105</c:v>
                </c:pt>
                <c:pt idx="208">
                  <c:v>105.45</c:v>
                </c:pt>
                <c:pt idx="209">
                  <c:v>105.55</c:v>
                </c:pt>
                <c:pt idx="210">
                  <c:v>106</c:v>
                </c:pt>
                <c:pt idx="211">
                  <c:v>106</c:v>
                </c:pt>
                <c:pt idx="212">
                  <c:v>106</c:v>
                </c:pt>
                <c:pt idx="213">
                  <c:v>106.23</c:v>
                </c:pt>
                <c:pt idx="214">
                  <c:v>106.23</c:v>
                </c:pt>
                <c:pt idx="215">
                  <c:v>106.8</c:v>
                </c:pt>
                <c:pt idx="216">
                  <c:v>106.8</c:v>
                </c:pt>
                <c:pt idx="217">
                  <c:v>106.4</c:v>
                </c:pt>
                <c:pt idx="218">
                  <c:v>106.2</c:v>
                </c:pt>
                <c:pt idx="219">
                  <c:v>106.2</c:v>
                </c:pt>
                <c:pt idx="220">
                  <c:v>106.2</c:v>
                </c:pt>
                <c:pt idx="221">
                  <c:v>106.2</c:v>
                </c:pt>
                <c:pt idx="222">
                  <c:v>106.5</c:v>
                </c:pt>
                <c:pt idx="223">
                  <c:v>106.51</c:v>
                </c:pt>
                <c:pt idx="224">
                  <c:v>106.51</c:v>
                </c:pt>
                <c:pt idx="225">
                  <c:v>106.51</c:v>
                </c:pt>
                <c:pt idx="226">
                  <c:v>106.55</c:v>
                </c:pt>
                <c:pt idx="227">
                  <c:v>106.81</c:v>
                </c:pt>
                <c:pt idx="228">
                  <c:v>106.81</c:v>
                </c:pt>
                <c:pt idx="229">
                  <c:v>106.81</c:v>
                </c:pt>
                <c:pt idx="230">
                  <c:v>106.86</c:v>
                </c:pt>
                <c:pt idx="231">
                  <c:v>105.654</c:v>
                </c:pt>
                <c:pt idx="232">
                  <c:v>105.65</c:v>
                </c:pt>
                <c:pt idx="233">
                  <c:v>105.9</c:v>
                </c:pt>
                <c:pt idx="234">
                  <c:v>106</c:v>
                </c:pt>
                <c:pt idx="235">
                  <c:v>106</c:v>
                </c:pt>
                <c:pt idx="236">
                  <c:v>106</c:v>
                </c:pt>
                <c:pt idx="237">
                  <c:v>106.25</c:v>
                </c:pt>
                <c:pt idx="238">
                  <c:v>106.25</c:v>
                </c:pt>
                <c:pt idx="239">
                  <c:v>106.25</c:v>
                </c:pt>
                <c:pt idx="240">
                  <c:v>107</c:v>
                </c:pt>
                <c:pt idx="241">
                  <c:v>107</c:v>
                </c:pt>
                <c:pt idx="242">
                  <c:v>108.07</c:v>
                </c:pt>
                <c:pt idx="243">
                  <c:v>107.8</c:v>
                </c:pt>
                <c:pt idx="244">
                  <c:v>108.4</c:v>
                </c:pt>
                <c:pt idx="245">
                  <c:v>108.4</c:v>
                </c:pt>
                <c:pt idx="246">
                  <c:v>108.36</c:v>
                </c:pt>
                <c:pt idx="247">
                  <c:v>108.75</c:v>
                </c:pt>
                <c:pt idx="248">
                  <c:v>108.65</c:v>
                </c:pt>
              </c:numCache>
            </c:numRef>
          </c:val>
        </c:ser>
        <c:marker val="1"/>
        <c:axId val="135808128"/>
        <c:axId val="135809664"/>
      </c:lineChart>
      <c:catAx>
        <c:axId val="135808128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9664"/>
        <c:crossesAt val="96"/>
        <c:lblAlgn val="ctr"/>
        <c:lblOffset val="100"/>
        <c:tickLblSkip val="7"/>
        <c:tickMarkSkip val="1"/>
      </c:catAx>
      <c:valAx>
        <c:axId val="135809664"/>
        <c:scaling>
          <c:orientation val="minMax"/>
          <c:max val="115"/>
          <c:min val="104"/>
        </c:scaling>
        <c:axPos val="l"/>
        <c:title>
          <c:tx>
            <c:rich>
              <a:bodyPr/>
              <a:lstStyle/>
              <a:p>
                <a:pPr>
                  <a:defRPr lang="ko-KR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Points</a:t>
                </a:r>
              </a:p>
            </c:rich>
          </c:tx>
          <c:layout>
            <c:manualLayout>
              <c:xMode val="edge"/>
              <c:yMode val="edge"/>
              <c:x val="5.8823563202874086E-3"/>
              <c:y val="0.34494773519163768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08128"/>
        <c:crosses val="autoZero"/>
        <c:crossBetween val="midCat"/>
        <c:majorUnit val="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529447110206292"/>
          <c:y val="0.10801393728223001"/>
          <c:w val="0.3517649079531871"/>
          <c:h val="5.574912891986062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[4]FKLI!$D$1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[4]FKLI!$A$1353:$A$1597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[4]FKLI!$D$1353:$D$1597</c:f>
              <c:numCache>
                <c:formatCode>General</c:formatCode>
                <c:ptCount val="245"/>
                <c:pt idx="0">
                  <c:v>1244</c:v>
                </c:pt>
                <c:pt idx="1">
                  <c:v>1505</c:v>
                </c:pt>
                <c:pt idx="2">
                  <c:v>1057</c:v>
                </c:pt>
                <c:pt idx="3">
                  <c:v>668</c:v>
                </c:pt>
                <c:pt idx="4">
                  <c:v>1101</c:v>
                </c:pt>
                <c:pt idx="5">
                  <c:v>768</c:v>
                </c:pt>
                <c:pt idx="6">
                  <c:v>642</c:v>
                </c:pt>
                <c:pt idx="7">
                  <c:v>353</c:v>
                </c:pt>
                <c:pt idx="8">
                  <c:v>347</c:v>
                </c:pt>
                <c:pt idx="9">
                  <c:v>1620</c:v>
                </c:pt>
                <c:pt idx="10">
                  <c:v>1317</c:v>
                </c:pt>
                <c:pt idx="11">
                  <c:v>1528</c:v>
                </c:pt>
                <c:pt idx="12">
                  <c:v>1703</c:v>
                </c:pt>
                <c:pt idx="13">
                  <c:v>864</c:v>
                </c:pt>
                <c:pt idx="14">
                  <c:v>612</c:v>
                </c:pt>
                <c:pt idx="15">
                  <c:v>1302</c:v>
                </c:pt>
                <c:pt idx="16">
                  <c:v>1863</c:v>
                </c:pt>
                <c:pt idx="17">
                  <c:v>2156</c:v>
                </c:pt>
                <c:pt idx="18">
                  <c:v>928</c:v>
                </c:pt>
                <c:pt idx="19">
                  <c:v>847</c:v>
                </c:pt>
                <c:pt idx="20">
                  <c:v>1185</c:v>
                </c:pt>
                <c:pt idx="21">
                  <c:v>680</c:v>
                </c:pt>
                <c:pt idx="22">
                  <c:v>978</c:v>
                </c:pt>
                <c:pt idx="23">
                  <c:v>986</c:v>
                </c:pt>
                <c:pt idx="24">
                  <c:v>899</c:v>
                </c:pt>
                <c:pt idx="25">
                  <c:v>1153</c:v>
                </c:pt>
                <c:pt idx="26">
                  <c:v>1943</c:v>
                </c:pt>
                <c:pt idx="27">
                  <c:v>1078</c:v>
                </c:pt>
                <c:pt idx="28">
                  <c:v>1275</c:v>
                </c:pt>
                <c:pt idx="29">
                  <c:v>1878</c:v>
                </c:pt>
                <c:pt idx="30">
                  <c:v>1797</c:v>
                </c:pt>
                <c:pt idx="31">
                  <c:v>1413</c:v>
                </c:pt>
                <c:pt idx="32">
                  <c:v>1003</c:v>
                </c:pt>
                <c:pt idx="33">
                  <c:v>1866</c:v>
                </c:pt>
                <c:pt idx="34">
                  <c:v>1781</c:v>
                </c:pt>
                <c:pt idx="35">
                  <c:v>1049</c:v>
                </c:pt>
                <c:pt idx="36">
                  <c:v>1116</c:v>
                </c:pt>
                <c:pt idx="37">
                  <c:v>791</c:v>
                </c:pt>
                <c:pt idx="38">
                  <c:v>665</c:v>
                </c:pt>
                <c:pt idx="39">
                  <c:v>826</c:v>
                </c:pt>
                <c:pt idx="40">
                  <c:v>677</c:v>
                </c:pt>
                <c:pt idx="41">
                  <c:v>780</c:v>
                </c:pt>
                <c:pt idx="42">
                  <c:v>890</c:v>
                </c:pt>
                <c:pt idx="43">
                  <c:v>626</c:v>
                </c:pt>
                <c:pt idx="44">
                  <c:v>1358</c:v>
                </c:pt>
                <c:pt idx="45">
                  <c:v>1344</c:v>
                </c:pt>
                <c:pt idx="46">
                  <c:v>694</c:v>
                </c:pt>
                <c:pt idx="47">
                  <c:v>573</c:v>
                </c:pt>
                <c:pt idx="48">
                  <c:v>362</c:v>
                </c:pt>
                <c:pt idx="49">
                  <c:v>286</c:v>
                </c:pt>
                <c:pt idx="50">
                  <c:v>835</c:v>
                </c:pt>
                <c:pt idx="51">
                  <c:v>1223</c:v>
                </c:pt>
                <c:pt idx="52">
                  <c:v>1974</c:v>
                </c:pt>
                <c:pt idx="53">
                  <c:v>1721</c:v>
                </c:pt>
                <c:pt idx="54">
                  <c:v>1447</c:v>
                </c:pt>
                <c:pt idx="55">
                  <c:v>1469</c:v>
                </c:pt>
                <c:pt idx="56">
                  <c:v>1011</c:v>
                </c:pt>
                <c:pt idx="57">
                  <c:v>970</c:v>
                </c:pt>
                <c:pt idx="58">
                  <c:v>1002</c:v>
                </c:pt>
                <c:pt idx="59">
                  <c:v>676</c:v>
                </c:pt>
                <c:pt idx="60">
                  <c:v>441</c:v>
                </c:pt>
                <c:pt idx="61">
                  <c:v>1558</c:v>
                </c:pt>
                <c:pt idx="62">
                  <c:v>849</c:v>
                </c:pt>
                <c:pt idx="63">
                  <c:v>607</c:v>
                </c:pt>
                <c:pt idx="64">
                  <c:v>1988</c:v>
                </c:pt>
                <c:pt idx="65">
                  <c:v>2140</c:v>
                </c:pt>
                <c:pt idx="66">
                  <c:v>2133</c:v>
                </c:pt>
                <c:pt idx="67">
                  <c:v>2488</c:v>
                </c:pt>
                <c:pt idx="68">
                  <c:v>1859</c:v>
                </c:pt>
                <c:pt idx="69">
                  <c:v>1457</c:v>
                </c:pt>
                <c:pt idx="70">
                  <c:v>1654</c:v>
                </c:pt>
                <c:pt idx="71">
                  <c:v>2302</c:v>
                </c:pt>
                <c:pt idx="72">
                  <c:v>2384</c:v>
                </c:pt>
                <c:pt idx="73">
                  <c:v>1761</c:v>
                </c:pt>
                <c:pt idx="74">
                  <c:v>1215</c:v>
                </c:pt>
                <c:pt idx="75">
                  <c:v>1456</c:v>
                </c:pt>
                <c:pt idx="76">
                  <c:v>504</c:v>
                </c:pt>
                <c:pt idx="77">
                  <c:v>605</c:v>
                </c:pt>
                <c:pt idx="78">
                  <c:v>724</c:v>
                </c:pt>
                <c:pt idx="79">
                  <c:v>1055</c:v>
                </c:pt>
                <c:pt idx="80">
                  <c:v>678</c:v>
                </c:pt>
                <c:pt idx="81">
                  <c:v>1547</c:v>
                </c:pt>
                <c:pt idx="82">
                  <c:v>1067</c:v>
                </c:pt>
                <c:pt idx="83">
                  <c:v>1069</c:v>
                </c:pt>
                <c:pt idx="84">
                  <c:v>976</c:v>
                </c:pt>
                <c:pt idx="85">
                  <c:v>835</c:v>
                </c:pt>
                <c:pt idx="86">
                  <c:v>572</c:v>
                </c:pt>
                <c:pt idx="87">
                  <c:v>1112</c:v>
                </c:pt>
                <c:pt idx="88">
                  <c:v>587</c:v>
                </c:pt>
                <c:pt idx="89">
                  <c:v>557</c:v>
                </c:pt>
                <c:pt idx="90">
                  <c:v>1024</c:v>
                </c:pt>
                <c:pt idx="91">
                  <c:v>468</c:v>
                </c:pt>
                <c:pt idx="92">
                  <c:v>624</c:v>
                </c:pt>
                <c:pt idx="93">
                  <c:v>687</c:v>
                </c:pt>
                <c:pt idx="94">
                  <c:v>665</c:v>
                </c:pt>
                <c:pt idx="95">
                  <c:v>1312</c:v>
                </c:pt>
                <c:pt idx="96">
                  <c:v>1136</c:v>
                </c:pt>
                <c:pt idx="97">
                  <c:v>1193</c:v>
                </c:pt>
                <c:pt idx="98">
                  <c:v>942</c:v>
                </c:pt>
                <c:pt idx="99">
                  <c:v>487</c:v>
                </c:pt>
                <c:pt idx="100">
                  <c:v>949</c:v>
                </c:pt>
                <c:pt idx="101">
                  <c:v>669</c:v>
                </c:pt>
                <c:pt idx="102">
                  <c:v>368</c:v>
                </c:pt>
                <c:pt idx="103">
                  <c:v>414</c:v>
                </c:pt>
                <c:pt idx="104">
                  <c:v>802</c:v>
                </c:pt>
                <c:pt idx="105">
                  <c:v>689</c:v>
                </c:pt>
                <c:pt idx="106">
                  <c:v>366</c:v>
                </c:pt>
                <c:pt idx="107">
                  <c:v>855</c:v>
                </c:pt>
                <c:pt idx="108">
                  <c:v>1966</c:v>
                </c:pt>
                <c:pt idx="109">
                  <c:v>1417</c:v>
                </c:pt>
                <c:pt idx="110">
                  <c:v>1024</c:v>
                </c:pt>
                <c:pt idx="111">
                  <c:v>1543</c:v>
                </c:pt>
                <c:pt idx="112">
                  <c:v>1692</c:v>
                </c:pt>
                <c:pt idx="113">
                  <c:v>1459</c:v>
                </c:pt>
                <c:pt idx="114">
                  <c:v>1579</c:v>
                </c:pt>
                <c:pt idx="115">
                  <c:v>1405</c:v>
                </c:pt>
                <c:pt idx="116">
                  <c:v>1741</c:v>
                </c:pt>
                <c:pt idx="117">
                  <c:v>1813</c:v>
                </c:pt>
                <c:pt idx="118">
                  <c:v>1859</c:v>
                </c:pt>
                <c:pt idx="119">
                  <c:v>460</c:v>
                </c:pt>
                <c:pt idx="120">
                  <c:v>751</c:v>
                </c:pt>
                <c:pt idx="121">
                  <c:v>1287</c:v>
                </c:pt>
                <c:pt idx="122">
                  <c:v>1351</c:v>
                </c:pt>
                <c:pt idx="123">
                  <c:v>1172</c:v>
                </c:pt>
                <c:pt idx="124">
                  <c:v>767</c:v>
                </c:pt>
                <c:pt idx="125">
                  <c:v>603</c:v>
                </c:pt>
                <c:pt idx="126">
                  <c:v>774</c:v>
                </c:pt>
                <c:pt idx="127">
                  <c:v>1414</c:v>
                </c:pt>
                <c:pt idx="128">
                  <c:v>1038</c:v>
                </c:pt>
                <c:pt idx="129">
                  <c:v>1585</c:v>
                </c:pt>
                <c:pt idx="130">
                  <c:v>917</c:v>
                </c:pt>
                <c:pt idx="131">
                  <c:v>1118</c:v>
                </c:pt>
                <c:pt idx="132">
                  <c:v>1013</c:v>
                </c:pt>
                <c:pt idx="133">
                  <c:v>554</c:v>
                </c:pt>
                <c:pt idx="134">
                  <c:v>891</c:v>
                </c:pt>
                <c:pt idx="135">
                  <c:v>1413</c:v>
                </c:pt>
                <c:pt idx="136">
                  <c:v>613</c:v>
                </c:pt>
                <c:pt idx="137">
                  <c:v>777</c:v>
                </c:pt>
                <c:pt idx="138">
                  <c:v>946</c:v>
                </c:pt>
                <c:pt idx="139">
                  <c:v>680</c:v>
                </c:pt>
                <c:pt idx="140">
                  <c:v>593</c:v>
                </c:pt>
                <c:pt idx="141">
                  <c:v>675</c:v>
                </c:pt>
                <c:pt idx="142">
                  <c:v>694</c:v>
                </c:pt>
                <c:pt idx="143">
                  <c:v>1333</c:v>
                </c:pt>
                <c:pt idx="144">
                  <c:v>789</c:v>
                </c:pt>
                <c:pt idx="145">
                  <c:v>901</c:v>
                </c:pt>
                <c:pt idx="146">
                  <c:v>604</c:v>
                </c:pt>
                <c:pt idx="147">
                  <c:v>823</c:v>
                </c:pt>
                <c:pt idx="148">
                  <c:v>608</c:v>
                </c:pt>
                <c:pt idx="149">
                  <c:v>392</c:v>
                </c:pt>
                <c:pt idx="150">
                  <c:v>759</c:v>
                </c:pt>
                <c:pt idx="151">
                  <c:v>1214</c:v>
                </c:pt>
                <c:pt idx="152">
                  <c:v>1305</c:v>
                </c:pt>
                <c:pt idx="153">
                  <c:v>1153</c:v>
                </c:pt>
                <c:pt idx="154">
                  <c:v>1558</c:v>
                </c:pt>
                <c:pt idx="155">
                  <c:v>1434</c:v>
                </c:pt>
                <c:pt idx="156">
                  <c:v>1025</c:v>
                </c:pt>
                <c:pt idx="157">
                  <c:v>1160</c:v>
                </c:pt>
                <c:pt idx="158">
                  <c:v>677</c:v>
                </c:pt>
                <c:pt idx="159">
                  <c:v>912</c:v>
                </c:pt>
                <c:pt idx="160">
                  <c:v>575</c:v>
                </c:pt>
                <c:pt idx="161">
                  <c:v>1144</c:v>
                </c:pt>
                <c:pt idx="162">
                  <c:v>650</c:v>
                </c:pt>
                <c:pt idx="163">
                  <c:v>505</c:v>
                </c:pt>
                <c:pt idx="164">
                  <c:v>867</c:v>
                </c:pt>
                <c:pt idx="165">
                  <c:v>459</c:v>
                </c:pt>
                <c:pt idx="166">
                  <c:v>793</c:v>
                </c:pt>
                <c:pt idx="167">
                  <c:v>571</c:v>
                </c:pt>
                <c:pt idx="168">
                  <c:v>844</c:v>
                </c:pt>
                <c:pt idx="169">
                  <c:v>1617</c:v>
                </c:pt>
                <c:pt idx="170">
                  <c:v>1391</c:v>
                </c:pt>
                <c:pt idx="171">
                  <c:v>1917</c:v>
                </c:pt>
                <c:pt idx="172">
                  <c:v>2444</c:v>
                </c:pt>
                <c:pt idx="173">
                  <c:v>954</c:v>
                </c:pt>
                <c:pt idx="174">
                  <c:v>625</c:v>
                </c:pt>
                <c:pt idx="175">
                  <c:v>894</c:v>
                </c:pt>
                <c:pt idx="176">
                  <c:v>1179</c:v>
                </c:pt>
                <c:pt idx="177">
                  <c:v>767</c:v>
                </c:pt>
                <c:pt idx="178">
                  <c:v>890</c:v>
                </c:pt>
                <c:pt idx="179">
                  <c:v>832</c:v>
                </c:pt>
                <c:pt idx="180">
                  <c:v>1030</c:v>
                </c:pt>
                <c:pt idx="181">
                  <c:v>1110</c:v>
                </c:pt>
                <c:pt idx="182">
                  <c:v>790</c:v>
                </c:pt>
                <c:pt idx="183">
                  <c:v>725</c:v>
                </c:pt>
                <c:pt idx="184">
                  <c:v>879</c:v>
                </c:pt>
                <c:pt idx="185">
                  <c:v>909</c:v>
                </c:pt>
                <c:pt idx="186">
                  <c:v>968</c:v>
                </c:pt>
                <c:pt idx="187">
                  <c:v>945</c:v>
                </c:pt>
                <c:pt idx="188">
                  <c:v>998</c:v>
                </c:pt>
                <c:pt idx="189">
                  <c:v>1035</c:v>
                </c:pt>
                <c:pt idx="190">
                  <c:v>1655</c:v>
                </c:pt>
                <c:pt idx="191">
                  <c:v>1408</c:v>
                </c:pt>
                <c:pt idx="192">
                  <c:v>1666</c:v>
                </c:pt>
                <c:pt idx="193">
                  <c:v>1124</c:v>
                </c:pt>
                <c:pt idx="194">
                  <c:v>572</c:v>
                </c:pt>
                <c:pt idx="195">
                  <c:v>443</c:v>
                </c:pt>
                <c:pt idx="196">
                  <c:v>1041</c:v>
                </c:pt>
                <c:pt idx="197">
                  <c:v>596</c:v>
                </c:pt>
                <c:pt idx="198">
                  <c:v>845</c:v>
                </c:pt>
                <c:pt idx="199">
                  <c:v>1181</c:v>
                </c:pt>
                <c:pt idx="200">
                  <c:v>1045</c:v>
                </c:pt>
                <c:pt idx="201">
                  <c:v>1088</c:v>
                </c:pt>
                <c:pt idx="202">
                  <c:v>1005</c:v>
                </c:pt>
                <c:pt idx="203">
                  <c:v>968</c:v>
                </c:pt>
                <c:pt idx="204">
                  <c:v>1094</c:v>
                </c:pt>
                <c:pt idx="205">
                  <c:v>732</c:v>
                </c:pt>
                <c:pt idx="206">
                  <c:v>796</c:v>
                </c:pt>
                <c:pt idx="207">
                  <c:v>961</c:v>
                </c:pt>
                <c:pt idx="208">
                  <c:v>1043</c:v>
                </c:pt>
                <c:pt idx="209">
                  <c:v>1169</c:v>
                </c:pt>
                <c:pt idx="210">
                  <c:v>1808</c:v>
                </c:pt>
                <c:pt idx="211">
                  <c:v>1346</c:v>
                </c:pt>
                <c:pt idx="212">
                  <c:v>1617</c:v>
                </c:pt>
                <c:pt idx="213">
                  <c:v>1616</c:v>
                </c:pt>
                <c:pt idx="214">
                  <c:v>1880</c:v>
                </c:pt>
                <c:pt idx="215">
                  <c:v>960</c:v>
                </c:pt>
                <c:pt idx="216">
                  <c:v>751</c:v>
                </c:pt>
                <c:pt idx="217">
                  <c:v>785</c:v>
                </c:pt>
                <c:pt idx="218">
                  <c:v>576</c:v>
                </c:pt>
                <c:pt idx="219">
                  <c:v>795</c:v>
                </c:pt>
                <c:pt idx="220">
                  <c:v>923</c:v>
                </c:pt>
                <c:pt idx="221">
                  <c:v>540</c:v>
                </c:pt>
                <c:pt idx="222">
                  <c:v>505</c:v>
                </c:pt>
                <c:pt idx="223">
                  <c:v>427</c:v>
                </c:pt>
                <c:pt idx="224">
                  <c:v>444</c:v>
                </c:pt>
                <c:pt idx="225">
                  <c:v>192</c:v>
                </c:pt>
                <c:pt idx="226">
                  <c:v>581</c:v>
                </c:pt>
                <c:pt idx="227">
                  <c:v>867</c:v>
                </c:pt>
                <c:pt idx="228">
                  <c:v>614</c:v>
                </c:pt>
                <c:pt idx="229">
                  <c:v>1047</c:v>
                </c:pt>
                <c:pt idx="230">
                  <c:v>1174</c:v>
                </c:pt>
                <c:pt idx="231">
                  <c:v>762</c:v>
                </c:pt>
                <c:pt idx="232">
                  <c:v>1607</c:v>
                </c:pt>
                <c:pt idx="233">
                  <c:v>1613</c:v>
                </c:pt>
                <c:pt idx="234">
                  <c:v>1325</c:v>
                </c:pt>
                <c:pt idx="235">
                  <c:v>1828</c:v>
                </c:pt>
                <c:pt idx="236">
                  <c:v>935</c:v>
                </c:pt>
                <c:pt idx="237">
                  <c:v>585</c:v>
                </c:pt>
                <c:pt idx="238">
                  <c:v>722</c:v>
                </c:pt>
                <c:pt idx="239">
                  <c:v>615</c:v>
                </c:pt>
                <c:pt idx="240">
                  <c:v>680</c:v>
                </c:pt>
                <c:pt idx="241">
                  <c:v>680</c:v>
                </c:pt>
                <c:pt idx="242">
                  <c:v>421</c:v>
                </c:pt>
                <c:pt idx="243">
                  <c:v>389</c:v>
                </c:pt>
                <c:pt idx="244">
                  <c:v>442</c:v>
                </c:pt>
              </c:numCache>
            </c:numRef>
          </c:val>
        </c:ser>
        <c:gapWidth val="0"/>
        <c:axId val="136037888"/>
        <c:axId val="136039424"/>
      </c:barChart>
      <c:lineChart>
        <c:grouping val="standard"/>
        <c:ser>
          <c:idx val="3"/>
          <c:order val="1"/>
          <c:tx>
            <c:strRef>
              <c:f>[4]FKLI!$E$1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[4]FKLI!$A$1353:$A$1597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[4]FKLI!$E$1353:$E$1597</c:f>
              <c:numCache>
                <c:formatCode>General</c:formatCode>
                <c:ptCount val="245"/>
                <c:pt idx="0">
                  <c:v>2723</c:v>
                </c:pt>
                <c:pt idx="1">
                  <c:v>2635</c:v>
                </c:pt>
                <c:pt idx="2">
                  <c:v>2748</c:v>
                </c:pt>
                <c:pt idx="3">
                  <c:v>2721</c:v>
                </c:pt>
                <c:pt idx="4">
                  <c:v>2852</c:v>
                </c:pt>
                <c:pt idx="5">
                  <c:v>2836</c:v>
                </c:pt>
                <c:pt idx="6">
                  <c:v>2873</c:v>
                </c:pt>
                <c:pt idx="7">
                  <c:v>2869</c:v>
                </c:pt>
                <c:pt idx="8">
                  <c:v>2871</c:v>
                </c:pt>
                <c:pt idx="9">
                  <c:v>2951</c:v>
                </c:pt>
                <c:pt idx="10">
                  <c:v>2857</c:v>
                </c:pt>
                <c:pt idx="11">
                  <c:v>2992</c:v>
                </c:pt>
                <c:pt idx="12">
                  <c:v>1854</c:v>
                </c:pt>
                <c:pt idx="13">
                  <c:v>2002</c:v>
                </c:pt>
                <c:pt idx="14">
                  <c:v>2056</c:v>
                </c:pt>
                <c:pt idx="15">
                  <c:v>2087</c:v>
                </c:pt>
                <c:pt idx="16">
                  <c:v>2054</c:v>
                </c:pt>
                <c:pt idx="17">
                  <c:v>2175</c:v>
                </c:pt>
                <c:pt idx="18">
                  <c:v>2166</c:v>
                </c:pt>
                <c:pt idx="19">
                  <c:v>2221</c:v>
                </c:pt>
                <c:pt idx="20">
                  <c:v>2273</c:v>
                </c:pt>
                <c:pt idx="21">
                  <c:v>2356</c:v>
                </c:pt>
                <c:pt idx="22">
                  <c:v>2371</c:v>
                </c:pt>
                <c:pt idx="23">
                  <c:v>2361</c:v>
                </c:pt>
                <c:pt idx="24">
                  <c:v>2404</c:v>
                </c:pt>
                <c:pt idx="25">
                  <c:v>2326</c:v>
                </c:pt>
                <c:pt idx="26">
                  <c:v>2313</c:v>
                </c:pt>
                <c:pt idx="27">
                  <c:v>2352</c:v>
                </c:pt>
                <c:pt idx="28">
                  <c:v>2439</c:v>
                </c:pt>
                <c:pt idx="29">
                  <c:v>2671</c:v>
                </c:pt>
                <c:pt idx="30">
                  <c:v>2799</c:v>
                </c:pt>
                <c:pt idx="31">
                  <c:v>2900</c:v>
                </c:pt>
                <c:pt idx="32">
                  <c:v>2853</c:v>
                </c:pt>
                <c:pt idx="33">
                  <c:v>2722</c:v>
                </c:pt>
                <c:pt idx="34">
                  <c:v>2053</c:v>
                </c:pt>
                <c:pt idx="35">
                  <c:v>2055</c:v>
                </c:pt>
                <c:pt idx="36">
                  <c:v>2183</c:v>
                </c:pt>
                <c:pt idx="37">
                  <c:v>2274</c:v>
                </c:pt>
                <c:pt idx="38">
                  <c:v>2373</c:v>
                </c:pt>
                <c:pt idx="39">
                  <c:v>2488</c:v>
                </c:pt>
                <c:pt idx="40">
                  <c:v>2468</c:v>
                </c:pt>
                <c:pt idx="41">
                  <c:v>2544</c:v>
                </c:pt>
                <c:pt idx="42">
                  <c:v>2627</c:v>
                </c:pt>
                <c:pt idx="43">
                  <c:v>2616</c:v>
                </c:pt>
                <c:pt idx="44">
                  <c:v>2466</c:v>
                </c:pt>
                <c:pt idx="45">
                  <c:v>2467</c:v>
                </c:pt>
                <c:pt idx="46">
                  <c:v>2485</c:v>
                </c:pt>
                <c:pt idx="47">
                  <c:v>2467</c:v>
                </c:pt>
                <c:pt idx="48">
                  <c:v>2486</c:v>
                </c:pt>
                <c:pt idx="49">
                  <c:v>2482</c:v>
                </c:pt>
                <c:pt idx="50">
                  <c:v>2605</c:v>
                </c:pt>
                <c:pt idx="51">
                  <c:v>2480</c:v>
                </c:pt>
                <c:pt idx="52">
                  <c:v>2363</c:v>
                </c:pt>
                <c:pt idx="53">
                  <c:v>2401</c:v>
                </c:pt>
                <c:pt idx="54">
                  <c:v>2514</c:v>
                </c:pt>
                <c:pt idx="55">
                  <c:v>2519</c:v>
                </c:pt>
                <c:pt idx="56">
                  <c:v>1741</c:v>
                </c:pt>
                <c:pt idx="57">
                  <c:v>1995</c:v>
                </c:pt>
                <c:pt idx="58">
                  <c:v>2000</c:v>
                </c:pt>
                <c:pt idx="59">
                  <c:v>2061</c:v>
                </c:pt>
                <c:pt idx="60">
                  <c:v>2133</c:v>
                </c:pt>
                <c:pt idx="61">
                  <c:v>2170</c:v>
                </c:pt>
                <c:pt idx="62">
                  <c:v>2218</c:v>
                </c:pt>
                <c:pt idx="63">
                  <c:v>2246</c:v>
                </c:pt>
                <c:pt idx="64">
                  <c:v>2285</c:v>
                </c:pt>
                <c:pt idx="65">
                  <c:v>2224</c:v>
                </c:pt>
                <c:pt idx="66">
                  <c:v>2641</c:v>
                </c:pt>
                <c:pt idx="67">
                  <c:v>2386</c:v>
                </c:pt>
                <c:pt idx="68">
                  <c:v>2633</c:v>
                </c:pt>
                <c:pt idx="69">
                  <c:v>2631</c:v>
                </c:pt>
                <c:pt idx="70">
                  <c:v>2634</c:v>
                </c:pt>
                <c:pt idx="71">
                  <c:v>2898</c:v>
                </c:pt>
                <c:pt idx="72">
                  <c:v>3138</c:v>
                </c:pt>
                <c:pt idx="73">
                  <c:v>3534</c:v>
                </c:pt>
                <c:pt idx="74">
                  <c:v>3511</c:v>
                </c:pt>
                <c:pt idx="75">
                  <c:v>1870</c:v>
                </c:pt>
                <c:pt idx="76">
                  <c:v>1947</c:v>
                </c:pt>
                <c:pt idx="77">
                  <c:v>2012</c:v>
                </c:pt>
                <c:pt idx="78">
                  <c:v>2021</c:v>
                </c:pt>
                <c:pt idx="79">
                  <c:v>2075</c:v>
                </c:pt>
                <c:pt idx="80">
                  <c:v>2173</c:v>
                </c:pt>
                <c:pt idx="81">
                  <c:v>2280</c:v>
                </c:pt>
                <c:pt idx="82">
                  <c:v>2355</c:v>
                </c:pt>
                <c:pt idx="83">
                  <c:v>2503</c:v>
                </c:pt>
                <c:pt idx="84">
                  <c:v>2467</c:v>
                </c:pt>
                <c:pt idx="85">
                  <c:v>2405</c:v>
                </c:pt>
                <c:pt idx="86">
                  <c:v>2440</c:v>
                </c:pt>
                <c:pt idx="87">
                  <c:v>2465</c:v>
                </c:pt>
                <c:pt idx="88">
                  <c:v>2533</c:v>
                </c:pt>
                <c:pt idx="89">
                  <c:v>2552</c:v>
                </c:pt>
                <c:pt idx="90">
                  <c:v>2660</c:v>
                </c:pt>
                <c:pt idx="91">
                  <c:v>2579</c:v>
                </c:pt>
                <c:pt idx="92">
                  <c:v>2514</c:v>
                </c:pt>
                <c:pt idx="93">
                  <c:v>2539</c:v>
                </c:pt>
                <c:pt idx="94">
                  <c:v>2561</c:v>
                </c:pt>
                <c:pt idx="95">
                  <c:v>2729</c:v>
                </c:pt>
                <c:pt idx="96">
                  <c:v>3016</c:v>
                </c:pt>
                <c:pt idx="97">
                  <c:v>3342</c:v>
                </c:pt>
                <c:pt idx="98">
                  <c:v>1831</c:v>
                </c:pt>
                <c:pt idx="99">
                  <c:v>1944</c:v>
                </c:pt>
                <c:pt idx="100">
                  <c:v>2105</c:v>
                </c:pt>
                <c:pt idx="101">
                  <c:v>2070</c:v>
                </c:pt>
                <c:pt idx="102">
                  <c:v>2123</c:v>
                </c:pt>
                <c:pt idx="103">
                  <c:v>2152</c:v>
                </c:pt>
                <c:pt idx="104">
                  <c:v>2267</c:v>
                </c:pt>
                <c:pt idx="105">
                  <c:v>2219</c:v>
                </c:pt>
                <c:pt idx="106">
                  <c:v>2231</c:v>
                </c:pt>
                <c:pt idx="107">
                  <c:v>2151</c:v>
                </c:pt>
                <c:pt idx="108">
                  <c:v>2423</c:v>
                </c:pt>
                <c:pt idx="109">
                  <c:v>2473</c:v>
                </c:pt>
                <c:pt idx="110">
                  <c:v>2503</c:v>
                </c:pt>
                <c:pt idx="111">
                  <c:v>2601</c:v>
                </c:pt>
                <c:pt idx="112">
                  <c:v>2791</c:v>
                </c:pt>
                <c:pt idx="113">
                  <c:v>2834</c:v>
                </c:pt>
                <c:pt idx="114">
                  <c:v>2937</c:v>
                </c:pt>
                <c:pt idx="115">
                  <c:v>3292</c:v>
                </c:pt>
                <c:pt idx="116">
                  <c:v>3602</c:v>
                </c:pt>
                <c:pt idx="117">
                  <c:v>4178</c:v>
                </c:pt>
                <c:pt idx="118">
                  <c:v>2552</c:v>
                </c:pt>
                <c:pt idx="119">
                  <c:v>2593</c:v>
                </c:pt>
                <c:pt idx="120">
                  <c:v>2601</c:v>
                </c:pt>
                <c:pt idx="121">
                  <c:v>2659</c:v>
                </c:pt>
                <c:pt idx="122">
                  <c:v>2849</c:v>
                </c:pt>
                <c:pt idx="123">
                  <c:v>2969</c:v>
                </c:pt>
                <c:pt idx="124">
                  <c:v>3104</c:v>
                </c:pt>
                <c:pt idx="125">
                  <c:v>3131</c:v>
                </c:pt>
                <c:pt idx="126">
                  <c:v>3159</c:v>
                </c:pt>
                <c:pt idx="127">
                  <c:v>2779</c:v>
                </c:pt>
                <c:pt idx="128">
                  <c:v>2768</c:v>
                </c:pt>
                <c:pt idx="129">
                  <c:v>3090</c:v>
                </c:pt>
                <c:pt idx="130">
                  <c:v>2747</c:v>
                </c:pt>
                <c:pt idx="131">
                  <c:v>2824</c:v>
                </c:pt>
                <c:pt idx="132">
                  <c:v>2879</c:v>
                </c:pt>
                <c:pt idx="133">
                  <c:v>2723</c:v>
                </c:pt>
                <c:pt idx="134">
                  <c:v>2716</c:v>
                </c:pt>
                <c:pt idx="135">
                  <c:v>2164</c:v>
                </c:pt>
                <c:pt idx="136">
                  <c:v>2335</c:v>
                </c:pt>
                <c:pt idx="137">
                  <c:v>2506</c:v>
                </c:pt>
                <c:pt idx="138">
                  <c:v>2628</c:v>
                </c:pt>
                <c:pt idx="139">
                  <c:v>2725</c:v>
                </c:pt>
                <c:pt idx="140">
                  <c:v>2778</c:v>
                </c:pt>
                <c:pt idx="141">
                  <c:v>2813</c:v>
                </c:pt>
                <c:pt idx="142">
                  <c:v>2861</c:v>
                </c:pt>
                <c:pt idx="143">
                  <c:v>2840</c:v>
                </c:pt>
                <c:pt idx="144">
                  <c:v>2783</c:v>
                </c:pt>
                <c:pt idx="145">
                  <c:v>2701</c:v>
                </c:pt>
                <c:pt idx="146">
                  <c:v>2813</c:v>
                </c:pt>
                <c:pt idx="147">
                  <c:v>2906</c:v>
                </c:pt>
                <c:pt idx="148">
                  <c:v>2948</c:v>
                </c:pt>
                <c:pt idx="149">
                  <c:v>2971</c:v>
                </c:pt>
                <c:pt idx="150">
                  <c:v>2932</c:v>
                </c:pt>
                <c:pt idx="151">
                  <c:v>2959</c:v>
                </c:pt>
                <c:pt idx="152">
                  <c:v>2990</c:v>
                </c:pt>
                <c:pt idx="153">
                  <c:v>3020</c:v>
                </c:pt>
                <c:pt idx="154">
                  <c:v>3246</c:v>
                </c:pt>
                <c:pt idx="155">
                  <c:v>3254</c:v>
                </c:pt>
                <c:pt idx="156">
                  <c:v>3105</c:v>
                </c:pt>
                <c:pt idx="157">
                  <c:v>2490</c:v>
                </c:pt>
                <c:pt idx="158">
                  <c:v>2642</c:v>
                </c:pt>
                <c:pt idx="159">
                  <c:v>2764</c:v>
                </c:pt>
                <c:pt idx="160">
                  <c:v>2834</c:v>
                </c:pt>
                <c:pt idx="161">
                  <c:v>3113</c:v>
                </c:pt>
                <c:pt idx="162">
                  <c:v>3147</c:v>
                </c:pt>
                <c:pt idx="163">
                  <c:v>3179</c:v>
                </c:pt>
                <c:pt idx="164">
                  <c:v>3409</c:v>
                </c:pt>
                <c:pt idx="165">
                  <c:v>3304</c:v>
                </c:pt>
                <c:pt idx="166">
                  <c:v>3341</c:v>
                </c:pt>
                <c:pt idx="167">
                  <c:v>3424</c:v>
                </c:pt>
                <c:pt idx="168">
                  <c:v>3458</c:v>
                </c:pt>
                <c:pt idx="169">
                  <c:v>3413</c:v>
                </c:pt>
                <c:pt idx="170">
                  <c:v>3389</c:v>
                </c:pt>
                <c:pt idx="171">
                  <c:v>3914</c:v>
                </c:pt>
                <c:pt idx="172">
                  <c:v>3701</c:v>
                </c:pt>
                <c:pt idx="173">
                  <c:v>2696</c:v>
                </c:pt>
                <c:pt idx="174">
                  <c:v>2729</c:v>
                </c:pt>
                <c:pt idx="175">
                  <c:v>2830</c:v>
                </c:pt>
                <c:pt idx="176">
                  <c:v>2742</c:v>
                </c:pt>
                <c:pt idx="177">
                  <c:v>2718</c:v>
                </c:pt>
                <c:pt idx="178">
                  <c:v>2779</c:v>
                </c:pt>
                <c:pt idx="179">
                  <c:v>2717</c:v>
                </c:pt>
                <c:pt idx="180">
                  <c:v>2677</c:v>
                </c:pt>
                <c:pt idx="181">
                  <c:v>2593</c:v>
                </c:pt>
                <c:pt idx="182">
                  <c:v>2623</c:v>
                </c:pt>
                <c:pt idx="183">
                  <c:v>2579</c:v>
                </c:pt>
                <c:pt idx="184">
                  <c:v>2575</c:v>
                </c:pt>
                <c:pt idx="185">
                  <c:v>2665</c:v>
                </c:pt>
                <c:pt idx="186">
                  <c:v>2948</c:v>
                </c:pt>
                <c:pt idx="187">
                  <c:v>3183</c:v>
                </c:pt>
                <c:pt idx="188">
                  <c:v>2855</c:v>
                </c:pt>
                <c:pt idx="189">
                  <c:v>2801</c:v>
                </c:pt>
                <c:pt idx="190">
                  <c:v>3180</c:v>
                </c:pt>
                <c:pt idx="191">
                  <c:v>3300</c:v>
                </c:pt>
                <c:pt idx="192">
                  <c:v>3443</c:v>
                </c:pt>
                <c:pt idx="193">
                  <c:v>2633</c:v>
                </c:pt>
                <c:pt idx="194">
                  <c:v>2647</c:v>
                </c:pt>
                <c:pt idx="195">
                  <c:v>2672</c:v>
                </c:pt>
                <c:pt idx="196">
                  <c:v>2633</c:v>
                </c:pt>
                <c:pt idx="197">
                  <c:v>2627</c:v>
                </c:pt>
                <c:pt idx="198">
                  <c:v>2695</c:v>
                </c:pt>
                <c:pt idx="199">
                  <c:v>2847</c:v>
                </c:pt>
                <c:pt idx="200">
                  <c:v>2895</c:v>
                </c:pt>
                <c:pt idx="201">
                  <c:v>2764</c:v>
                </c:pt>
                <c:pt idx="202">
                  <c:v>2879</c:v>
                </c:pt>
                <c:pt idx="203">
                  <c:v>2861</c:v>
                </c:pt>
                <c:pt idx="204">
                  <c:v>2859</c:v>
                </c:pt>
                <c:pt idx="205">
                  <c:v>2961</c:v>
                </c:pt>
                <c:pt idx="206">
                  <c:v>2877</c:v>
                </c:pt>
                <c:pt idx="207">
                  <c:v>2806</c:v>
                </c:pt>
                <c:pt idx="208">
                  <c:v>2882</c:v>
                </c:pt>
                <c:pt idx="209">
                  <c:v>2780</c:v>
                </c:pt>
                <c:pt idx="210">
                  <c:v>2915</c:v>
                </c:pt>
                <c:pt idx="211">
                  <c:v>2756</c:v>
                </c:pt>
                <c:pt idx="212">
                  <c:v>2880</c:v>
                </c:pt>
                <c:pt idx="213">
                  <c:v>2907</c:v>
                </c:pt>
                <c:pt idx="214">
                  <c:v>2636</c:v>
                </c:pt>
                <c:pt idx="215">
                  <c:v>2767</c:v>
                </c:pt>
                <c:pt idx="216">
                  <c:v>2459</c:v>
                </c:pt>
                <c:pt idx="217">
                  <c:v>2535</c:v>
                </c:pt>
                <c:pt idx="218">
                  <c:v>2585</c:v>
                </c:pt>
                <c:pt idx="219">
                  <c:v>2700</c:v>
                </c:pt>
                <c:pt idx="220">
                  <c:v>2748</c:v>
                </c:pt>
                <c:pt idx="221">
                  <c:v>2770</c:v>
                </c:pt>
                <c:pt idx="222">
                  <c:v>2814</c:v>
                </c:pt>
                <c:pt idx="223">
                  <c:v>2825</c:v>
                </c:pt>
                <c:pt idx="224">
                  <c:v>2838</c:v>
                </c:pt>
                <c:pt idx="225">
                  <c:v>2832</c:v>
                </c:pt>
                <c:pt idx="226">
                  <c:v>2949</c:v>
                </c:pt>
                <c:pt idx="227">
                  <c:v>2861</c:v>
                </c:pt>
                <c:pt idx="228">
                  <c:v>2855</c:v>
                </c:pt>
                <c:pt idx="229">
                  <c:v>2854</c:v>
                </c:pt>
                <c:pt idx="230">
                  <c:v>2613</c:v>
                </c:pt>
                <c:pt idx="231">
                  <c:v>2549</c:v>
                </c:pt>
                <c:pt idx="232">
                  <c:v>2922</c:v>
                </c:pt>
                <c:pt idx="233">
                  <c:v>2991</c:v>
                </c:pt>
                <c:pt idx="234">
                  <c:v>3204</c:v>
                </c:pt>
                <c:pt idx="235">
                  <c:v>2172</c:v>
                </c:pt>
                <c:pt idx="236">
                  <c:v>2376</c:v>
                </c:pt>
                <c:pt idx="237">
                  <c:v>2212</c:v>
                </c:pt>
                <c:pt idx="238">
                  <c:v>2272</c:v>
                </c:pt>
                <c:pt idx="239">
                  <c:v>2404</c:v>
                </c:pt>
                <c:pt idx="240">
                  <c:v>2468</c:v>
                </c:pt>
                <c:pt idx="241">
                  <c:v>2481</c:v>
                </c:pt>
                <c:pt idx="242">
                  <c:v>2468</c:v>
                </c:pt>
                <c:pt idx="243">
                  <c:v>2518</c:v>
                </c:pt>
                <c:pt idx="244">
                  <c:v>2656</c:v>
                </c:pt>
              </c:numCache>
            </c:numRef>
          </c:val>
        </c:ser>
        <c:marker val="1"/>
        <c:axId val="136049408"/>
        <c:axId val="136050944"/>
      </c:lineChart>
      <c:catAx>
        <c:axId val="136037888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39424"/>
        <c:crosses val="autoZero"/>
        <c:lblAlgn val="ctr"/>
        <c:lblOffset val="100"/>
        <c:tickLblSkip val="10"/>
        <c:tickMarkSkip val="1"/>
      </c:catAx>
      <c:valAx>
        <c:axId val="136039424"/>
        <c:scaling>
          <c:orientation val="minMax"/>
          <c:max val="28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37888"/>
        <c:crosses val="autoZero"/>
        <c:crossBetween val="between"/>
        <c:majorUnit val="400"/>
      </c:valAx>
      <c:catAx>
        <c:axId val="136049408"/>
        <c:scaling>
          <c:orientation val="minMax"/>
        </c:scaling>
        <c:delete val="1"/>
        <c:axPos val="b"/>
        <c:numFmt formatCode="General" sourceLinked="1"/>
        <c:tickLblPos val="nextTo"/>
        <c:crossAx val="136050944"/>
        <c:crossesAt val="0"/>
        <c:lblAlgn val="ctr"/>
        <c:lblOffset val="100"/>
      </c:catAx>
      <c:valAx>
        <c:axId val="136050944"/>
        <c:scaling>
          <c:orientation val="minMax"/>
          <c:max val="45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049408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FKLI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2"/>
          <c:order val="0"/>
          <c:tx>
            <c:strRef>
              <c:f>[4]FKLI!$B$1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808080"/>
              </a:solidFill>
              <a:prstDash val="solid"/>
            </a:ln>
          </c:spPr>
          <c:cat>
            <c:numRef>
              <c:f>[4]FKLI!$A$1353:$A$1597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[4]FKLI!$B$1353:$B$1597</c:f>
              <c:numCache>
                <c:formatCode>General</c:formatCode>
                <c:ptCount val="245"/>
                <c:pt idx="0">
                  <c:v>598.72</c:v>
                </c:pt>
                <c:pt idx="1">
                  <c:v>600.86</c:v>
                </c:pt>
                <c:pt idx="2">
                  <c:v>589.41999999999996</c:v>
                </c:pt>
                <c:pt idx="3">
                  <c:v>584.82000000000005</c:v>
                </c:pt>
                <c:pt idx="4">
                  <c:v>589.92999999999995</c:v>
                </c:pt>
                <c:pt idx="5">
                  <c:v>586.11</c:v>
                </c:pt>
                <c:pt idx="6">
                  <c:v>592</c:v>
                </c:pt>
                <c:pt idx="7">
                  <c:v>587.89</c:v>
                </c:pt>
                <c:pt idx="8">
                  <c:v>590.42999999999995</c:v>
                </c:pt>
                <c:pt idx="9">
                  <c:v>595.24</c:v>
                </c:pt>
                <c:pt idx="10">
                  <c:v>590.65</c:v>
                </c:pt>
                <c:pt idx="11">
                  <c:v>586.96</c:v>
                </c:pt>
                <c:pt idx="12">
                  <c:v>592.99</c:v>
                </c:pt>
                <c:pt idx="13">
                  <c:v>586.25</c:v>
                </c:pt>
                <c:pt idx="14">
                  <c:v>591.17999999999995</c:v>
                </c:pt>
                <c:pt idx="15">
                  <c:v>598.14</c:v>
                </c:pt>
                <c:pt idx="16">
                  <c:v>617.14</c:v>
                </c:pt>
                <c:pt idx="17">
                  <c:v>626.80999999999995</c:v>
                </c:pt>
                <c:pt idx="18">
                  <c:v>627.70000000000005</c:v>
                </c:pt>
                <c:pt idx="19">
                  <c:v>626.23</c:v>
                </c:pt>
                <c:pt idx="20">
                  <c:v>618.01</c:v>
                </c:pt>
                <c:pt idx="21">
                  <c:v>609.83000000000004</c:v>
                </c:pt>
                <c:pt idx="22">
                  <c:v>621.03</c:v>
                </c:pt>
                <c:pt idx="23">
                  <c:v>631.1</c:v>
                </c:pt>
                <c:pt idx="24">
                  <c:v>637.4</c:v>
                </c:pt>
                <c:pt idx="25">
                  <c:v>644.79999999999995</c:v>
                </c:pt>
                <c:pt idx="26">
                  <c:v>649.49</c:v>
                </c:pt>
                <c:pt idx="27">
                  <c:v>648.78</c:v>
                </c:pt>
                <c:pt idx="28">
                  <c:v>637.33000000000004</c:v>
                </c:pt>
                <c:pt idx="29">
                  <c:v>636.59</c:v>
                </c:pt>
                <c:pt idx="30">
                  <c:v>643.77</c:v>
                </c:pt>
                <c:pt idx="31">
                  <c:v>642.79</c:v>
                </c:pt>
                <c:pt idx="32">
                  <c:v>646.33000000000004</c:v>
                </c:pt>
                <c:pt idx="33">
                  <c:v>657.51</c:v>
                </c:pt>
                <c:pt idx="34">
                  <c:v>659.4</c:v>
                </c:pt>
                <c:pt idx="35">
                  <c:v>662.96</c:v>
                </c:pt>
                <c:pt idx="36">
                  <c:v>661.65</c:v>
                </c:pt>
                <c:pt idx="37">
                  <c:v>659.25</c:v>
                </c:pt>
                <c:pt idx="38">
                  <c:v>654.02</c:v>
                </c:pt>
                <c:pt idx="39">
                  <c:v>657.65</c:v>
                </c:pt>
                <c:pt idx="40">
                  <c:v>656.82</c:v>
                </c:pt>
                <c:pt idx="41">
                  <c:v>652.09</c:v>
                </c:pt>
                <c:pt idx="42">
                  <c:v>648.05999999999995</c:v>
                </c:pt>
                <c:pt idx="43">
                  <c:v>648.32000000000005</c:v>
                </c:pt>
                <c:pt idx="44">
                  <c:v>657.72</c:v>
                </c:pt>
                <c:pt idx="45">
                  <c:v>656.26</c:v>
                </c:pt>
                <c:pt idx="46">
                  <c:v>655.15</c:v>
                </c:pt>
                <c:pt idx="47">
                  <c:v>655.76</c:v>
                </c:pt>
                <c:pt idx="48">
                  <c:v>654.41999999999996</c:v>
                </c:pt>
                <c:pt idx="49">
                  <c:v>653.77</c:v>
                </c:pt>
                <c:pt idx="50">
                  <c:v>657.11</c:v>
                </c:pt>
                <c:pt idx="51">
                  <c:v>669.86</c:v>
                </c:pt>
                <c:pt idx="52">
                  <c:v>682.87</c:v>
                </c:pt>
                <c:pt idx="53">
                  <c:v>694.22</c:v>
                </c:pt>
                <c:pt idx="54">
                  <c:v>691.47</c:v>
                </c:pt>
                <c:pt idx="55">
                  <c:v>689.05</c:v>
                </c:pt>
                <c:pt idx="56">
                  <c:v>687.16</c:v>
                </c:pt>
                <c:pt idx="57">
                  <c:v>690.45</c:v>
                </c:pt>
                <c:pt idx="58">
                  <c:v>687.73</c:v>
                </c:pt>
                <c:pt idx="59">
                  <c:v>688.9</c:v>
                </c:pt>
                <c:pt idx="60">
                  <c:v>688</c:v>
                </c:pt>
                <c:pt idx="61">
                  <c:v>696.65</c:v>
                </c:pt>
                <c:pt idx="62">
                  <c:v>695.28</c:v>
                </c:pt>
                <c:pt idx="63">
                  <c:v>690.54</c:v>
                </c:pt>
                <c:pt idx="64">
                  <c:v>664.52</c:v>
                </c:pt>
                <c:pt idx="65">
                  <c:v>644.53</c:v>
                </c:pt>
                <c:pt idx="66">
                  <c:v>609</c:v>
                </c:pt>
                <c:pt idx="67">
                  <c:v>607.64</c:v>
                </c:pt>
                <c:pt idx="68">
                  <c:v>633.52</c:v>
                </c:pt>
                <c:pt idx="69">
                  <c:v>629.74</c:v>
                </c:pt>
                <c:pt idx="70">
                  <c:v>607.91</c:v>
                </c:pt>
                <c:pt idx="71">
                  <c:v>605.44000000000005</c:v>
                </c:pt>
                <c:pt idx="72">
                  <c:v>605.95000000000005</c:v>
                </c:pt>
                <c:pt idx="73">
                  <c:v>602.51</c:v>
                </c:pt>
                <c:pt idx="74">
                  <c:v>612.64</c:v>
                </c:pt>
                <c:pt idx="75">
                  <c:v>615.34</c:v>
                </c:pt>
                <c:pt idx="76">
                  <c:v>613.95000000000005</c:v>
                </c:pt>
                <c:pt idx="77">
                  <c:v>616.74</c:v>
                </c:pt>
                <c:pt idx="78">
                  <c:v>610.5</c:v>
                </c:pt>
                <c:pt idx="79">
                  <c:v>611.04999999999995</c:v>
                </c:pt>
                <c:pt idx="80">
                  <c:v>609</c:v>
                </c:pt>
                <c:pt idx="81">
                  <c:v>599.77</c:v>
                </c:pt>
                <c:pt idx="82">
                  <c:v>609.66</c:v>
                </c:pt>
                <c:pt idx="83">
                  <c:v>603.9</c:v>
                </c:pt>
                <c:pt idx="84">
                  <c:v>609.39</c:v>
                </c:pt>
                <c:pt idx="85">
                  <c:v>611.32000000000005</c:v>
                </c:pt>
                <c:pt idx="86">
                  <c:v>618.9</c:v>
                </c:pt>
                <c:pt idx="87">
                  <c:v>616.85</c:v>
                </c:pt>
                <c:pt idx="88">
                  <c:v>621.58000000000004</c:v>
                </c:pt>
                <c:pt idx="89">
                  <c:v>620.77</c:v>
                </c:pt>
                <c:pt idx="90">
                  <c:v>615.02</c:v>
                </c:pt>
                <c:pt idx="91">
                  <c:v>609.09</c:v>
                </c:pt>
                <c:pt idx="92">
                  <c:v>613.62</c:v>
                </c:pt>
                <c:pt idx="93">
                  <c:v>616.4</c:v>
                </c:pt>
                <c:pt idx="94">
                  <c:v>615.11</c:v>
                </c:pt>
                <c:pt idx="95">
                  <c:v>612.41</c:v>
                </c:pt>
                <c:pt idx="96">
                  <c:v>605.79999999999995</c:v>
                </c:pt>
                <c:pt idx="97">
                  <c:v>603.19000000000005</c:v>
                </c:pt>
                <c:pt idx="98">
                  <c:v>600.07000000000005</c:v>
                </c:pt>
                <c:pt idx="99">
                  <c:v>596.02</c:v>
                </c:pt>
                <c:pt idx="100">
                  <c:v>596.65</c:v>
                </c:pt>
                <c:pt idx="101">
                  <c:v>592.85</c:v>
                </c:pt>
                <c:pt idx="102">
                  <c:v>592.75</c:v>
                </c:pt>
                <c:pt idx="103">
                  <c:v>592.26</c:v>
                </c:pt>
                <c:pt idx="104">
                  <c:v>598.57000000000005</c:v>
                </c:pt>
                <c:pt idx="105">
                  <c:v>599.45000000000005</c:v>
                </c:pt>
                <c:pt idx="106">
                  <c:v>603.67999999999995</c:v>
                </c:pt>
                <c:pt idx="107">
                  <c:v>612.72</c:v>
                </c:pt>
                <c:pt idx="108">
                  <c:v>632.5</c:v>
                </c:pt>
                <c:pt idx="109">
                  <c:v>635.30999999999995</c:v>
                </c:pt>
                <c:pt idx="110">
                  <c:v>628.14</c:v>
                </c:pt>
                <c:pt idx="111">
                  <c:v>625.38</c:v>
                </c:pt>
                <c:pt idx="112">
                  <c:v>632.91</c:v>
                </c:pt>
                <c:pt idx="113">
                  <c:v>639.53</c:v>
                </c:pt>
                <c:pt idx="114">
                  <c:v>640.48</c:v>
                </c:pt>
                <c:pt idx="115">
                  <c:v>638.35</c:v>
                </c:pt>
                <c:pt idx="116">
                  <c:v>641.05999999999995</c:v>
                </c:pt>
                <c:pt idx="117">
                  <c:v>641.95000000000005</c:v>
                </c:pt>
                <c:pt idx="118">
                  <c:v>638.02</c:v>
                </c:pt>
                <c:pt idx="119">
                  <c:v>643.35</c:v>
                </c:pt>
                <c:pt idx="120">
                  <c:v>647.51</c:v>
                </c:pt>
                <c:pt idx="121">
                  <c:v>653.01</c:v>
                </c:pt>
                <c:pt idx="122">
                  <c:v>656.38</c:v>
                </c:pt>
                <c:pt idx="123">
                  <c:v>661.52</c:v>
                </c:pt>
                <c:pt idx="124">
                  <c:v>667.11</c:v>
                </c:pt>
                <c:pt idx="125">
                  <c:v>668.09</c:v>
                </c:pt>
                <c:pt idx="126">
                  <c:v>669.22</c:v>
                </c:pt>
                <c:pt idx="127">
                  <c:v>662.01</c:v>
                </c:pt>
                <c:pt idx="128">
                  <c:v>664.12</c:v>
                </c:pt>
                <c:pt idx="129">
                  <c:v>662.45</c:v>
                </c:pt>
                <c:pt idx="130">
                  <c:v>665.05</c:v>
                </c:pt>
                <c:pt idx="131">
                  <c:v>669.58</c:v>
                </c:pt>
                <c:pt idx="132">
                  <c:v>679.3</c:v>
                </c:pt>
                <c:pt idx="133">
                  <c:v>687.72</c:v>
                </c:pt>
                <c:pt idx="134">
                  <c:v>691.64</c:v>
                </c:pt>
                <c:pt idx="135">
                  <c:v>696.09</c:v>
                </c:pt>
                <c:pt idx="136">
                  <c:v>682.83</c:v>
                </c:pt>
                <c:pt idx="137">
                  <c:v>683.48</c:v>
                </c:pt>
                <c:pt idx="138">
                  <c:v>693.47</c:v>
                </c:pt>
                <c:pt idx="139">
                  <c:v>697.11</c:v>
                </c:pt>
                <c:pt idx="140">
                  <c:v>692.21</c:v>
                </c:pt>
                <c:pt idx="141">
                  <c:v>700.47</c:v>
                </c:pt>
                <c:pt idx="142">
                  <c:v>704.99</c:v>
                </c:pt>
                <c:pt idx="143">
                  <c:v>703.04</c:v>
                </c:pt>
                <c:pt idx="144">
                  <c:v>698.45</c:v>
                </c:pt>
                <c:pt idx="145">
                  <c:v>700.47</c:v>
                </c:pt>
                <c:pt idx="146">
                  <c:v>700.62</c:v>
                </c:pt>
                <c:pt idx="147">
                  <c:v>697.87</c:v>
                </c:pt>
                <c:pt idx="148">
                  <c:v>698.53</c:v>
                </c:pt>
                <c:pt idx="149">
                  <c:v>695.94</c:v>
                </c:pt>
                <c:pt idx="150">
                  <c:v>690.23</c:v>
                </c:pt>
                <c:pt idx="151">
                  <c:v>688.56</c:v>
                </c:pt>
                <c:pt idx="152">
                  <c:v>685.95</c:v>
                </c:pt>
                <c:pt idx="153">
                  <c:v>693.58</c:v>
                </c:pt>
                <c:pt idx="154">
                  <c:v>705.61</c:v>
                </c:pt>
                <c:pt idx="155">
                  <c:v>706.32</c:v>
                </c:pt>
                <c:pt idx="156">
                  <c:v>710</c:v>
                </c:pt>
                <c:pt idx="157">
                  <c:v>718.82</c:v>
                </c:pt>
                <c:pt idx="158">
                  <c:v>723.54</c:v>
                </c:pt>
                <c:pt idx="159">
                  <c:v>720.33</c:v>
                </c:pt>
                <c:pt idx="160">
                  <c:v>715.22</c:v>
                </c:pt>
                <c:pt idx="161">
                  <c:v>707.68</c:v>
                </c:pt>
                <c:pt idx="162">
                  <c:v>710.92</c:v>
                </c:pt>
                <c:pt idx="163">
                  <c:v>714.81</c:v>
                </c:pt>
                <c:pt idx="164">
                  <c:v>721.58</c:v>
                </c:pt>
                <c:pt idx="165">
                  <c:v>721.13</c:v>
                </c:pt>
                <c:pt idx="166">
                  <c:v>729.73</c:v>
                </c:pt>
                <c:pt idx="167">
                  <c:v>722.79</c:v>
                </c:pt>
                <c:pt idx="168">
                  <c:v>717.39</c:v>
                </c:pt>
                <c:pt idx="169">
                  <c:v>710.61</c:v>
                </c:pt>
                <c:pt idx="170">
                  <c:v>701.31</c:v>
                </c:pt>
                <c:pt idx="171">
                  <c:v>701.9</c:v>
                </c:pt>
                <c:pt idx="172">
                  <c:v>703.92</c:v>
                </c:pt>
                <c:pt idx="173">
                  <c:v>708.91</c:v>
                </c:pt>
                <c:pt idx="174">
                  <c:v>717.57</c:v>
                </c:pt>
                <c:pt idx="175">
                  <c:v>724.9</c:v>
                </c:pt>
                <c:pt idx="176">
                  <c:v>736.69</c:v>
                </c:pt>
                <c:pt idx="177">
                  <c:v>737.05</c:v>
                </c:pt>
                <c:pt idx="178">
                  <c:v>741.72</c:v>
                </c:pt>
                <c:pt idx="179">
                  <c:v>747.63</c:v>
                </c:pt>
                <c:pt idx="180">
                  <c:v>761.01</c:v>
                </c:pt>
                <c:pt idx="181">
                  <c:v>753.62</c:v>
                </c:pt>
                <c:pt idx="182">
                  <c:v>754.51</c:v>
                </c:pt>
                <c:pt idx="183">
                  <c:v>751.64</c:v>
                </c:pt>
                <c:pt idx="184">
                  <c:v>757.44</c:v>
                </c:pt>
                <c:pt idx="185">
                  <c:v>754.27</c:v>
                </c:pt>
                <c:pt idx="186">
                  <c:v>754.95</c:v>
                </c:pt>
                <c:pt idx="187">
                  <c:v>756.22</c:v>
                </c:pt>
                <c:pt idx="188">
                  <c:v>752.63</c:v>
                </c:pt>
                <c:pt idx="189">
                  <c:v>746.26</c:v>
                </c:pt>
                <c:pt idx="190">
                  <c:v>751.3</c:v>
                </c:pt>
                <c:pt idx="191">
                  <c:v>756.51</c:v>
                </c:pt>
                <c:pt idx="192">
                  <c:v>755.05</c:v>
                </c:pt>
                <c:pt idx="193">
                  <c:v>756.1</c:v>
                </c:pt>
                <c:pt idx="194">
                  <c:v>757.39</c:v>
                </c:pt>
                <c:pt idx="195">
                  <c:v>755.42</c:v>
                </c:pt>
                <c:pt idx="196">
                  <c:v>755.47</c:v>
                </c:pt>
                <c:pt idx="197">
                  <c:v>752.41</c:v>
                </c:pt>
                <c:pt idx="198">
                  <c:v>761.42</c:v>
                </c:pt>
                <c:pt idx="199">
                  <c:v>772.26</c:v>
                </c:pt>
                <c:pt idx="200">
                  <c:v>775.88</c:v>
                </c:pt>
                <c:pt idx="201">
                  <c:v>774.58</c:v>
                </c:pt>
                <c:pt idx="202">
                  <c:v>774.76</c:v>
                </c:pt>
                <c:pt idx="203">
                  <c:v>776.21</c:v>
                </c:pt>
                <c:pt idx="204">
                  <c:v>784.54</c:v>
                </c:pt>
                <c:pt idx="205">
                  <c:v>782.12</c:v>
                </c:pt>
                <c:pt idx="206">
                  <c:v>792.14</c:v>
                </c:pt>
                <c:pt idx="207">
                  <c:v>787.23</c:v>
                </c:pt>
                <c:pt idx="208">
                  <c:v>798.35</c:v>
                </c:pt>
                <c:pt idx="209">
                  <c:v>807.3</c:v>
                </c:pt>
                <c:pt idx="210">
                  <c:v>808.07</c:v>
                </c:pt>
                <c:pt idx="211">
                  <c:v>799.51</c:v>
                </c:pt>
                <c:pt idx="212">
                  <c:v>801.37</c:v>
                </c:pt>
                <c:pt idx="213">
                  <c:v>790.75</c:v>
                </c:pt>
                <c:pt idx="214">
                  <c:v>793.99</c:v>
                </c:pt>
                <c:pt idx="215">
                  <c:v>795.35</c:v>
                </c:pt>
                <c:pt idx="216">
                  <c:v>794.66</c:v>
                </c:pt>
                <c:pt idx="217">
                  <c:v>795.1</c:v>
                </c:pt>
                <c:pt idx="218">
                  <c:v>789.93</c:v>
                </c:pt>
                <c:pt idx="219">
                  <c:v>794.47</c:v>
                </c:pt>
                <c:pt idx="220">
                  <c:v>794.66</c:v>
                </c:pt>
                <c:pt idx="221">
                  <c:v>788.54</c:v>
                </c:pt>
                <c:pt idx="222">
                  <c:v>786.03</c:v>
                </c:pt>
                <c:pt idx="223">
                  <c:v>785.51</c:v>
                </c:pt>
                <c:pt idx="224">
                  <c:v>786.75</c:v>
                </c:pt>
                <c:pt idx="225">
                  <c:v>786.38</c:v>
                </c:pt>
                <c:pt idx="226">
                  <c:v>787.85</c:v>
                </c:pt>
                <c:pt idx="227">
                  <c:v>784.56</c:v>
                </c:pt>
                <c:pt idx="228">
                  <c:v>781.72</c:v>
                </c:pt>
                <c:pt idx="229">
                  <c:v>772.94</c:v>
                </c:pt>
                <c:pt idx="230">
                  <c:v>767.59</c:v>
                </c:pt>
                <c:pt idx="231">
                  <c:v>765.86</c:v>
                </c:pt>
                <c:pt idx="232">
                  <c:v>761.3</c:v>
                </c:pt>
                <c:pt idx="233">
                  <c:v>763.14</c:v>
                </c:pt>
                <c:pt idx="234">
                  <c:v>759.33</c:v>
                </c:pt>
                <c:pt idx="235">
                  <c:v>741.76</c:v>
                </c:pt>
                <c:pt idx="236">
                  <c:v>749</c:v>
                </c:pt>
                <c:pt idx="237">
                  <c:v>750.56</c:v>
                </c:pt>
                <c:pt idx="238">
                  <c:v>746.93</c:v>
                </c:pt>
                <c:pt idx="239">
                  <c:v>752.88</c:v>
                </c:pt>
                <c:pt idx="240">
                  <c:v>755.21</c:v>
                </c:pt>
                <c:pt idx="241">
                  <c:v>755.23</c:v>
                </c:pt>
                <c:pt idx="242">
                  <c:v>750.39</c:v>
                </c:pt>
                <c:pt idx="243">
                  <c:v>750.57</c:v>
                </c:pt>
                <c:pt idx="244">
                  <c:v>753.39</c:v>
                </c:pt>
              </c:numCache>
            </c:numRef>
          </c:val>
        </c:ser>
        <c:axId val="135875584"/>
        <c:axId val="135897856"/>
      </c:areaChart>
      <c:lineChart>
        <c:grouping val="standard"/>
        <c:ser>
          <c:idx val="3"/>
          <c:order val="1"/>
          <c:tx>
            <c:strRef>
              <c:f>[4]FKLI!$C$1</c:f>
              <c:strCache>
                <c:ptCount val="1"/>
                <c:pt idx="0">
                  <c:v>FKLI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[4]FKLI!$A$1353:$A$1597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[4]FKLI!$C$1353:$C$1597</c:f>
              <c:numCache>
                <c:formatCode>General</c:formatCode>
                <c:ptCount val="245"/>
                <c:pt idx="0">
                  <c:v>588</c:v>
                </c:pt>
                <c:pt idx="1">
                  <c:v>587.6</c:v>
                </c:pt>
                <c:pt idx="2">
                  <c:v>580</c:v>
                </c:pt>
                <c:pt idx="3">
                  <c:v>582.6</c:v>
                </c:pt>
                <c:pt idx="4">
                  <c:v>591.5</c:v>
                </c:pt>
                <c:pt idx="5">
                  <c:v>582.5</c:v>
                </c:pt>
                <c:pt idx="6">
                  <c:v>587</c:v>
                </c:pt>
                <c:pt idx="7">
                  <c:v>585</c:v>
                </c:pt>
                <c:pt idx="8">
                  <c:v>588</c:v>
                </c:pt>
                <c:pt idx="9">
                  <c:v>594.4</c:v>
                </c:pt>
                <c:pt idx="10">
                  <c:v>588.70000000000005</c:v>
                </c:pt>
                <c:pt idx="11">
                  <c:v>583.29999999999995</c:v>
                </c:pt>
                <c:pt idx="12">
                  <c:v>593.1</c:v>
                </c:pt>
                <c:pt idx="13">
                  <c:v>589.70000000000005</c:v>
                </c:pt>
                <c:pt idx="14">
                  <c:v>595.29999999999995</c:v>
                </c:pt>
                <c:pt idx="15">
                  <c:v>605</c:v>
                </c:pt>
                <c:pt idx="16">
                  <c:v>621.5</c:v>
                </c:pt>
                <c:pt idx="17">
                  <c:v>618.4</c:v>
                </c:pt>
                <c:pt idx="18">
                  <c:v>618.4</c:v>
                </c:pt>
                <c:pt idx="19">
                  <c:v>623.79999999999995</c:v>
                </c:pt>
                <c:pt idx="20">
                  <c:v>614</c:v>
                </c:pt>
                <c:pt idx="21">
                  <c:v>615.70000000000005</c:v>
                </c:pt>
                <c:pt idx="22">
                  <c:v>621.5</c:v>
                </c:pt>
                <c:pt idx="23">
                  <c:v>630.5</c:v>
                </c:pt>
                <c:pt idx="24">
                  <c:v>635</c:v>
                </c:pt>
                <c:pt idx="25">
                  <c:v>644.79999999999995</c:v>
                </c:pt>
                <c:pt idx="26">
                  <c:v>646.5</c:v>
                </c:pt>
                <c:pt idx="27">
                  <c:v>648.5</c:v>
                </c:pt>
                <c:pt idx="28">
                  <c:v>642</c:v>
                </c:pt>
                <c:pt idx="29">
                  <c:v>646.5</c:v>
                </c:pt>
                <c:pt idx="30">
                  <c:v>650.79999999999995</c:v>
                </c:pt>
                <c:pt idx="31">
                  <c:v>647</c:v>
                </c:pt>
                <c:pt idx="32">
                  <c:v>651.5</c:v>
                </c:pt>
                <c:pt idx="33">
                  <c:v>659.5</c:v>
                </c:pt>
                <c:pt idx="34">
                  <c:v>658.7</c:v>
                </c:pt>
                <c:pt idx="35">
                  <c:v>676.5</c:v>
                </c:pt>
                <c:pt idx="36">
                  <c:v>673.5</c:v>
                </c:pt>
                <c:pt idx="37">
                  <c:v>671.2</c:v>
                </c:pt>
                <c:pt idx="38">
                  <c:v>666</c:v>
                </c:pt>
                <c:pt idx="39">
                  <c:v>667.2</c:v>
                </c:pt>
                <c:pt idx="40">
                  <c:v>667.2</c:v>
                </c:pt>
                <c:pt idx="41">
                  <c:v>653.9</c:v>
                </c:pt>
                <c:pt idx="42">
                  <c:v>653.1</c:v>
                </c:pt>
                <c:pt idx="43">
                  <c:v>648</c:v>
                </c:pt>
                <c:pt idx="44">
                  <c:v>667.5</c:v>
                </c:pt>
                <c:pt idx="45">
                  <c:v>660.9</c:v>
                </c:pt>
                <c:pt idx="46">
                  <c:v>658</c:v>
                </c:pt>
                <c:pt idx="47">
                  <c:v>661.8</c:v>
                </c:pt>
                <c:pt idx="48">
                  <c:v>660.5</c:v>
                </c:pt>
                <c:pt idx="49">
                  <c:v>659.3</c:v>
                </c:pt>
                <c:pt idx="50">
                  <c:v>666</c:v>
                </c:pt>
                <c:pt idx="51">
                  <c:v>672</c:v>
                </c:pt>
                <c:pt idx="52">
                  <c:v>685.5</c:v>
                </c:pt>
                <c:pt idx="53">
                  <c:v>692.8</c:v>
                </c:pt>
                <c:pt idx="54">
                  <c:v>687.5</c:v>
                </c:pt>
                <c:pt idx="55">
                  <c:v>687.8</c:v>
                </c:pt>
                <c:pt idx="56">
                  <c:v>685.5</c:v>
                </c:pt>
                <c:pt idx="57">
                  <c:v>700.6</c:v>
                </c:pt>
                <c:pt idx="58">
                  <c:v>696</c:v>
                </c:pt>
                <c:pt idx="59">
                  <c:v>695.5</c:v>
                </c:pt>
                <c:pt idx="60">
                  <c:v>693</c:v>
                </c:pt>
                <c:pt idx="61">
                  <c:v>707</c:v>
                </c:pt>
                <c:pt idx="62">
                  <c:v>707.9</c:v>
                </c:pt>
                <c:pt idx="63">
                  <c:v>701</c:v>
                </c:pt>
                <c:pt idx="64">
                  <c:v>672.6</c:v>
                </c:pt>
                <c:pt idx="65">
                  <c:v>645.6</c:v>
                </c:pt>
                <c:pt idx="66">
                  <c:v>612</c:v>
                </c:pt>
                <c:pt idx="67">
                  <c:v>601.9</c:v>
                </c:pt>
                <c:pt idx="68">
                  <c:v>627.9</c:v>
                </c:pt>
                <c:pt idx="69">
                  <c:v>622.5</c:v>
                </c:pt>
                <c:pt idx="70">
                  <c:v>601.1</c:v>
                </c:pt>
                <c:pt idx="71">
                  <c:v>612</c:v>
                </c:pt>
                <c:pt idx="72">
                  <c:v>603.6</c:v>
                </c:pt>
                <c:pt idx="73">
                  <c:v>604.5</c:v>
                </c:pt>
                <c:pt idx="74">
                  <c:v>613.5</c:v>
                </c:pt>
                <c:pt idx="75">
                  <c:v>614.70000000000005</c:v>
                </c:pt>
                <c:pt idx="76">
                  <c:v>608.1</c:v>
                </c:pt>
                <c:pt idx="77">
                  <c:v>612.5</c:v>
                </c:pt>
                <c:pt idx="78">
                  <c:v>610.5</c:v>
                </c:pt>
                <c:pt idx="79">
                  <c:v>613.70000000000005</c:v>
                </c:pt>
                <c:pt idx="80">
                  <c:v>612.5</c:v>
                </c:pt>
                <c:pt idx="81">
                  <c:v>591.79999999999995</c:v>
                </c:pt>
                <c:pt idx="82">
                  <c:v>606.70000000000005</c:v>
                </c:pt>
                <c:pt idx="83">
                  <c:v>601.5</c:v>
                </c:pt>
                <c:pt idx="84">
                  <c:v>609</c:v>
                </c:pt>
                <c:pt idx="85">
                  <c:v>606.6</c:v>
                </c:pt>
                <c:pt idx="86">
                  <c:v>614</c:v>
                </c:pt>
                <c:pt idx="87">
                  <c:v>615.6</c:v>
                </c:pt>
                <c:pt idx="88">
                  <c:v>623</c:v>
                </c:pt>
                <c:pt idx="89">
                  <c:v>616.20000000000005</c:v>
                </c:pt>
                <c:pt idx="90">
                  <c:v>609.1</c:v>
                </c:pt>
                <c:pt idx="91">
                  <c:v>605.20000000000005</c:v>
                </c:pt>
                <c:pt idx="92">
                  <c:v>611</c:v>
                </c:pt>
                <c:pt idx="93">
                  <c:v>614.6</c:v>
                </c:pt>
                <c:pt idx="94">
                  <c:v>612.6</c:v>
                </c:pt>
                <c:pt idx="95">
                  <c:v>611</c:v>
                </c:pt>
                <c:pt idx="96">
                  <c:v>607</c:v>
                </c:pt>
                <c:pt idx="97">
                  <c:v>605.29999999999995</c:v>
                </c:pt>
                <c:pt idx="98">
                  <c:v>599.1</c:v>
                </c:pt>
                <c:pt idx="99">
                  <c:v>602</c:v>
                </c:pt>
                <c:pt idx="100">
                  <c:v>602.29999999999995</c:v>
                </c:pt>
                <c:pt idx="101">
                  <c:v>598.6</c:v>
                </c:pt>
                <c:pt idx="102">
                  <c:v>598.79999999999995</c:v>
                </c:pt>
                <c:pt idx="103">
                  <c:v>597.5</c:v>
                </c:pt>
                <c:pt idx="104">
                  <c:v>605.20000000000005</c:v>
                </c:pt>
                <c:pt idx="105">
                  <c:v>604.4</c:v>
                </c:pt>
                <c:pt idx="106">
                  <c:v>609</c:v>
                </c:pt>
                <c:pt idx="107">
                  <c:v>614.4</c:v>
                </c:pt>
                <c:pt idx="108">
                  <c:v>639.5</c:v>
                </c:pt>
                <c:pt idx="109">
                  <c:v>639.20000000000005</c:v>
                </c:pt>
                <c:pt idx="110">
                  <c:v>637.4</c:v>
                </c:pt>
                <c:pt idx="111">
                  <c:v>633.6</c:v>
                </c:pt>
                <c:pt idx="112">
                  <c:v>642</c:v>
                </c:pt>
                <c:pt idx="113">
                  <c:v>649</c:v>
                </c:pt>
                <c:pt idx="114">
                  <c:v>645.5</c:v>
                </c:pt>
                <c:pt idx="115">
                  <c:v>639</c:v>
                </c:pt>
                <c:pt idx="116">
                  <c:v>642</c:v>
                </c:pt>
                <c:pt idx="117">
                  <c:v>639.4</c:v>
                </c:pt>
                <c:pt idx="118">
                  <c:v>638.5</c:v>
                </c:pt>
                <c:pt idx="119">
                  <c:v>646.70000000000005</c:v>
                </c:pt>
                <c:pt idx="120">
                  <c:v>656.8</c:v>
                </c:pt>
                <c:pt idx="121">
                  <c:v>663</c:v>
                </c:pt>
                <c:pt idx="122">
                  <c:v>666.5</c:v>
                </c:pt>
                <c:pt idx="123">
                  <c:v>673</c:v>
                </c:pt>
                <c:pt idx="124">
                  <c:v>672.1</c:v>
                </c:pt>
                <c:pt idx="125">
                  <c:v>671.8</c:v>
                </c:pt>
                <c:pt idx="126">
                  <c:v>671.5</c:v>
                </c:pt>
                <c:pt idx="127">
                  <c:v>661</c:v>
                </c:pt>
                <c:pt idx="128">
                  <c:v>669.7</c:v>
                </c:pt>
                <c:pt idx="129">
                  <c:v>670</c:v>
                </c:pt>
                <c:pt idx="130">
                  <c:v>666.5</c:v>
                </c:pt>
                <c:pt idx="131">
                  <c:v>672</c:v>
                </c:pt>
                <c:pt idx="132">
                  <c:v>684.5</c:v>
                </c:pt>
                <c:pt idx="133">
                  <c:v>688.8</c:v>
                </c:pt>
                <c:pt idx="134">
                  <c:v>688.5</c:v>
                </c:pt>
                <c:pt idx="135">
                  <c:v>691.2</c:v>
                </c:pt>
                <c:pt idx="136">
                  <c:v>695</c:v>
                </c:pt>
                <c:pt idx="137">
                  <c:v>698.5</c:v>
                </c:pt>
                <c:pt idx="138">
                  <c:v>707.7</c:v>
                </c:pt>
                <c:pt idx="139">
                  <c:v>704.2</c:v>
                </c:pt>
                <c:pt idx="140">
                  <c:v>707</c:v>
                </c:pt>
                <c:pt idx="141">
                  <c:v>714.61</c:v>
                </c:pt>
                <c:pt idx="142">
                  <c:v>715.2</c:v>
                </c:pt>
                <c:pt idx="143">
                  <c:v>712.5</c:v>
                </c:pt>
                <c:pt idx="144">
                  <c:v>712.4</c:v>
                </c:pt>
                <c:pt idx="145">
                  <c:v>715.5</c:v>
                </c:pt>
                <c:pt idx="146">
                  <c:v>712.3</c:v>
                </c:pt>
                <c:pt idx="147">
                  <c:v>713.5</c:v>
                </c:pt>
                <c:pt idx="148">
                  <c:v>707.5</c:v>
                </c:pt>
                <c:pt idx="149">
                  <c:v>706</c:v>
                </c:pt>
                <c:pt idx="150">
                  <c:v>698.2</c:v>
                </c:pt>
                <c:pt idx="151">
                  <c:v>694.9</c:v>
                </c:pt>
                <c:pt idx="152">
                  <c:v>692.7</c:v>
                </c:pt>
                <c:pt idx="153">
                  <c:v>703</c:v>
                </c:pt>
                <c:pt idx="154">
                  <c:v>714.5</c:v>
                </c:pt>
                <c:pt idx="155">
                  <c:v>705.9</c:v>
                </c:pt>
                <c:pt idx="156">
                  <c:v>713</c:v>
                </c:pt>
                <c:pt idx="157">
                  <c:v>715.5</c:v>
                </c:pt>
                <c:pt idx="158">
                  <c:v>732.9</c:v>
                </c:pt>
                <c:pt idx="159">
                  <c:v>732.6</c:v>
                </c:pt>
                <c:pt idx="160">
                  <c:v>731.5</c:v>
                </c:pt>
                <c:pt idx="161">
                  <c:v>725.4</c:v>
                </c:pt>
                <c:pt idx="162">
                  <c:v>727.7</c:v>
                </c:pt>
                <c:pt idx="163">
                  <c:v>734</c:v>
                </c:pt>
                <c:pt idx="164">
                  <c:v>734.9</c:v>
                </c:pt>
                <c:pt idx="165">
                  <c:v>732.5</c:v>
                </c:pt>
                <c:pt idx="166">
                  <c:v>732.5</c:v>
                </c:pt>
                <c:pt idx="167">
                  <c:v>729.6</c:v>
                </c:pt>
                <c:pt idx="168">
                  <c:v>724</c:v>
                </c:pt>
                <c:pt idx="169">
                  <c:v>712.9</c:v>
                </c:pt>
                <c:pt idx="170">
                  <c:v>707.4</c:v>
                </c:pt>
                <c:pt idx="171">
                  <c:v>707.2</c:v>
                </c:pt>
                <c:pt idx="172">
                  <c:v>708.5</c:v>
                </c:pt>
                <c:pt idx="173">
                  <c:v>708.7</c:v>
                </c:pt>
                <c:pt idx="174">
                  <c:v>728.9</c:v>
                </c:pt>
                <c:pt idx="175">
                  <c:v>735.2</c:v>
                </c:pt>
                <c:pt idx="176">
                  <c:v>736.5</c:v>
                </c:pt>
                <c:pt idx="177">
                  <c:v>738.8</c:v>
                </c:pt>
                <c:pt idx="178">
                  <c:v>748.9</c:v>
                </c:pt>
                <c:pt idx="179">
                  <c:v>757</c:v>
                </c:pt>
                <c:pt idx="180">
                  <c:v>761.5</c:v>
                </c:pt>
                <c:pt idx="181">
                  <c:v>751.5</c:v>
                </c:pt>
                <c:pt idx="182">
                  <c:v>757</c:v>
                </c:pt>
                <c:pt idx="183">
                  <c:v>752.9</c:v>
                </c:pt>
                <c:pt idx="184">
                  <c:v>764</c:v>
                </c:pt>
                <c:pt idx="185">
                  <c:v>759.9</c:v>
                </c:pt>
                <c:pt idx="186">
                  <c:v>758.5</c:v>
                </c:pt>
                <c:pt idx="187">
                  <c:v>761.2</c:v>
                </c:pt>
                <c:pt idx="188">
                  <c:v>756.3</c:v>
                </c:pt>
                <c:pt idx="189">
                  <c:v>745.3</c:v>
                </c:pt>
                <c:pt idx="190">
                  <c:v>753.1</c:v>
                </c:pt>
                <c:pt idx="191">
                  <c:v>758</c:v>
                </c:pt>
                <c:pt idx="192">
                  <c:v>757</c:v>
                </c:pt>
                <c:pt idx="193">
                  <c:v>756.1</c:v>
                </c:pt>
                <c:pt idx="194">
                  <c:v>757.5</c:v>
                </c:pt>
                <c:pt idx="195">
                  <c:v>756.2</c:v>
                </c:pt>
                <c:pt idx="196">
                  <c:v>758</c:v>
                </c:pt>
                <c:pt idx="197">
                  <c:v>756.5</c:v>
                </c:pt>
                <c:pt idx="198">
                  <c:v>772</c:v>
                </c:pt>
                <c:pt idx="199">
                  <c:v>780.5</c:v>
                </c:pt>
                <c:pt idx="200">
                  <c:v>779.5</c:v>
                </c:pt>
                <c:pt idx="201">
                  <c:v>773.5</c:v>
                </c:pt>
                <c:pt idx="202">
                  <c:v>776.7</c:v>
                </c:pt>
                <c:pt idx="203">
                  <c:v>780.7</c:v>
                </c:pt>
                <c:pt idx="204">
                  <c:v>788</c:v>
                </c:pt>
                <c:pt idx="205">
                  <c:v>788.5</c:v>
                </c:pt>
                <c:pt idx="206">
                  <c:v>795.5</c:v>
                </c:pt>
                <c:pt idx="207">
                  <c:v>789.5</c:v>
                </c:pt>
                <c:pt idx="208">
                  <c:v>801.1</c:v>
                </c:pt>
                <c:pt idx="209">
                  <c:v>805</c:v>
                </c:pt>
                <c:pt idx="210">
                  <c:v>807</c:v>
                </c:pt>
                <c:pt idx="211">
                  <c:v>802</c:v>
                </c:pt>
                <c:pt idx="212">
                  <c:v>803.8</c:v>
                </c:pt>
                <c:pt idx="213">
                  <c:v>793</c:v>
                </c:pt>
                <c:pt idx="214">
                  <c:v>791.8</c:v>
                </c:pt>
                <c:pt idx="215">
                  <c:v>798.5</c:v>
                </c:pt>
                <c:pt idx="216">
                  <c:v>806</c:v>
                </c:pt>
                <c:pt idx="217">
                  <c:v>803.5</c:v>
                </c:pt>
                <c:pt idx="218">
                  <c:v>800.3</c:v>
                </c:pt>
                <c:pt idx="219">
                  <c:v>808.8</c:v>
                </c:pt>
                <c:pt idx="220">
                  <c:v>803.5</c:v>
                </c:pt>
                <c:pt idx="221">
                  <c:v>798.9</c:v>
                </c:pt>
                <c:pt idx="222">
                  <c:v>796.1</c:v>
                </c:pt>
                <c:pt idx="223">
                  <c:v>793.5</c:v>
                </c:pt>
                <c:pt idx="224">
                  <c:v>795.1</c:v>
                </c:pt>
                <c:pt idx="225">
                  <c:v>796</c:v>
                </c:pt>
                <c:pt idx="226">
                  <c:v>800.2</c:v>
                </c:pt>
                <c:pt idx="227">
                  <c:v>787</c:v>
                </c:pt>
                <c:pt idx="228">
                  <c:v>783</c:v>
                </c:pt>
                <c:pt idx="229">
                  <c:v>774.4</c:v>
                </c:pt>
                <c:pt idx="230">
                  <c:v>770.2</c:v>
                </c:pt>
                <c:pt idx="231">
                  <c:v>771.2</c:v>
                </c:pt>
                <c:pt idx="232">
                  <c:v>763</c:v>
                </c:pt>
                <c:pt idx="233">
                  <c:v>765.1</c:v>
                </c:pt>
                <c:pt idx="234">
                  <c:v>761.6</c:v>
                </c:pt>
                <c:pt idx="235">
                  <c:v>744.8</c:v>
                </c:pt>
                <c:pt idx="236">
                  <c:v>757.1</c:v>
                </c:pt>
                <c:pt idx="237">
                  <c:v>753.8</c:v>
                </c:pt>
                <c:pt idx="238">
                  <c:v>751</c:v>
                </c:pt>
                <c:pt idx="239">
                  <c:v>752.5</c:v>
                </c:pt>
                <c:pt idx="240">
                  <c:v>755</c:v>
                </c:pt>
                <c:pt idx="241">
                  <c:v>757</c:v>
                </c:pt>
                <c:pt idx="242">
                  <c:v>750.39</c:v>
                </c:pt>
                <c:pt idx="243">
                  <c:v>751.6</c:v>
                </c:pt>
                <c:pt idx="244">
                  <c:v>752.5</c:v>
                </c:pt>
              </c:numCache>
            </c:numRef>
          </c:val>
        </c:ser>
        <c:marker val="1"/>
        <c:axId val="135875584"/>
        <c:axId val="135897856"/>
      </c:lineChart>
      <c:catAx>
        <c:axId val="135875584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97856"/>
        <c:crossesAt val="44"/>
        <c:lblAlgn val="ctr"/>
        <c:lblOffset val="100"/>
        <c:tickLblSkip val="10"/>
        <c:tickMarkSkip val="1"/>
      </c:catAx>
      <c:valAx>
        <c:axId val="135897856"/>
        <c:scaling>
          <c:orientation val="minMax"/>
          <c:max val="850"/>
          <c:min val="55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75584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3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[2]DATA!$C$489:$C$734</c:f>
              <c:numCache>
                <c:formatCode>General</c:formatCode>
                <c:ptCount val="246"/>
                <c:pt idx="0">
                  <c:v>2747</c:v>
                </c:pt>
                <c:pt idx="1">
                  <c:v>1980</c:v>
                </c:pt>
                <c:pt idx="2">
                  <c:v>3054</c:v>
                </c:pt>
                <c:pt idx="3">
                  <c:v>3972</c:v>
                </c:pt>
                <c:pt idx="4">
                  <c:v>4505</c:v>
                </c:pt>
                <c:pt idx="5">
                  <c:v>1931</c:v>
                </c:pt>
                <c:pt idx="6">
                  <c:v>1832</c:v>
                </c:pt>
                <c:pt idx="7">
                  <c:v>3393</c:v>
                </c:pt>
                <c:pt idx="8">
                  <c:v>3346</c:v>
                </c:pt>
                <c:pt idx="9">
                  <c:v>2291</c:v>
                </c:pt>
                <c:pt idx="10">
                  <c:v>3128</c:v>
                </c:pt>
                <c:pt idx="11">
                  <c:v>3031</c:v>
                </c:pt>
                <c:pt idx="12">
                  <c:v>3905</c:v>
                </c:pt>
                <c:pt idx="13">
                  <c:v>2213</c:v>
                </c:pt>
                <c:pt idx="14">
                  <c:v>1879</c:v>
                </c:pt>
                <c:pt idx="15">
                  <c:v>2358</c:v>
                </c:pt>
                <c:pt idx="16">
                  <c:v>1526</c:v>
                </c:pt>
                <c:pt idx="17">
                  <c:v>647</c:v>
                </c:pt>
                <c:pt idx="18">
                  <c:v>1757</c:v>
                </c:pt>
                <c:pt idx="19">
                  <c:v>1047</c:v>
                </c:pt>
                <c:pt idx="20">
                  <c:v>1030</c:v>
                </c:pt>
                <c:pt idx="21">
                  <c:v>738</c:v>
                </c:pt>
                <c:pt idx="22">
                  <c:v>869</c:v>
                </c:pt>
                <c:pt idx="23">
                  <c:v>1082</c:v>
                </c:pt>
                <c:pt idx="24">
                  <c:v>2688</c:v>
                </c:pt>
                <c:pt idx="25">
                  <c:v>2892</c:v>
                </c:pt>
                <c:pt idx="26">
                  <c:v>2452</c:v>
                </c:pt>
                <c:pt idx="27">
                  <c:v>1669</c:v>
                </c:pt>
                <c:pt idx="28">
                  <c:v>2550</c:v>
                </c:pt>
                <c:pt idx="29">
                  <c:v>3564</c:v>
                </c:pt>
                <c:pt idx="30">
                  <c:v>3382</c:v>
                </c:pt>
                <c:pt idx="31">
                  <c:v>2343</c:v>
                </c:pt>
                <c:pt idx="32">
                  <c:v>3555</c:v>
                </c:pt>
                <c:pt idx="33">
                  <c:v>3037</c:v>
                </c:pt>
                <c:pt idx="34">
                  <c:v>4549</c:v>
                </c:pt>
                <c:pt idx="35">
                  <c:v>5362</c:v>
                </c:pt>
                <c:pt idx="36">
                  <c:v>4571</c:v>
                </c:pt>
                <c:pt idx="37">
                  <c:v>3464</c:v>
                </c:pt>
                <c:pt idx="38">
                  <c:v>5981</c:v>
                </c:pt>
                <c:pt idx="39">
                  <c:v>3429</c:v>
                </c:pt>
                <c:pt idx="40">
                  <c:v>2328</c:v>
                </c:pt>
                <c:pt idx="41">
                  <c:v>3598</c:v>
                </c:pt>
                <c:pt idx="42">
                  <c:v>2946</c:v>
                </c:pt>
                <c:pt idx="43">
                  <c:v>3009</c:v>
                </c:pt>
                <c:pt idx="44">
                  <c:v>3500</c:v>
                </c:pt>
                <c:pt idx="45">
                  <c:v>3046</c:v>
                </c:pt>
                <c:pt idx="46">
                  <c:v>3756</c:v>
                </c:pt>
                <c:pt idx="47">
                  <c:v>2410</c:v>
                </c:pt>
                <c:pt idx="48">
                  <c:v>2172</c:v>
                </c:pt>
                <c:pt idx="49">
                  <c:v>3080</c:v>
                </c:pt>
                <c:pt idx="50">
                  <c:v>3040</c:v>
                </c:pt>
                <c:pt idx="51">
                  <c:v>4497</c:v>
                </c:pt>
                <c:pt idx="52">
                  <c:v>4836</c:v>
                </c:pt>
                <c:pt idx="53">
                  <c:v>5755</c:v>
                </c:pt>
                <c:pt idx="54">
                  <c:v>4660</c:v>
                </c:pt>
                <c:pt idx="55">
                  <c:v>4127</c:v>
                </c:pt>
                <c:pt idx="56">
                  <c:v>3942</c:v>
                </c:pt>
                <c:pt idx="57">
                  <c:v>1571</c:v>
                </c:pt>
                <c:pt idx="58">
                  <c:v>2206</c:v>
                </c:pt>
                <c:pt idx="59">
                  <c:v>2711</c:v>
                </c:pt>
                <c:pt idx="60">
                  <c:v>3275</c:v>
                </c:pt>
                <c:pt idx="61">
                  <c:v>2048</c:v>
                </c:pt>
                <c:pt idx="62">
                  <c:v>1350</c:v>
                </c:pt>
                <c:pt idx="63">
                  <c:v>2837</c:v>
                </c:pt>
                <c:pt idx="64">
                  <c:v>2259</c:v>
                </c:pt>
                <c:pt idx="65">
                  <c:v>1703</c:v>
                </c:pt>
                <c:pt idx="66">
                  <c:v>1847</c:v>
                </c:pt>
                <c:pt idx="67">
                  <c:v>1185</c:v>
                </c:pt>
                <c:pt idx="68">
                  <c:v>1486</c:v>
                </c:pt>
                <c:pt idx="69">
                  <c:v>1731</c:v>
                </c:pt>
                <c:pt idx="70">
                  <c:v>2970</c:v>
                </c:pt>
                <c:pt idx="71">
                  <c:v>2853</c:v>
                </c:pt>
                <c:pt idx="72">
                  <c:v>3861</c:v>
                </c:pt>
                <c:pt idx="73">
                  <c:v>4224</c:v>
                </c:pt>
                <c:pt idx="74">
                  <c:v>4978</c:v>
                </c:pt>
                <c:pt idx="75">
                  <c:v>3580</c:v>
                </c:pt>
                <c:pt idx="76">
                  <c:v>3326</c:v>
                </c:pt>
                <c:pt idx="77">
                  <c:v>2728</c:v>
                </c:pt>
                <c:pt idx="78">
                  <c:v>3263</c:v>
                </c:pt>
                <c:pt idx="79">
                  <c:v>2089</c:v>
                </c:pt>
                <c:pt idx="80">
                  <c:v>2605</c:v>
                </c:pt>
                <c:pt idx="81">
                  <c:v>4380</c:v>
                </c:pt>
                <c:pt idx="82">
                  <c:v>1483</c:v>
                </c:pt>
                <c:pt idx="83">
                  <c:v>7509</c:v>
                </c:pt>
                <c:pt idx="84">
                  <c:v>3532</c:v>
                </c:pt>
                <c:pt idx="85">
                  <c:v>1542</c:v>
                </c:pt>
                <c:pt idx="86">
                  <c:v>725</c:v>
                </c:pt>
                <c:pt idx="87">
                  <c:v>2005</c:v>
                </c:pt>
                <c:pt idx="88">
                  <c:v>5564</c:v>
                </c:pt>
                <c:pt idx="89">
                  <c:v>4664</c:v>
                </c:pt>
                <c:pt idx="90">
                  <c:v>5475</c:v>
                </c:pt>
                <c:pt idx="91">
                  <c:v>5135</c:v>
                </c:pt>
                <c:pt idx="92">
                  <c:v>4504</c:v>
                </c:pt>
                <c:pt idx="93">
                  <c:v>7464</c:v>
                </c:pt>
                <c:pt idx="94">
                  <c:v>5523</c:v>
                </c:pt>
                <c:pt idx="95">
                  <c:v>4347</c:v>
                </c:pt>
                <c:pt idx="96">
                  <c:v>6700</c:v>
                </c:pt>
                <c:pt idx="97">
                  <c:v>4865</c:v>
                </c:pt>
                <c:pt idx="98">
                  <c:v>4449</c:v>
                </c:pt>
                <c:pt idx="99">
                  <c:v>2354</c:v>
                </c:pt>
                <c:pt idx="100">
                  <c:v>2528</c:v>
                </c:pt>
                <c:pt idx="101">
                  <c:v>3219</c:v>
                </c:pt>
                <c:pt idx="102">
                  <c:v>7449</c:v>
                </c:pt>
                <c:pt idx="103">
                  <c:v>2546</c:v>
                </c:pt>
                <c:pt idx="104">
                  <c:v>2069</c:v>
                </c:pt>
                <c:pt idx="105">
                  <c:v>3705</c:v>
                </c:pt>
                <c:pt idx="106">
                  <c:v>5021</c:v>
                </c:pt>
                <c:pt idx="107">
                  <c:v>5222</c:v>
                </c:pt>
                <c:pt idx="108">
                  <c:v>4369</c:v>
                </c:pt>
                <c:pt idx="109">
                  <c:v>6637</c:v>
                </c:pt>
                <c:pt idx="110">
                  <c:v>5054</c:v>
                </c:pt>
                <c:pt idx="111">
                  <c:v>7165</c:v>
                </c:pt>
                <c:pt idx="112">
                  <c:v>4581</c:v>
                </c:pt>
                <c:pt idx="113">
                  <c:v>3593</c:v>
                </c:pt>
                <c:pt idx="114">
                  <c:v>4896</c:v>
                </c:pt>
                <c:pt idx="115">
                  <c:v>4454</c:v>
                </c:pt>
                <c:pt idx="116">
                  <c:v>4709</c:v>
                </c:pt>
                <c:pt idx="117">
                  <c:v>4034</c:v>
                </c:pt>
                <c:pt idx="118">
                  <c:v>2279</c:v>
                </c:pt>
                <c:pt idx="119">
                  <c:v>2668</c:v>
                </c:pt>
                <c:pt idx="120">
                  <c:v>2926</c:v>
                </c:pt>
                <c:pt idx="121">
                  <c:v>4924</c:v>
                </c:pt>
                <c:pt idx="122">
                  <c:v>3691</c:v>
                </c:pt>
                <c:pt idx="123">
                  <c:v>2936</c:v>
                </c:pt>
                <c:pt idx="124">
                  <c:v>2399</c:v>
                </c:pt>
                <c:pt idx="125">
                  <c:v>3198</c:v>
                </c:pt>
                <c:pt idx="126">
                  <c:v>4102</c:v>
                </c:pt>
                <c:pt idx="127">
                  <c:v>3641</c:v>
                </c:pt>
                <c:pt idx="128">
                  <c:v>2652</c:v>
                </c:pt>
                <c:pt idx="129">
                  <c:v>4290</c:v>
                </c:pt>
                <c:pt idx="130">
                  <c:v>6674</c:v>
                </c:pt>
                <c:pt idx="131">
                  <c:v>8532</c:v>
                </c:pt>
                <c:pt idx="132">
                  <c:v>8557</c:v>
                </c:pt>
                <c:pt idx="133">
                  <c:v>4247</c:v>
                </c:pt>
                <c:pt idx="134">
                  <c:v>3673</c:v>
                </c:pt>
                <c:pt idx="135">
                  <c:v>7044</c:v>
                </c:pt>
                <c:pt idx="136">
                  <c:v>6187</c:v>
                </c:pt>
                <c:pt idx="137">
                  <c:v>2479</c:v>
                </c:pt>
                <c:pt idx="138">
                  <c:v>4163</c:v>
                </c:pt>
                <c:pt idx="139">
                  <c:v>3588</c:v>
                </c:pt>
                <c:pt idx="140">
                  <c:v>2566</c:v>
                </c:pt>
                <c:pt idx="141">
                  <c:v>3802</c:v>
                </c:pt>
                <c:pt idx="142">
                  <c:v>2922</c:v>
                </c:pt>
                <c:pt idx="143">
                  <c:v>1182</c:v>
                </c:pt>
                <c:pt idx="144">
                  <c:v>2742</c:v>
                </c:pt>
                <c:pt idx="145">
                  <c:v>3009</c:v>
                </c:pt>
                <c:pt idx="146">
                  <c:v>3063</c:v>
                </c:pt>
                <c:pt idx="147">
                  <c:v>7150</c:v>
                </c:pt>
                <c:pt idx="148">
                  <c:v>3042</c:v>
                </c:pt>
                <c:pt idx="149">
                  <c:v>3922</c:v>
                </c:pt>
                <c:pt idx="150">
                  <c:v>4663</c:v>
                </c:pt>
                <c:pt idx="151">
                  <c:v>6206</c:v>
                </c:pt>
                <c:pt idx="152">
                  <c:v>4023</c:v>
                </c:pt>
                <c:pt idx="153">
                  <c:v>6649</c:v>
                </c:pt>
                <c:pt idx="154">
                  <c:v>5114</c:v>
                </c:pt>
                <c:pt idx="155">
                  <c:v>6742</c:v>
                </c:pt>
                <c:pt idx="156">
                  <c:v>6958</c:v>
                </c:pt>
                <c:pt idx="157">
                  <c:v>3454</c:v>
                </c:pt>
                <c:pt idx="158">
                  <c:v>3819</c:v>
                </c:pt>
                <c:pt idx="159">
                  <c:v>4177</c:v>
                </c:pt>
                <c:pt idx="160">
                  <c:v>3631</c:v>
                </c:pt>
                <c:pt idx="161">
                  <c:v>4270</c:v>
                </c:pt>
                <c:pt idx="162">
                  <c:v>2423</c:v>
                </c:pt>
                <c:pt idx="163">
                  <c:v>2240</c:v>
                </c:pt>
                <c:pt idx="164">
                  <c:v>2911</c:v>
                </c:pt>
                <c:pt idx="165">
                  <c:v>2314</c:v>
                </c:pt>
                <c:pt idx="166">
                  <c:v>3541</c:v>
                </c:pt>
                <c:pt idx="167">
                  <c:v>1448</c:v>
                </c:pt>
                <c:pt idx="168">
                  <c:v>4404</c:v>
                </c:pt>
                <c:pt idx="169">
                  <c:v>4574</c:v>
                </c:pt>
                <c:pt idx="170">
                  <c:v>4229</c:v>
                </c:pt>
                <c:pt idx="171">
                  <c:v>3458</c:v>
                </c:pt>
                <c:pt idx="172">
                  <c:v>2972</c:v>
                </c:pt>
                <c:pt idx="173">
                  <c:v>4018</c:v>
                </c:pt>
                <c:pt idx="174">
                  <c:v>6889</c:v>
                </c:pt>
                <c:pt idx="175">
                  <c:v>9013</c:v>
                </c:pt>
                <c:pt idx="176">
                  <c:v>7398</c:v>
                </c:pt>
                <c:pt idx="177">
                  <c:v>6613</c:v>
                </c:pt>
                <c:pt idx="178">
                  <c:v>6458</c:v>
                </c:pt>
                <c:pt idx="179">
                  <c:v>6534</c:v>
                </c:pt>
                <c:pt idx="180">
                  <c:v>6475</c:v>
                </c:pt>
                <c:pt idx="181">
                  <c:v>5015</c:v>
                </c:pt>
                <c:pt idx="182">
                  <c:v>6549</c:v>
                </c:pt>
                <c:pt idx="183">
                  <c:v>6966</c:v>
                </c:pt>
                <c:pt idx="184">
                  <c:v>10171</c:v>
                </c:pt>
                <c:pt idx="185">
                  <c:v>6865</c:v>
                </c:pt>
                <c:pt idx="186">
                  <c:v>11238</c:v>
                </c:pt>
                <c:pt idx="187">
                  <c:v>7896</c:v>
                </c:pt>
                <c:pt idx="188">
                  <c:v>5113</c:v>
                </c:pt>
                <c:pt idx="189">
                  <c:v>2701</c:v>
                </c:pt>
                <c:pt idx="190">
                  <c:v>2154</c:v>
                </c:pt>
                <c:pt idx="191">
                  <c:v>3014</c:v>
                </c:pt>
                <c:pt idx="192">
                  <c:v>3070</c:v>
                </c:pt>
                <c:pt idx="193">
                  <c:v>1686</c:v>
                </c:pt>
                <c:pt idx="194">
                  <c:v>1213</c:v>
                </c:pt>
                <c:pt idx="195">
                  <c:v>1486</c:v>
                </c:pt>
                <c:pt idx="196">
                  <c:v>1109</c:v>
                </c:pt>
                <c:pt idx="197">
                  <c:v>524</c:v>
                </c:pt>
                <c:pt idx="198">
                  <c:v>641</c:v>
                </c:pt>
                <c:pt idx="199">
                  <c:v>757</c:v>
                </c:pt>
                <c:pt idx="200">
                  <c:v>799</c:v>
                </c:pt>
                <c:pt idx="201">
                  <c:v>728</c:v>
                </c:pt>
                <c:pt idx="202">
                  <c:v>668</c:v>
                </c:pt>
                <c:pt idx="203">
                  <c:v>594</c:v>
                </c:pt>
                <c:pt idx="204">
                  <c:v>615</c:v>
                </c:pt>
                <c:pt idx="205">
                  <c:v>377</c:v>
                </c:pt>
                <c:pt idx="206">
                  <c:v>936</c:v>
                </c:pt>
                <c:pt idx="207">
                  <c:v>1050</c:v>
                </c:pt>
                <c:pt idx="208">
                  <c:v>445</c:v>
                </c:pt>
                <c:pt idx="209">
                  <c:v>316</c:v>
                </c:pt>
                <c:pt idx="210">
                  <c:v>903</c:v>
                </c:pt>
                <c:pt idx="211">
                  <c:v>953</c:v>
                </c:pt>
                <c:pt idx="212">
                  <c:v>400</c:v>
                </c:pt>
                <c:pt idx="213">
                  <c:v>494</c:v>
                </c:pt>
                <c:pt idx="214">
                  <c:v>1459</c:v>
                </c:pt>
                <c:pt idx="215">
                  <c:v>1081</c:v>
                </c:pt>
                <c:pt idx="216">
                  <c:v>1622</c:v>
                </c:pt>
                <c:pt idx="217">
                  <c:v>938</c:v>
                </c:pt>
                <c:pt idx="218">
                  <c:v>1049</c:v>
                </c:pt>
                <c:pt idx="219">
                  <c:v>954</c:v>
                </c:pt>
                <c:pt idx="220">
                  <c:v>695</c:v>
                </c:pt>
                <c:pt idx="221">
                  <c:v>532</c:v>
                </c:pt>
                <c:pt idx="222">
                  <c:v>685</c:v>
                </c:pt>
                <c:pt idx="223">
                  <c:v>795</c:v>
                </c:pt>
                <c:pt idx="224">
                  <c:v>812</c:v>
                </c:pt>
                <c:pt idx="225">
                  <c:v>1468</c:v>
                </c:pt>
                <c:pt idx="226">
                  <c:v>1045</c:v>
                </c:pt>
                <c:pt idx="227">
                  <c:v>1419</c:v>
                </c:pt>
                <c:pt idx="228">
                  <c:v>1220</c:v>
                </c:pt>
                <c:pt idx="229">
                  <c:v>1246</c:v>
                </c:pt>
                <c:pt idx="230">
                  <c:v>1272</c:v>
                </c:pt>
                <c:pt idx="231">
                  <c:v>1567</c:v>
                </c:pt>
                <c:pt idx="232">
                  <c:v>1542</c:v>
                </c:pt>
                <c:pt idx="233">
                  <c:v>1401</c:v>
                </c:pt>
                <c:pt idx="234">
                  <c:v>1243</c:v>
                </c:pt>
                <c:pt idx="235">
                  <c:v>913</c:v>
                </c:pt>
                <c:pt idx="236">
                  <c:v>638</c:v>
                </c:pt>
                <c:pt idx="237">
                  <c:v>628</c:v>
                </c:pt>
                <c:pt idx="238">
                  <c:v>639</c:v>
                </c:pt>
                <c:pt idx="239">
                  <c:v>945</c:v>
                </c:pt>
                <c:pt idx="240">
                  <c:v>1354</c:v>
                </c:pt>
                <c:pt idx="241">
                  <c:v>1474</c:v>
                </c:pt>
                <c:pt idx="242">
                  <c:v>1731</c:v>
                </c:pt>
                <c:pt idx="243">
                  <c:v>1279</c:v>
                </c:pt>
                <c:pt idx="244">
                  <c:v>1648</c:v>
                </c:pt>
                <c:pt idx="245">
                  <c:v>1521</c:v>
                </c:pt>
              </c:numCache>
            </c:numRef>
          </c:val>
        </c:ser>
        <c:gapWidth val="0"/>
        <c:axId val="136201728"/>
        <c:axId val="136203264"/>
      </c:barChart>
      <c:lineChart>
        <c:grouping val="standard"/>
        <c:ser>
          <c:idx val="2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[2]DATA!$B$489:$B$734</c:f>
              <c:numCache>
                <c:formatCode>General</c:formatCode>
                <c:ptCount val="246"/>
                <c:pt idx="0">
                  <c:v>8314</c:v>
                </c:pt>
                <c:pt idx="1">
                  <c:v>9094</c:v>
                </c:pt>
                <c:pt idx="2">
                  <c:v>9342</c:v>
                </c:pt>
                <c:pt idx="3">
                  <c:v>10508</c:v>
                </c:pt>
                <c:pt idx="4">
                  <c:v>11511</c:v>
                </c:pt>
                <c:pt idx="5">
                  <c:v>11170</c:v>
                </c:pt>
                <c:pt idx="6">
                  <c:v>11219</c:v>
                </c:pt>
                <c:pt idx="7">
                  <c:v>9421</c:v>
                </c:pt>
                <c:pt idx="8">
                  <c:v>10060</c:v>
                </c:pt>
                <c:pt idx="9">
                  <c:v>9725</c:v>
                </c:pt>
                <c:pt idx="10">
                  <c:v>10050</c:v>
                </c:pt>
                <c:pt idx="11">
                  <c:v>11511</c:v>
                </c:pt>
                <c:pt idx="12">
                  <c:v>11793</c:v>
                </c:pt>
                <c:pt idx="13">
                  <c:v>11090</c:v>
                </c:pt>
                <c:pt idx="14">
                  <c:v>11489</c:v>
                </c:pt>
                <c:pt idx="15">
                  <c:v>13165</c:v>
                </c:pt>
                <c:pt idx="16">
                  <c:v>13470</c:v>
                </c:pt>
                <c:pt idx="17">
                  <c:v>12481</c:v>
                </c:pt>
                <c:pt idx="18">
                  <c:v>11811</c:v>
                </c:pt>
                <c:pt idx="19">
                  <c:v>11482</c:v>
                </c:pt>
                <c:pt idx="20">
                  <c:v>7614</c:v>
                </c:pt>
                <c:pt idx="21">
                  <c:v>7851</c:v>
                </c:pt>
                <c:pt idx="22">
                  <c:v>7885</c:v>
                </c:pt>
                <c:pt idx="23">
                  <c:v>8193</c:v>
                </c:pt>
                <c:pt idx="24">
                  <c:v>8432</c:v>
                </c:pt>
                <c:pt idx="25">
                  <c:v>9345</c:v>
                </c:pt>
                <c:pt idx="26">
                  <c:v>9335</c:v>
                </c:pt>
                <c:pt idx="27">
                  <c:v>9770</c:v>
                </c:pt>
                <c:pt idx="28">
                  <c:v>9522</c:v>
                </c:pt>
                <c:pt idx="29">
                  <c:v>10560</c:v>
                </c:pt>
                <c:pt idx="30">
                  <c:v>11716</c:v>
                </c:pt>
                <c:pt idx="31">
                  <c:v>11375</c:v>
                </c:pt>
                <c:pt idx="32">
                  <c:v>12696</c:v>
                </c:pt>
                <c:pt idx="33">
                  <c:v>10348</c:v>
                </c:pt>
                <c:pt idx="34">
                  <c:v>12293</c:v>
                </c:pt>
                <c:pt idx="35">
                  <c:v>13864</c:v>
                </c:pt>
                <c:pt idx="36">
                  <c:v>15131</c:v>
                </c:pt>
                <c:pt idx="37">
                  <c:v>8787</c:v>
                </c:pt>
                <c:pt idx="38">
                  <c:v>11059</c:v>
                </c:pt>
                <c:pt idx="39">
                  <c:v>10987</c:v>
                </c:pt>
                <c:pt idx="40">
                  <c:v>10537</c:v>
                </c:pt>
                <c:pt idx="41">
                  <c:v>12034</c:v>
                </c:pt>
                <c:pt idx="42">
                  <c:v>12329</c:v>
                </c:pt>
                <c:pt idx="43">
                  <c:v>13172</c:v>
                </c:pt>
                <c:pt idx="44">
                  <c:v>13328</c:v>
                </c:pt>
                <c:pt idx="45">
                  <c:v>14030</c:v>
                </c:pt>
                <c:pt idx="46">
                  <c:v>14952</c:v>
                </c:pt>
                <c:pt idx="47">
                  <c:v>12921</c:v>
                </c:pt>
                <c:pt idx="48">
                  <c:v>12555</c:v>
                </c:pt>
                <c:pt idx="49">
                  <c:v>11122</c:v>
                </c:pt>
                <c:pt idx="50">
                  <c:v>11753</c:v>
                </c:pt>
                <c:pt idx="51">
                  <c:v>13435</c:v>
                </c:pt>
                <c:pt idx="52">
                  <c:v>15324</c:v>
                </c:pt>
                <c:pt idx="53">
                  <c:v>15640</c:v>
                </c:pt>
                <c:pt idx="54">
                  <c:v>15288</c:v>
                </c:pt>
                <c:pt idx="55">
                  <c:v>14605</c:v>
                </c:pt>
                <c:pt idx="56">
                  <c:v>8844</c:v>
                </c:pt>
                <c:pt idx="57">
                  <c:v>9345</c:v>
                </c:pt>
                <c:pt idx="58">
                  <c:v>9912</c:v>
                </c:pt>
                <c:pt idx="59">
                  <c:v>10809</c:v>
                </c:pt>
                <c:pt idx="60">
                  <c:v>11262</c:v>
                </c:pt>
                <c:pt idx="61">
                  <c:v>11285</c:v>
                </c:pt>
                <c:pt idx="62">
                  <c:v>11522</c:v>
                </c:pt>
                <c:pt idx="63">
                  <c:v>12001</c:v>
                </c:pt>
                <c:pt idx="64">
                  <c:v>12463</c:v>
                </c:pt>
                <c:pt idx="65">
                  <c:v>12240</c:v>
                </c:pt>
                <c:pt idx="66">
                  <c:v>12782</c:v>
                </c:pt>
                <c:pt idx="67">
                  <c:v>12737</c:v>
                </c:pt>
                <c:pt idx="68">
                  <c:v>12801</c:v>
                </c:pt>
                <c:pt idx="69">
                  <c:v>12644</c:v>
                </c:pt>
                <c:pt idx="70">
                  <c:v>13470</c:v>
                </c:pt>
                <c:pt idx="71">
                  <c:v>13773</c:v>
                </c:pt>
                <c:pt idx="72">
                  <c:v>15739</c:v>
                </c:pt>
                <c:pt idx="73">
                  <c:v>16508</c:v>
                </c:pt>
                <c:pt idx="74">
                  <c:v>18232</c:v>
                </c:pt>
                <c:pt idx="75">
                  <c:v>18476</c:v>
                </c:pt>
                <c:pt idx="76">
                  <c:v>17535</c:v>
                </c:pt>
                <c:pt idx="77">
                  <c:v>16307</c:v>
                </c:pt>
                <c:pt idx="78">
                  <c:v>8603</c:v>
                </c:pt>
                <c:pt idx="79">
                  <c:v>9025</c:v>
                </c:pt>
                <c:pt idx="80">
                  <c:v>10015</c:v>
                </c:pt>
                <c:pt idx="81">
                  <c:v>10985</c:v>
                </c:pt>
                <c:pt idx="82">
                  <c:v>11333</c:v>
                </c:pt>
                <c:pt idx="83">
                  <c:v>15700</c:v>
                </c:pt>
                <c:pt idx="84">
                  <c:v>16603</c:v>
                </c:pt>
                <c:pt idx="85">
                  <c:v>16253</c:v>
                </c:pt>
                <c:pt idx="86">
                  <c:v>15686</c:v>
                </c:pt>
                <c:pt idx="87">
                  <c:v>16958</c:v>
                </c:pt>
                <c:pt idx="88">
                  <c:v>18923</c:v>
                </c:pt>
                <c:pt idx="89">
                  <c:v>20041</c:v>
                </c:pt>
                <c:pt idx="90">
                  <c:v>21831</c:v>
                </c:pt>
                <c:pt idx="91">
                  <c:v>23966</c:v>
                </c:pt>
                <c:pt idx="92">
                  <c:v>23023</c:v>
                </c:pt>
                <c:pt idx="93">
                  <c:v>26218</c:v>
                </c:pt>
                <c:pt idx="94">
                  <c:v>24545</c:v>
                </c:pt>
                <c:pt idx="95">
                  <c:v>25676</c:v>
                </c:pt>
                <c:pt idx="96">
                  <c:v>27394</c:v>
                </c:pt>
                <c:pt idx="97">
                  <c:v>25485</c:v>
                </c:pt>
                <c:pt idx="98">
                  <c:v>14527</c:v>
                </c:pt>
                <c:pt idx="99">
                  <c:v>15326</c:v>
                </c:pt>
                <c:pt idx="100">
                  <c:v>15897</c:v>
                </c:pt>
                <c:pt idx="101">
                  <c:v>16800</c:v>
                </c:pt>
                <c:pt idx="102">
                  <c:v>20610</c:v>
                </c:pt>
                <c:pt idx="103">
                  <c:v>18728</c:v>
                </c:pt>
                <c:pt idx="104">
                  <c:v>17595</c:v>
                </c:pt>
                <c:pt idx="105">
                  <c:v>18729</c:v>
                </c:pt>
                <c:pt idx="106">
                  <c:v>20702</c:v>
                </c:pt>
                <c:pt idx="107">
                  <c:v>23246</c:v>
                </c:pt>
                <c:pt idx="108">
                  <c:v>22293</c:v>
                </c:pt>
                <c:pt idx="109">
                  <c:v>24523</c:v>
                </c:pt>
                <c:pt idx="110">
                  <c:v>25329</c:v>
                </c:pt>
                <c:pt idx="111">
                  <c:v>28435</c:v>
                </c:pt>
                <c:pt idx="112">
                  <c:v>27669</c:v>
                </c:pt>
                <c:pt idx="113">
                  <c:v>28491</c:v>
                </c:pt>
                <c:pt idx="114">
                  <c:v>28107</c:v>
                </c:pt>
                <c:pt idx="115">
                  <c:v>29857</c:v>
                </c:pt>
                <c:pt idx="116">
                  <c:v>28422</c:v>
                </c:pt>
                <c:pt idx="117">
                  <c:v>15973</c:v>
                </c:pt>
                <c:pt idx="118">
                  <c:v>16957</c:v>
                </c:pt>
                <c:pt idx="119">
                  <c:v>16919</c:v>
                </c:pt>
                <c:pt idx="120">
                  <c:v>17506</c:v>
                </c:pt>
                <c:pt idx="121">
                  <c:v>19964</c:v>
                </c:pt>
                <c:pt idx="122">
                  <c:v>20827</c:v>
                </c:pt>
                <c:pt idx="123">
                  <c:v>21109</c:v>
                </c:pt>
                <c:pt idx="124">
                  <c:v>19304</c:v>
                </c:pt>
                <c:pt idx="125">
                  <c:v>20689</c:v>
                </c:pt>
                <c:pt idx="126">
                  <c:v>22421</c:v>
                </c:pt>
                <c:pt idx="127">
                  <c:v>21396</c:v>
                </c:pt>
                <c:pt idx="128">
                  <c:v>22644</c:v>
                </c:pt>
                <c:pt idx="129">
                  <c:v>24485</c:v>
                </c:pt>
                <c:pt idx="130">
                  <c:v>25898</c:v>
                </c:pt>
                <c:pt idx="131">
                  <c:v>29431</c:v>
                </c:pt>
                <c:pt idx="132">
                  <c:v>31861</c:v>
                </c:pt>
                <c:pt idx="133">
                  <c:v>27768</c:v>
                </c:pt>
                <c:pt idx="134">
                  <c:v>25154</c:v>
                </c:pt>
                <c:pt idx="135">
                  <c:v>28400</c:v>
                </c:pt>
                <c:pt idx="136">
                  <c:v>32570</c:v>
                </c:pt>
                <c:pt idx="137">
                  <c:v>33243</c:v>
                </c:pt>
                <c:pt idx="138">
                  <c:v>32215</c:v>
                </c:pt>
                <c:pt idx="139">
                  <c:v>18442</c:v>
                </c:pt>
                <c:pt idx="140">
                  <c:v>19181</c:v>
                </c:pt>
                <c:pt idx="141">
                  <c:v>20906</c:v>
                </c:pt>
                <c:pt idx="142">
                  <c:v>21704</c:v>
                </c:pt>
                <c:pt idx="143">
                  <c:v>21517</c:v>
                </c:pt>
                <c:pt idx="144">
                  <c:v>20368</c:v>
                </c:pt>
                <c:pt idx="145">
                  <c:v>21401</c:v>
                </c:pt>
                <c:pt idx="146">
                  <c:v>22734</c:v>
                </c:pt>
                <c:pt idx="147">
                  <c:v>23776</c:v>
                </c:pt>
                <c:pt idx="148">
                  <c:v>24646</c:v>
                </c:pt>
                <c:pt idx="149">
                  <c:v>25425</c:v>
                </c:pt>
                <c:pt idx="150">
                  <c:v>25948</c:v>
                </c:pt>
                <c:pt idx="151">
                  <c:v>27860</c:v>
                </c:pt>
                <c:pt idx="152">
                  <c:v>25929</c:v>
                </c:pt>
                <c:pt idx="153">
                  <c:v>27840</c:v>
                </c:pt>
                <c:pt idx="154">
                  <c:v>24511</c:v>
                </c:pt>
                <c:pt idx="155">
                  <c:v>27483</c:v>
                </c:pt>
                <c:pt idx="156">
                  <c:v>30508</c:v>
                </c:pt>
                <c:pt idx="157">
                  <c:v>28275</c:v>
                </c:pt>
                <c:pt idx="158">
                  <c:v>29869</c:v>
                </c:pt>
                <c:pt idx="159">
                  <c:v>30710</c:v>
                </c:pt>
                <c:pt idx="160">
                  <c:v>28330</c:v>
                </c:pt>
                <c:pt idx="161">
                  <c:v>16446</c:v>
                </c:pt>
                <c:pt idx="162">
                  <c:v>17304</c:v>
                </c:pt>
                <c:pt idx="163">
                  <c:v>17833</c:v>
                </c:pt>
                <c:pt idx="164">
                  <c:v>18564</c:v>
                </c:pt>
                <c:pt idx="165">
                  <c:v>18976</c:v>
                </c:pt>
                <c:pt idx="166">
                  <c:v>19621</c:v>
                </c:pt>
                <c:pt idx="167">
                  <c:v>19835</c:v>
                </c:pt>
                <c:pt idx="168">
                  <c:v>21070</c:v>
                </c:pt>
                <c:pt idx="169">
                  <c:v>23355</c:v>
                </c:pt>
                <c:pt idx="170">
                  <c:v>21701</c:v>
                </c:pt>
                <c:pt idx="171">
                  <c:v>21289</c:v>
                </c:pt>
                <c:pt idx="172">
                  <c:v>22112</c:v>
                </c:pt>
                <c:pt idx="173">
                  <c:v>23863</c:v>
                </c:pt>
                <c:pt idx="174">
                  <c:v>25081</c:v>
                </c:pt>
                <c:pt idx="175">
                  <c:v>28112</c:v>
                </c:pt>
                <c:pt idx="176">
                  <c:v>30064</c:v>
                </c:pt>
                <c:pt idx="177">
                  <c:v>32362</c:v>
                </c:pt>
                <c:pt idx="178">
                  <c:v>30814</c:v>
                </c:pt>
                <c:pt idx="179">
                  <c:v>29254</c:v>
                </c:pt>
                <c:pt idx="180">
                  <c:v>30713</c:v>
                </c:pt>
                <c:pt idx="181">
                  <c:v>14293</c:v>
                </c:pt>
                <c:pt idx="182">
                  <c:v>16151</c:v>
                </c:pt>
                <c:pt idx="183">
                  <c:v>18052</c:v>
                </c:pt>
                <c:pt idx="184">
                  <c:v>20377</c:v>
                </c:pt>
                <c:pt idx="185">
                  <c:v>14489</c:v>
                </c:pt>
                <c:pt idx="186">
                  <c:v>18329</c:v>
                </c:pt>
                <c:pt idx="187">
                  <c:v>18823</c:v>
                </c:pt>
                <c:pt idx="188">
                  <c:v>14951</c:v>
                </c:pt>
                <c:pt idx="189">
                  <c:v>12888</c:v>
                </c:pt>
                <c:pt idx="190">
                  <c:v>9970</c:v>
                </c:pt>
                <c:pt idx="191">
                  <c:v>10340</c:v>
                </c:pt>
                <c:pt idx="192">
                  <c:v>9529</c:v>
                </c:pt>
                <c:pt idx="193">
                  <c:v>9140</c:v>
                </c:pt>
                <c:pt idx="194">
                  <c:v>7439</c:v>
                </c:pt>
                <c:pt idx="195">
                  <c:v>7432</c:v>
                </c:pt>
                <c:pt idx="196">
                  <c:v>7551</c:v>
                </c:pt>
                <c:pt idx="197">
                  <c:v>6967</c:v>
                </c:pt>
                <c:pt idx="198">
                  <c:v>7029</c:v>
                </c:pt>
                <c:pt idx="199">
                  <c:v>3814</c:v>
                </c:pt>
                <c:pt idx="200">
                  <c:v>3815</c:v>
                </c:pt>
                <c:pt idx="201">
                  <c:v>3534</c:v>
                </c:pt>
                <c:pt idx="202">
                  <c:v>681</c:v>
                </c:pt>
                <c:pt idx="203">
                  <c:v>940</c:v>
                </c:pt>
                <c:pt idx="204">
                  <c:v>1075</c:v>
                </c:pt>
                <c:pt idx="205">
                  <c:v>1051</c:v>
                </c:pt>
                <c:pt idx="206">
                  <c:v>1184</c:v>
                </c:pt>
                <c:pt idx="207">
                  <c:v>1221</c:v>
                </c:pt>
                <c:pt idx="208">
                  <c:v>1255</c:v>
                </c:pt>
                <c:pt idx="209">
                  <c:v>1313</c:v>
                </c:pt>
                <c:pt idx="210">
                  <c:v>1376</c:v>
                </c:pt>
                <c:pt idx="211">
                  <c:v>1405</c:v>
                </c:pt>
                <c:pt idx="212">
                  <c:v>1474</c:v>
                </c:pt>
                <c:pt idx="213">
                  <c:v>1608</c:v>
                </c:pt>
                <c:pt idx="214">
                  <c:v>1722</c:v>
                </c:pt>
                <c:pt idx="215">
                  <c:v>1827</c:v>
                </c:pt>
                <c:pt idx="216">
                  <c:v>2158</c:v>
                </c:pt>
                <c:pt idx="217">
                  <c:v>2211</c:v>
                </c:pt>
                <c:pt idx="218">
                  <c:v>2221</c:v>
                </c:pt>
                <c:pt idx="219">
                  <c:v>2106</c:v>
                </c:pt>
                <c:pt idx="220">
                  <c:v>2147</c:v>
                </c:pt>
                <c:pt idx="221">
                  <c:v>2261</c:v>
                </c:pt>
                <c:pt idx="222">
                  <c:v>2147</c:v>
                </c:pt>
                <c:pt idx="223">
                  <c:v>1240</c:v>
                </c:pt>
                <c:pt idx="224">
                  <c:v>1416</c:v>
                </c:pt>
                <c:pt idx="225">
                  <c:v>1635</c:v>
                </c:pt>
                <c:pt idx="226">
                  <c:v>1835</c:v>
                </c:pt>
                <c:pt idx="227">
                  <c:v>2174</c:v>
                </c:pt>
                <c:pt idx="228">
                  <c:v>1953</c:v>
                </c:pt>
                <c:pt idx="229">
                  <c:v>2182</c:v>
                </c:pt>
                <c:pt idx="230">
                  <c:v>2172</c:v>
                </c:pt>
                <c:pt idx="231">
                  <c:v>2476</c:v>
                </c:pt>
                <c:pt idx="232">
                  <c:v>2374</c:v>
                </c:pt>
                <c:pt idx="233">
                  <c:v>2441</c:v>
                </c:pt>
                <c:pt idx="234">
                  <c:v>2625</c:v>
                </c:pt>
                <c:pt idx="235">
                  <c:v>2528</c:v>
                </c:pt>
                <c:pt idx="236">
                  <c:v>2428</c:v>
                </c:pt>
                <c:pt idx="237">
                  <c:v>2538</c:v>
                </c:pt>
                <c:pt idx="238">
                  <c:v>2533</c:v>
                </c:pt>
                <c:pt idx="239">
                  <c:v>2544</c:v>
                </c:pt>
                <c:pt idx="240">
                  <c:v>2613</c:v>
                </c:pt>
                <c:pt idx="241">
                  <c:v>2536</c:v>
                </c:pt>
                <c:pt idx="242">
                  <c:v>2536</c:v>
                </c:pt>
                <c:pt idx="243">
                  <c:v>2722</c:v>
                </c:pt>
                <c:pt idx="244">
                  <c:v>2237</c:v>
                </c:pt>
                <c:pt idx="245">
                  <c:v>1974</c:v>
                </c:pt>
              </c:numCache>
            </c:numRef>
          </c:val>
        </c:ser>
        <c:marker val="1"/>
        <c:axId val="136190208"/>
        <c:axId val="136200192"/>
      </c:lineChart>
      <c:catAx>
        <c:axId val="1361902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00192"/>
        <c:crosses val="autoZero"/>
        <c:lblAlgn val="ctr"/>
        <c:lblOffset val="100"/>
        <c:tickLblSkip val="2"/>
        <c:tickMarkSkip val="1"/>
      </c:catAx>
      <c:valAx>
        <c:axId val="136200192"/>
        <c:scaling>
          <c:orientation val="minMax"/>
          <c:max val="36000"/>
          <c:min val="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90208"/>
        <c:crosses val="autoZero"/>
        <c:crossBetween val="between"/>
        <c:majorUnit val="4000"/>
      </c:valAx>
      <c:catAx>
        <c:axId val="136201728"/>
        <c:scaling>
          <c:orientation val="minMax"/>
        </c:scaling>
        <c:delete val="1"/>
        <c:axPos val="b"/>
        <c:numFmt formatCode="General" sourceLinked="1"/>
        <c:tickLblPos val="nextTo"/>
        <c:crossAx val="136203264"/>
        <c:crosses val="autoZero"/>
        <c:lblAlgn val="ctr"/>
        <c:lblOffset val="100"/>
      </c:catAx>
      <c:valAx>
        <c:axId val="136203264"/>
        <c:scaling>
          <c:orientation val="minMax"/>
          <c:max val="14000"/>
          <c:min val="0"/>
        </c:scaling>
        <c:axPos val="r"/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01728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OKLI (At the money Premium Value)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3"/>
          <c:order val="1"/>
          <c:tx>
            <c:strRef>
              <c:f>[2]DATA!$E$3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808080"/>
              </a:solidFill>
              <a:prstDash val="solid"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[2]DATA!$E$489:$E$734</c:f>
              <c:numCache>
                <c:formatCode>General</c:formatCode>
                <c:ptCount val="246"/>
                <c:pt idx="0">
                  <c:v>536.95000000000005</c:v>
                </c:pt>
                <c:pt idx="1">
                  <c:v>548.05999999999995</c:v>
                </c:pt>
                <c:pt idx="2">
                  <c:v>575.89</c:v>
                </c:pt>
                <c:pt idx="3">
                  <c:v>607.4</c:v>
                </c:pt>
                <c:pt idx="4">
                  <c:v>676.47</c:v>
                </c:pt>
                <c:pt idx="5">
                  <c:v>629.15</c:v>
                </c:pt>
                <c:pt idx="6">
                  <c:v>636.36</c:v>
                </c:pt>
                <c:pt idx="7">
                  <c:v>589.17999999999995</c:v>
                </c:pt>
                <c:pt idx="8">
                  <c:v>574.91999999999996</c:v>
                </c:pt>
                <c:pt idx="9">
                  <c:v>558.47</c:v>
                </c:pt>
                <c:pt idx="10">
                  <c:v>544.30999999999995</c:v>
                </c:pt>
                <c:pt idx="11">
                  <c:v>556.79</c:v>
                </c:pt>
                <c:pt idx="12">
                  <c:v>577.58000000000004</c:v>
                </c:pt>
                <c:pt idx="13">
                  <c:v>578.76</c:v>
                </c:pt>
                <c:pt idx="14">
                  <c:v>569.83000000000004</c:v>
                </c:pt>
                <c:pt idx="15">
                  <c:v>556.35</c:v>
                </c:pt>
                <c:pt idx="16">
                  <c:v>550.35</c:v>
                </c:pt>
                <c:pt idx="17">
                  <c:v>560.96</c:v>
                </c:pt>
                <c:pt idx="18">
                  <c:v>568.66</c:v>
                </c:pt>
                <c:pt idx="19">
                  <c:v>589.39</c:v>
                </c:pt>
                <c:pt idx="20">
                  <c:v>594.44000000000005</c:v>
                </c:pt>
                <c:pt idx="21">
                  <c:v>571.96</c:v>
                </c:pt>
                <c:pt idx="22">
                  <c:v>546.79</c:v>
                </c:pt>
                <c:pt idx="23">
                  <c:v>525.74</c:v>
                </c:pt>
                <c:pt idx="24">
                  <c:v>521</c:v>
                </c:pt>
                <c:pt idx="25">
                  <c:v>507.16</c:v>
                </c:pt>
                <c:pt idx="26">
                  <c:v>491.6</c:v>
                </c:pt>
                <c:pt idx="27">
                  <c:v>477.57</c:v>
                </c:pt>
                <c:pt idx="28">
                  <c:v>503.89</c:v>
                </c:pt>
                <c:pt idx="29">
                  <c:v>536.67999999999995</c:v>
                </c:pt>
                <c:pt idx="30">
                  <c:v>525.47</c:v>
                </c:pt>
                <c:pt idx="31">
                  <c:v>539.97</c:v>
                </c:pt>
                <c:pt idx="32">
                  <c:v>589.08000000000004</c:v>
                </c:pt>
                <c:pt idx="33">
                  <c:v>585.35</c:v>
                </c:pt>
                <c:pt idx="34">
                  <c:v>590.54999999999995</c:v>
                </c:pt>
                <c:pt idx="35">
                  <c:v>575.21</c:v>
                </c:pt>
                <c:pt idx="36">
                  <c:v>558.57000000000005</c:v>
                </c:pt>
                <c:pt idx="37">
                  <c:v>569.51</c:v>
                </c:pt>
                <c:pt idx="38">
                  <c:v>701.31</c:v>
                </c:pt>
                <c:pt idx="39">
                  <c:v>690.76</c:v>
                </c:pt>
                <c:pt idx="40">
                  <c:v>712.81</c:v>
                </c:pt>
                <c:pt idx="41">
                  <c:v>728.19</c:v>
                </c:pt>
                <c:pt idx="42">
                  <c:v>727.4</c:v>
                </c:pt>
                <c:pt idx="43">
                  <c:v>742.57</c:v>
                </c:pt>
                <c:pt idx="44">
                  <c:v>739.87</c:v>
                </c:pt>
                <c:pt idx="45">
                  <c:v>697.43</c:v>
                </c:pt>
                <c:pt idx="46">
                  <c:v>685.5</c:v>
                </c:pt>
                <c:pt idx="47">
                  <c:v>661.94</c:v>
                </c:pt>
                <c:pt idx="48">
                  <c:v>690.83</c:v>
                </c:pt>
                <c:pt idx="49">
                  <c:v>704.9</c:v>
                </c:pt>
                <c:pt idx="50">
                  <c:v>723.5</c:v>
                </c:pt>
                <c:pt idx="51">
                  <c:v>728.06</c:v>
                </c:pt>
                <c:pt idx="52">
                  <c:v>720.46</c:v>
                </c:pt>
                <c:pt idx="53">
                  <c:v>729.84</c:v>
                </c:pt>
                <c:pt idx="54">
                  <c:v>712.81</c:v>
                </c:pt>
                <c:pt idx="55">
                  <c:v>727.7</c:v>
                </c:pt>
                <c:pt idx="56">
                  <c:v>745.36</c:v>
                </c:pt>
                <c:pt idx="57">
                  <c:v>745.12</c:v>
                </c:pt>
                <c:pt idx="58">
                  <c:v>733.03</c:v>
                </c:pt>
                <c:pt idx="59">
                  <c:v>705.94</c:v>
                </c:pt>
                <c:pt idx="60">
                  <c:v>696.79</c:v>
                </c:pt>
                <c:pt idx="61">
                  <c:v>690.36</c:v>
                </c:pt>
                <c:pt idx="62">
                  <c:v>685.88</c:v>
                </c:pt>
                <c:pt idx="63">
                  <c:v>710.47</c:v>
                </c:pt>
                <c:pt idx="64">
                  <c:v>709.91</c:v>
                </c:pt>
                <c:pt idx="65">
                  <c:v>698.23</c:v>
                </c:pt>
                <c:pt idx="66">
                  <c:v>708.16</c:v>
                </c:pt>
                <c:pt idx="67">
                  <c:v>703.61</c:v>
                </c:pt>
                <c:pt idx="68">
                  <c:v>700.21</c:v>
                </c:pt>
                <c:pt idx="69">
                  <c:v>706.55</c:v>
                </c:pt>
                <c:pt idx="70">
                  <c:v>731.04</c:v>
                </c:pt>
                <c:pt idx="71">
                  <c:v>731.24</c:v>
                </c:pt>
                <c:pt idx="72">
                  <c:v>735.79</c:v>
                </c:pt>
                <c:pt idx="73">
                  <c:v>731.89</c:v>
                </c:pt>
                <c:pt idx="74">
                  <c:v>736.78</c:v>
                </c:pt>
                <c:pt idx="75">
                  <c:v>733.31</c:v>
                </c:pt>
                <c:pt idx="76">
                  <c:v>727.62</c:v>
                </c:pt>
                <c:pt idx="77">
                  <c:v>722.96</c:v>
                </c:pt>
                <c:pt idx="78">
                  <c:v>719.52</c:v>
                </c:pt>
                <c:pt idx="79">
                  <c:v>700.05</c:v>
                </c:pt>
                <c:pt idx="80">
                  <c:v>684.27</c:v>
                </c:pt>
                <c:pt idx="81">
                  <c:v>666.48</c:v>
                </c:pt>
                <c:pt idx="82">
                  <c:v>663.77</c:v>
                </c:pt>
                <c:pt idx="83">
                  <c:v>664.28</c:v>
                </c:pt>
                <c:pt idx="84">
                  <c:v>675.93</c:v>
                </c:pt>
                <c:pt idx="85">
                  <c:v>673.14</c:v>
                </c:pt>
                <c:pt idx="86">
                  <c:v>666.93</c:v>
                </c:pt>
                <c:pt idx="87">
                  <c:v>664.84</c:v>
                </c:pt>
                <c:pt idx="88">
                  <c:v>644.62</c:v>
                </c:pt>
                <c:pt idx="89">
                  <c:v>629.34</c:v>
                </c:pt>
                <c:pt idx="90">
                  <c:v>628.78</c:v>
                </c:pt>
                <c:pt idx="91">
                  <c:v>634.29</c:v>
                </c:pt>
                <c:pt idx="92">
                  <c:v>623.98</c:v>
                </c:pt>
                <c:pt idx="93">
                  <c:v>619.66999999999996</c:v>
                </c:pt>
                <c:pt idx="94">
                  <c:v>628.24</c:v>
                </c:pt>
                <c:pt idx="95">
                  <c:v>635.11</c:v>
                </c:pt>
                <c:pt idx="96">
                  <c:v>620.79</c:v>
                </c:pt>
                <c:pt idx="97">
                  <c:v>622.83000000000004</c:v>
                </c:pt>
                <c:pt idx="98">
                  <c:v>625.97</c:v>
                </c:pt>
                <c:pt idx="99">
                  <c:v>627.42999999999995</c:v>
                </c:pt>
                <c:pt idx="100">
                  <c:v>608.4</c:v>
                </c:pt>
                <c:pt idx="101">
                  <c:v>584.62</c:v>
                </c:pt>
                <c:pt idx="102">
                  <c:v>586.83000000000004</c:v>
                </c:pt>
                <c:pt idx="103">
                  <c:v>580.04999999999995</c:v>
                </c:pt>
                <c:pt idx="104">
                  <c:v>569.16999999999996</c:v>
                </c:pt>
                <c:pt idx="105">
                  <c:v>548.33000000000004</c:v>
                </c:pt>
                <c:pt idx="106">
                  <c:v>560.5</c:v>
                </c:pt>
                <c:pt idx="107">
                  <c:v>566.85</c:v>
                </c:pt>
                <c:pt idx="108">
                  <c:v>549.99</c:v>
                </c:pt>
                <c:pt idx="109">
                  <c:v>554.41999999999996</c:v>
                </c:pt>
                <c:pt idx="110">
                  <c:v>569.19000000000005</c:v>
                </c:pt>
                <c:pt idx="111">
                  <c:v>593.62</c:v>
                </c:pt>
                <c:pt idx="112">
                  <c:v>577.23</c:v>
                </c:pt>
                <c:pt idx="113">
                  <c:v>570.54999999999995</c:v>
                </c:pt>
                <c:pt idx="114">
                  <c:v>561.28</c:v>
                </c:pt>
                <c:pt idx="115">
                  <c:v>552.28</c:v>
                </c:pt>
                <c:pt idx="116">
                  <c:v>544.74</c:v>
                </c:pt>
                <c:pt idx="117">
                  <c:v>538.24</c:v>
                </c:pt>
                <c:pt idx="118">
                  <c:v>518</c:v>
                </c:pt>
                <c:pt idx="119">
                  <c:v>520.61</c:v>
                </c:pt>
                <c:pt idx="120">
                  <c:v>526.36</c:v>
                </c:pt>
                <c:pt idx="121">
                  <c:v>518.61</c:v>
                </c:pt>
                <c:pt idx="122">
                  <c:v>505.05</c:v>
                </c:pt>
                <c:pt idx="123">
                  <c:v>497.79</c:v>
                </c:pt>
                <c:pt idx="124">
                  <c:v>505.64</c:v>
                </c:pt>
                <c:pt idx="125">
                  <c:v>489.86</c:v>
                </c:pt>
                <c:pt idx="126">
                  <c:v>483</c:v>
                </c:pt>
                <c:pt idx="127">
                  <c:v>472.37</c:v>
                </c:pt>
                <c:pt idx="128">
                  <c:v>452.24</c:v>
                </c:pt>
                <c:pt idx="129">
                  <c:v>435.84</c:v>
                </c:pt>
                <c:pt idx="130">
                  <c:v>448</c:v>
                </c:pt>
                <c:pt idx="131">
                  <c:v>471.82</c:v>
                </c:pt>
                <c:pt idx="132">
                  <c:v>467.61</c:v>
                </c:pt>
                <c:pt idx="133">
                  <c:v>457.61</c:v>
                </c:pt>
                <c:pt idx="134">
                  <c:v>457.25</c:v>
                </c:pt>
                <c:pt idx="135">
                  <c:v>455.37</c:v>
                </c:pt>
                <c:pt idx="136">
                  <c:v>448.42</c:v>
                </c:pt>
                <c:pt idx="137">
                  <c:v>445.67</c:v>
                </c:pt>
                <c:pt idx="138">
                  <c:v>450.77</c:v>
                </c:pt>
                <c:pt idx="139">
                  <c:v>455.64</c:v>
                </c:pt>
                <c:pt idx="140">
                  <c:v>471.23</c:v>
                </c:pt>
                <c:pt idx="141">
                  <c:v>478.2</c:v>
                </c:pt>
                <c:pt idx="142">
                  <c:v>473.78</c:v>
                </c:pt>
                <c:pt idx="143">
                  <c:v>467.55</c:v>
                </c:pt>
                <c:pt idx="144">
                  <c:v>455.28</c:v>
                </c:pt>
                <c:pt idx="145">
                  <c:v>447.89</c:v>
                </c:pt>
                <c:pt idx="146">
                  <c:v>428.62</c:v>
                </c:pt>
                <c:pt idx="147">
                  <c:v>421.31</c:v>
                </c:pt>
                <c:pt idx="148">
                  <c:v>420.33</c:v>
                </c:pt>
                <c:pt idx="149">
                  <c:v>433.54</c:v>
                </c:pt>
                <c:pt idx="150">
                  <c:v>429.99</c:v>
                </c:pt>
                <c:pt idx="151">
                  <c:v>445.31</c:v>
                </c:pt>
                <c:pt idx="152">
                  <c:v>445.28</c:v>
                </c:pt>
                <c:pt idx="153">
                  <c:v>437.82</c:v>
                </c:pt>
                <c:pt idx="154">
                  <c:v>421.91</c:v>
                </c:pt>
                <c:pt idx="155">
                  <c:v>415.4</c:v>
                </c:pt>
                <c:pt idx="156">
                  <c:v>418.4</c:v>
                </c:pt>
                <c:pt idx="157">
                  <c:v>408.04</c:v>
                </c:pt>
                <c:pt idx="158">
                  <c:v>403.98</c:v>
                </c:pt>
                <c:pt idx="159">
                  <c:v>385.97</c:v>
                </c:pt>
                <c:pt idx="160">
                  <c:v>389.53</c:v>
                </c:pt>
                <c:pt idx="161">
                  <c:v>402.65</c:v>
                </c:pt>
                <c:pt idx="162">
                  <c:v>386.27</c:v>
                </c:pt>
                <c:pt idx="163">
                  <c:v>386.44</c:v>
                </c:pt>
                <c:pt idx="164">
                  <c:v>380.29</c:v>
                </c:pt>
                <c:pt idx="165">
                  <c:v>374.78</c:v>
                </c:pt>
                <c:pt idx="166">
                  <c:v>364.05</c:v>
                </c:pt>
                <c:pt idx="167">
                  <c:v>353.28</c:v>
                </c:pt>
                <c:pt idx="168">
                  <c:v>334.7</c:v>
                </c:pt>
                <c:pt idx="169">
                  <c:v>342.19</c:v>
                </c:pt>
                <c:pt idx="170">
                  <c:v>326.73</c:v>
                </c:pt>
                <c:pt idx="171">
                  <c:v>327.98</c:v>
                </c:pt>
                <c:pt idx="172">
                  <c:v>316.24</c:v>
                </c:pt>
                <c:pt idx="173">
                  <c:v>315.66000000000003</c:v>
                </c:pt>
                <c:pt idx="174">
                  <c:v>343.47</c:v>
                </c:pt>
                <c:pt idx="175">
                  <c:v>351.04</c:v>
                </c:pt>
                <c:pt idx="176">
                  <c:v>324.06</c:v>
                </c:pt>
                <c:pt idx="177">
                  <c:v>317.2</c:v>
                </c:pt>
                <c:pt idx="178">
                  <c:v>324.17</c:v>
                </c:pt>
                <c:pt idx="179">
                  <c:v>324.49</c:v>
                </c:pt>
                <c:pt idx="180">
                  <c:v>313.51</c:v>
                </c:pt>
                <c:pt idx="181">
                  <c:v>302.91000000000003</c:v>
                </c:pt>
                <c:pt idx="182">
                  <c:v>262.7</c:v>
                </c:pt>
                <c:pt idx="183">
                  <c:v>294.58999999999997</c:v>
                </c:pt>
                <c:pt idx="184">
                  <c:v>313.07</c:v>
                </c:pt>
                <c:pt idx="185">
                  <c:v>363.44</c:v>
                </c:pt>
                <c:pt idx="186">
                  <c:v>445.06</c:v>
                </c:pt>
                <c:pt idx="187">
                  <c:v>349.56</c:v>
                </c:pt>
                <c:pt idx="188">
                  <c:v>389.65</c:v>
                </c:pt>
                <c:pt idx="189">
                  <c:v>380.2</c:v>
                </c:pt>
                <c:pt idx="190">
                  <c:v>368.53</c:v>
                </c:pt>
                <c:pt idx="191">
                  <c:v>393.24</c:v>
                </c:pt>
                <c:pt idx="192">
                  <c:v>389.08</c:v>
                </c:pt>
                <c:pt idx="193">
                  <c:v>394.04</c:v>
                </c:pt>
                <c:pt idx="194">
                  <c:v>386.55</c:v>
                </c:pt>
                <c:pt idx="195">
                  <c:v>393.3</c:v>
                </c:pt>
                <c:pt idx="196">
                  <c:v>378.32</c:v>
                </c:pt>
                <c:pt idx="197">
                  <c:v>385.45</c:v>
                </c:pt>
                <c:pt idx="198">
                  <c:v>376.26</c:v>
                </c:pt>
                <c:pt idx="199">
                  <c:v>387.46</c:v>
                </c:pt>
                <c:pt idx="200">
                  <c:v>387.27</c:v>
                </c:pt>
                <c:pt idx="201">
                  <c:v>377.52</c:v>
                </c:pt>
                <c:pt idx="202">
                  <c:v>373.52</c:v>
                </c:pt>
                <c:pt idx="203">
                  <c:v>367.64</c:v>
                </c:pt>
                <c:pt idx="204">
                  <c:v>363.06</c:v>
                </c:pt>
                <c:pt idx="205">
                  <c:v>360.1</c:v>
                </c:pt>
                <c:pt idx="206">
                  <c:v>374.45</c:v>
                </c:pt>
                <c:pt idx="207">
                  <c:v>370.9</c:v>
                </c:pt>
                <c:pt idx="208">
                  <c:v>372.99</c:v>
                </c:pt>
                <c:pt idx="209">
                  <c:v>372.22</c:v>
                </c:pt>
                <c:pt idx="210">
                  <c:v>389.5</c:v>
                </c:pt>
                <c:pt idx="211">
                  <c:v>385.04</c:v>
                </c:pt>
                <c:pt idx="212">
                  <c:v>384.22</c:v>
                </c:pt>
                <c:pt idx="213">
                  <c:v>393.25</c:v>
                </c:pt>
                <c:pt idx="214">
                  <c:v>396.26</c:v>
                </c:pt>
                <c:pt idx="215">
                  <c:v>422.97</c:v>
                </c:pt>
                <c:pt idx="216">
                  <c:v>424.37</c:v>
                </c:pt>
                <c:pt idx="217">
                  <c:v>421.56</c:v>
                </c:pt>
                <c:pt idx="218">
                  <c:v>419.72</c:v>
                </c:pt>
                <c:pt idx="219">
                  <c:v>419.11</c:v>
                </c:pt>
                <c:pt idx="220">
                  <c:v>415.96</c:v>
                </c:pt>
                <c:pt idx="221">
                  <c:v>410.49</c:v>
                </c:pt>
                <c:pt idx="222">
                  <c:v>406.35</c:v>
                </c:pt>
                <c:pt idx="223">
                  <c:v>405.33</c:v>
                </c:pt>
                <c:pt idx="224">
                  <c:v>419.78</c:v>
                </c:pt>
                <c:pt idx="225">
                  <c:v>421.91</c:v>
                </c:pt>
                <c:pt idx="226">
                  <c:v>431.7</c:v>
                </c:pt>
                <c:pt idx="227">
                  <c:v>438.66</c:v>
                </c:pt>
                <c:pt idx="228">
                  <c:v>453.29</c:v>
                </c:pt>
                <c:pt idx="229">
                  <c:v>465.69</c:v>
                </c:pt>
                <c:pt idx="230">
                  <c:v>467.54</c:v>
                </c:pt>
                <c:pt idx="231">
                  <c:v>476.12</c:v>
                </c:pt>
                <c:pt idx="232">
                  <c:v>460.77</c:v>
                </c:pt>
                <c:pt idx="233">
                  <c:v>465.08</c:v>
                </c:pt>
                <c:pt idx="234">
                  <c:v>462.02</c:v>
                </c:pt>
                <c:pt idx="235">
                  <c:v>464.12</c:v>
                </c:pt>
                <c:pt idx="236">
                  <c:v>458.34</c:v>
                </c:pt>
                <c:pt idx="237">
                  <c:v>458.58</c:v>
                </c:pt>
                <c:pt idx="238">
                  <c:v>461.56</c:v>
                </c:pt>
                <c:pt idx="239">
                  <c:v>477.17</c:v>
                </c:pt>
                <c:pt idx="240">
                  <c:v>489.66</c:v>
                </c:pt>
                <c:pt idx="241">
                  <c:v>502.15</c:v>
                </c:pt>
                <c:pt idx="242">
                  <c:v>498.69</c:v>
                </c:pt>
                <c:pt idx="243">
                  <c:v>498.08</c:v>
                </c:pt>
                <c:pt idx="244">
                  <c:v>501.47</c:v>
                </c:pt>
                <c:pt idx="245">
                  <c:v>518.75</c:v>
                </c:pt>
              </c:numCache>
            </c:numRef>
          </c:val>
        </c:ser>
        <c:axId val="136232960"/>
        <c:axId val="136234496"/>
      </c:areaChart>
      <c:lineChart>
        <c:grouping val="standard"/>
        <c:ser>
          <c:idx val="2"/>
          <c:order val="0"/>
          <c:tx>
            <c:strRef>
              <c:f>[2]DATA!$D$3</c:f>
              <c:strCache>
                <c:ptCount val="1"/>
                <c:pt idx="0">
                  <c:v>FUTURES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[2]DATA!$D$489:$D$734</c:f>
              <c:numCache>
                <c:formatCode>General</c:formatCode>
                <c:ptCount val="246"/>
                <c:pt idx="0">
                  <c:v>549.9</c:v>
                </c:pt>
                <c:pt idx="1">
                  <c:v>544.1</c:v>
                </c:pt>
                <c:pt idx="2">
                  <c:v>579.4</c:v>
                </c:pt>
                <c:pt idx="3">
                  <c:v>620.5</c:v>
                </c:pt>
                <c:pt idx="4">
                  <c:v>655</c:v>
                </c:pt>
                <c:pt idx="5">
                  <c:v>616</c:v>
                </c:pt>
                <c:pt idx="6">
                  <c:v>635.6</c:v>
                </c:pt>
                <c:pt idx="7">
                  <c:v>576.20000000000005</c:v>
                </c:pt>
                <c:pt idx="8">
                  <c:v>573.1</c:v>
                </c:pt>
                <c:pt idx="9">
                  <c:v>542</c:v>
                </c:pt>
                <c:pt idx="10">
                  <c:v>554</c:v>
                </c:pt>
                <c:pt idx="11">
                  <c:v>566</c:v>
                </c:pt>
                <c:pt idx="12">
                  <c:v>596.9</c:v>
                </c:pt>
                <c:pt idx="13">
                  <c:v>574.20000000000005</c:v>
                </c:pt>
                <c:pt idx="14">
                  <c:v>569</c:v>
                </c:pt>
                <c:pt idx="15">
                  <c:v>564.6</c:v>
                </c:pt>
                <c:pt idx="16">
                  <c:v>560.9</c:v>
                </c:pt>
                <c:pt idx="17">
                  <c:v>566.9</c:v>
                </c:pt>
                <c:pt idx="18">
                  <c:v>577</c:v>
                </c:pt>
                <c:pt idx="19">
                  <c:v>596</c:v>
                </c:pt>
                <c:pt idx="20">
                  <c:v>587</c:v>
                </c:pt>
                <c:pt idx="21">
                  <c:v>560</c:v>
                </c:pt>
                <c:pt idx="22">
                  <c:v>536.5</c:v>
                </c:pt>
                <c:pt idx="23">
                  <c:v>528</c:v>
                </c:pt>
                <c:pt idx="24">
                  <c:v>516</c:v>
                </c:pt>
                <c:pt idx="25">
                  <c:v>488</c:v>
                </c:pt>
                <c:pt idx="26">
                  <c:v>484</c:v>
                </c:pt>
                <c:pt idx="27">
                  <c:v>465.5</c:v>
                </c:pt>
                <c:pt idx="28">
                  <c:v>512</c:v>
                </c:pt>
                <c:pt idx="29">
                  <c:v>538.5</c:v>
                </c:pt>
                <c:pt idx="30">
                  <c:v>507.1</c:v>
                </c:pt>
                <c:pt idx="31">
                  <c:v>543</c:v>
                </c:pt>
                <c:pt idx="32">
                  <c:v>583</c:v>
                </c:pt>
                <c:pt idx="33">
                  <c:v>582</c:v>
                </c:pt>
                <c:pt idx="34">
                  <c:v>588.1</c:v>
                </c:pt>
                <c:pt idx="35">
                  <c:v>557</c:v>
                </c:pt>
                <c:pt idx="36">
                  <c:v>559</c:v>
                </c:pt>
                <c:pt idx="37">
                  <c:v>566.6</c:v>
                </c:pt>
                <c:pt idx="38">
                  <c:v>685</c:v>
                </c:pt>
                <c:pt idx="39">
                  <c:v>678</c:v>
                </c:pt>
                <c:pt idx="40">
                  <c:v>702</c:v>
                </c:pt>
                <c:pt idx="41">
                  <c:v>719</c:v>
                </c:pt>
                <c:pt idx="42">
                  <c:v>717.8</c:v>
                </c:pt>
                <c:pt idx="43">
                  <c:v>757</c:v>
                </c:pt>
                <c:pt idx="44">
                  <c:v>726.5</c:v>
                </c:pt>
                <c:pt idx="45">
                  <c:v>696</c:v>
                </c:pt>
                <c:pt idx="46">
                  <c:v>675</c:v>
                </c:pt>
                <c:pt idx="47">
                  <c:v>648.5</c:v>
                </c:pt>
                <c:pt idx="48">
                  <c:v>680</c:v>
                </c:pt>
                <c:pt idx="49">
                  <c:v>709</c:v>
                </c:pt>
                <c:pt idx="50">
                  <c:v>724</c:v>
                </c:pt>
                <c:pt idx="51">
                  <c:v>734</c:v>
                </c:pt>
                <c:pt idx="52">
                  <c:v>711</c:v>
                </c:pt>
                <c:pt idx="53">
                  <c:v>726</c:v>
                </c:pt>
                <c:pt idx="54">
                  <c:v>701</c:v>
                </c:pt>
                <c:pt idx="55">
                  <c:v>725.6</c:v>
                </c:pt>
                <c:pt idx="56">
                  <c:v>743.6</c:v>
                </c:pt>
                <c:pt idx="57">
                  <c:v>736</c:v>
                </c:pt>
                <c:pt idx="58">
                  <c:v>725</c:v>
                </c:pt>
                <c:pt idx="59">
                  <c:v>688.1</c:v>
                </c:pt>
                <c:pt idx="60">
                  <c:v>670</c:v>
                </c:pt>
                <c:pt idx="61">
                  <c:v>681.6</c:v>
                </c:pt>
                <c:pt idx="62">
                  <c:v>680.7</c:v>
                </c:pt>
                <c:pt idx="63">
                  <c:v>706.5</c:v>
                </c:pt>
                <c:pt idx="64">
                  <c:v>713.5</c:v>
                </c:pt>
                <c:pt idx="65">
                  <c:v>692</c:v>
                </c:pt>
                <c:pt idx="66">
                  <c:v>712</c:v>
                </c:pt>
                <c:pt idx="67">
                  <c:v>701.5</c:v>
                </c:pt>
                <c:pt idx="68">
                  <c:v>703</c:v>
                </c:pt>
                <c:pt idx="69">
                  <c:v>714</c:v>
                </c:pt>
                <c:pt idx="70">
                  <c:v>743.5</c:v>
                </c:pt>
                <c:pt idx="71">
                  <c:v>724</c:v>
                </c:pt>
                <c:pt idx="72">
                  <c:v>745.1</c:v>
                </c:pt>
                <c:pt idx="73">
                  <c:v>727</c:v>
                </c:pt>
                <c:pt idx="74">
                  <c:v>738</c:v>
                </c:pt>
                <c:pt idx="75">
                  <c:v>736.7</c:v>
                </c:pt>
                <c:pt idx="76">
                  <c:v>733.6</c:v>
                </c:pt>
                <c:pt idx="77">
                  <c:v>727.3</c:v>
                </c:pt>
                <c:pt idx="78">
                  <c:v>720.2</c:v>
                </c:pt>
                <c:pt idx="79">
                  <c:v>703</c:v>
                </c:pt>
                <c:pt idx="80">
                  <c:v>687.5</c:v>
                </c:pt>
                <c:pt idx="81">
                  <c:v>659.5</c:v>
                </c:pt>
                <c:pt idx="82">
                  <c:v>652.5</c:v>
                </c:pt>
                <c:pt idx="83">
                  <c:v>643.5</c:v>
                </c:pt>
                <c:pt idx="84">
                  <c:v>654.9</c:v>
                </c:pt>
                <c:pt idx="85">
                  <c:v>650</c:v>
                </c:pt>
                <c:pt idx="86">
                  <c:v>647</c:v>
                </c:pt>
                <c:pt idx="87">
                  <c:v>635</c:v>
                </c:pt>
                <c:pt idx="88">
                  <c:v>618</c:v>
                </c:pt>
                <c:pt idx="89">
                  <c:v>605</c:v>
                </c:pt>
                <c:pt idx="90">
                  <c:v>595</c:v>
                </c:pt>
                <c:pt idx="91">
                  <c:v>615.5</c:v>
                </c:pt>
                <c:pt idx="92">
                  <c:v>590</c:v>
                </c:pt>
                <c:pt idx="93">
                  <c:v>600</c:v>
                </c:pt>
                <c:pt idx="94">
                  <c:v>615</c:v>
                </c:pt>
                <c:pt idx="95">
                  <c:v>617</c:v>
                </c:pt>
                <c:pt idx="96">
                  <c:v>608.9</c:v>
                </c:pt>
                <c:pt idx="97">
                  <c:v>618.9</c:v>
                </c:pt>
                <c:pt idx="98">
                  <c:v>622.29999999999995</c:v>
                </c:pt>
                <c:pt idx="99">
                  <c:v>601</c:v>
                </c:pt>
                <c:pt idx="100">
                  <c:v>577.20000000000005</c:v>
                </c:pt>
                <c:pt idx="101">
                  <c:v>551</c:v>
                </c:pt>
                <c:pt idx="102">
                  <c:v>573</c:v>
                </c:pt>
                <c:pt idx="103">
                  <c:v>561</c:v>
                </c:pt>
                <c:pt idx="104">
                  <c:v>542</c:v>
                </c:pt>
                <c:pt idx="105">
                  <c:v>525.1</c:v>
                </c:pt>
                <c:pt idx="106">
                  <c:v>550</c:v>
                </c:pt>
                <c:pt idx="107">
                  <c:v>556.9</c:v>
                </c:pt>
                <c:pt idx="108">
                  <c:v>539.29999999999995</c:v>
                </c:pt>
                <c:pt idx="109">
                  <c:v>551</c:v>
                </c:pt>
                <c:pt idx="110">
                  <c:v>566.4</c:v>
                </c:pt>
                <c:pt idx="111">
                  <c:v>591</c:v>
                </c:pt>
                <c:pt idx="112">
                  <c:v>564</c:v>
                </c:pt>
                <c:pt idx="113">
                  <c:v>562.9</c:v>
                </c:pt>
                <c:pt idx="114">
                  <c:v>553.79999999999995</c:v>
                </c:pt>
                <c:pt idx="115">
                  <c:v>546.9</c:v>
                </c:pt>
                <c:pt idx="116">
                  <c:v>543.5</c:v>
                </c:pt>
                <c:pt idx="117">
                  <c:v>539.5</c:v>
                </c:pt>
                <c:pt idx="118">
                  <c:v>509</c:v>
                </c:pt>
                <c:pt idx="119">
                  <c:v>514.5</c:v>
                </c:pt>
                <c:pt idx="120">
                  <c:v>528.9</c:v>
                </c:pt>
                <c:pt idx="121">
                  <c:v>509.8</c:v>
                </c:pt>
                <c:pt idx="122">
                  <c:v>499.5</c:v>
                </c:pt>
                <c:pt idx="123">
                  <c:v>493</c:v>
                </c:pt>
                <c:pt idx="124">
                  <c:v>508.2</c:v>
                </c:pt>
                <c:pt idx="125">
                  <c:v>488.1</c:v>
                </c:pt>
                <c:pt idx="126">
                  <c:v>481</c:v>
                </c:pt>
                <c:pt idx="127">
                  <c:v>473.5</c:v>
                </c:pt>
                <c:pt idx="128">
                  <c:v>446</c:v>
                </c:pt>
                <c:pt idx="129">
                  <c:v>436.5</c:v>
                </c:pt>
                <c:pt idx="130">
                  <c:v>450</c:v>
                </c:pt>
                <c:pt idx="131">
                  <c:v>470.1</c:v>
                </c:pt>
                <c:pt idx="132">
                  <c:v>465.5</c:v>
                </c:pt>
                <c:pt idx="133">
                  <c:v>441</c:v>
                </c:pt>
                <c:pt idx="134">
                  <c:v>453</c:v>
                </c:pt>
                <c:pt idx="135">
                  <c:v>458</c:v>
                </c:pt>
                <c:pt idx="136">
                  <c:v>454</c:v>
                </c:pt>
                <c:pt idx="137">
                  <c:v>447.7</c:v>
                </c:pt>
                <c:pt idx="138">
                  <c:v>446.1</c:v>
                </c:pt>
                <c:pt idx="139">
                  <c:v>455.9</c:v>
                </c:pt>
                <c:pt idx="140">
                  <c:v>482.5</c:v>
                </c:pt>
                <c:pt idx="141">
                  <c:v>479.9</c:v>
                </c:pt>
                <c:pt idx="142">
                  <c:v>474</c:v>
                </c:pt>
                <c:pt idx="143">
                  <c:v>470.5</c:v>
                </c:pt>
                <c:pt idx="144">
                  <c:v>456.2</c:v>
                </c:pt>
                <c:pt idx="145">
                  <c:v>441.5</c:v>
                </c:pt>
                <c:pt idx="146">
                  <c:v>423</c:v>
                </c:pt>
                <c:pt idx="147">
                  <c:v>431</c:v>
                </c:pt>
                <c:pt idx="148">
                  <c:v>424.1</c:v>
                </c:pt>
                <c:pt idx="149">
                  <c:v>442.5</c:v>
                </c:pt>
                <c:pt idx="150">
                  <c:v>433.8</c:v>
                </c:pt>
                <c:pt idx="151">
                  <c:v>447</c:v>
                </c:pt>
                <c:pt idx="152">
                  <c:v>442.1</c:v>
                </c:pt>
                <c:pt idx="153">
                  <c:v>438.2</c:v>
                </c:pt>
                <c:pt idx="154">
                  <c:v>414.5</c:v>
                </c:pt>
                <c:pt idx="155">
                  <c:v>415.5</c:v>
                </c:pt>
                <c:pt idx="156">
                  <c:v>422</c:v>
                </c:pt>
                <c:pt idx="157">
                  <c:v>405.8</c:v>
                </c:pt>
                <c:pt idx="158">
                  <c:v>396</c:v>
                </c:pt>
                <c:pt idx="159">
                  <c:v>380</c:v>
                </c:pt>
                <c:pt idx="160">
                  <c:v>390</c:v>
                </c:pt>
                <c:pt idx="161">
                  <c:v>401.9</c:v>
                </c:pt>
                <c:pt idx="162">
                  <c:v>384.6</c:v>
                </c:pt>
                <c:pt idx="163">
                  <c:v>390.5</c:v>
                </c:pt>
                <c:pt idx="164">
                  <c:v>379.8</c:v>
                </c:pt>
                <c:pt idx="165">
                  <c:v>373.8</c:v>
                </c:pt>
                <c:pt idx="166">
                  <c:v>355.4</c:v>
                </c:pt>
                <c:pt idx="167">
                  <c:v>346.6</c:v>
                </c:pt>
                <c:pt idx="168">
                  <c:v>331.7</c:v>
                </c:pt>
                <c:pt idx="169">
                  <c:v>340.5</c:v>
                </c:pt>
                <c:pt idx="170">
                  <c:v>318.60000000000002</c:v>
                </c:pt>
                <c:pt idx="171">
                  <c:v>320.89999999999998</c:v>
                </c:pt>
                <c:pt idx="172">
                  <c:v>309.5</c:v>
                </c:pt>
                <c:pt idx="173">
                  <c:v>317</c:v>
                </c:pt>
                <c:pt idx="174">
                  <c:v>340.5</c:v>
                </c:pt>
                <c:pt idx="175">
                  <c:v>353.6</c:v>
                </c:pt>
                <c:pt idx="176">
                  <c:v>321.5</c:v>
                </c:pt>
                <c:pt idx="177">
                  <c:v>322</c:v>
                </c:pt>
                <c:pt idx="178">
                  <c:v>332.9</c:v>
                </c:pt>
                <c:pt idx="179">
                  <c:v>329</c:v>
                </c:pt>
                <c:pt idx="180">
                  <c:v>311.5</c:v>
                </c:pt>
                <c:pt idx="181">
                  <c:v>303.5</c:v>
                </c:pt>
                <c:pt idx="182">
                  <c:v>274.89999999999998</c:v>
                </c:pt>
                <c:pt idx="183">
                  <c:v>289</c:v>
                </c:pt>
                <c:pt idx="184">
                  <c:v>343.6</c:v>
                </c:pt>
                <c:pt idx="185">
                  <c:v>394</c:v>
                </c:pt>
                <c:pt idx="186">
                  <c:v>525.4</c:v>
                </c:pt>
                <c:pt idx="187">
                  <c:v>356.3</c:v>
                </c:pt>
                <c:pt idx="188">
                  <c:v>393</c:v>
                </c:pt>
                <c:pt idx="189">
                  <c:v>399</c:v>
                </c:pt>
                <c:pt idx="190">
                  <c:v>355</c:v>
                </c:pt>
                <c:pt idx="191">
                  <c:v>400</c:v>
                </c:pt>
                <c:pt idx="192">
                  <c:v>387.1</c:v>
                </c:pt>
                <c:pt idx="193">
                  <c:v>401.1</c:v>
                </c:pt>
                <c:pt idx="194">
                  <c:v>388.3</c:v>
                </c:pt>
                <c:pt idx="195">
                  <c:v>401</c:v>
                </c:pt>
                <c:pt idx="196">
                  <c:v>380.5</c:v>
                </c:pt>
                <c:pt idx="197">
                  <c:v>396.9</c:v>
                </c:pt>
                <c:pt idx="198">
                  <c:v>385.8</c:v>
                </c:pt>
                <c:pt idx="199">
                  <c:v>396.7</c:v>
                </c:pt>
                <c:pt idx="200">
                  <c:v>389.5</c:v>
                </c:pt>
                <c:pt idx="201">
                  <c:v>380.5</c:v>
                </c:pt>
                <c:pt idx="202">
                  <c:v>374</c:v>
                </c:pt>
                <c:pt idx="203">
                  <c:v>379.9</c:v>
                </c:pt>
                <c:pt idx="204">
                  <c:v>375</c:v>
                </c:pt>
                <c:pt idx="205">
                  <c:v>374.9</c:v>
                </c:pt>
                <c:pt idx="206">
                  <c:v>391.7</c:v>
                </c:pt>
                <c:pt idx="207">
                  <c:v>385.8</c:v>
                </c:pt>
                <c:pt idx="208">
                  <c:v>388.9</c:v>
                </c:pt>
                <c:pt idx="209">
                  <c:v>388.5</c:v>
                </c:pt>
                <c:pt idx="210">
                  <c:v>406.1</c:v>
                </c:pt>
                <c:pt idx="211">
                  <c:v>396.5</c:v>
                </c:pt>
                <c:pt idx="212">
                  <c:v>399</c:v>
                </c:pt>
                <c:pt idx="213">
                  <c:v>408</c:v>
                </c:pt>
                <c:pt idx="214">
                  <c:v>415.5</c:v>
                </c:pt>
                <c:pt idx="215">
                  <c:v>434.5</c:v>
                </c:pt>
                <c:pt idx="216">
                  <c:v>433.1</c:v>
                </c:pt>
                <c:pt idx="217">
                  <c:v>428.5</c:v>
                </c:pt>
                <c:pt idx="218">
                  <c:v>419</c:v>
                </c:pt>
                <c:pt idx="219">
                  <c:v>419.5</c:v>
                </c:pt>
                <c:pt idx="220">
                  <c:v>417.1</c:v>
                </c:pt>
                <c:pt idx="221">
                  <c:v>412.8</c:v>
                </c:pt>
                <c:pt idx="222">
                  <c:v>404.8</c:v>
                </c:pt>
                <c:pt idx="223">
                  <c:v>406.2</c:v>
                </c:pt>
                <c:pt idx="224">
                  <c:v>434</c:v>
                </c:pt>
                <c:pt idx="225">
                  <c:v>438.5</c:v>
                </c:pt>
                <c:pt idx="226">
                  <c:v>454.8</c:v>
                </c:pt>
                <c:pt idx="227">
                  <c:v>446</c:v>
                </c:pt>
                <c:pt idx="228">
                  <c:v>466</c:v>
                </c:pt>
                <c:pt idx="229">
                  <c:v>472.5</c:v>
                </c:pt>
                <c:pt idx="230">
                  <c:v>474.1</c:v>
                </c:pt>
                <c:pt idx="231">
                  <c:v>480</c:v>
                </c:pt>
                <c:pt idx="232">
                  <c:v>465</c:v>
                </c:pt>
                <c:pt idx="233">
                  <c:v>479.4</c:v>
                </c:pt>
                <c:pt idx="234">
                  <c:v>479.5</c:v>
                </c:pt>
                <c:pt idx="235">
                  <c:v>478.5</c:v>
                </c:pt>
                <c:pt idx="236">
                  <c:v>473.2</c:v>
                </c:pt>
                <c:pt idx="237">
                  <c:v>474.5</c:v>
                </c:pt>
                <c:pt idx="238">
                  <c:v>470.5</c:v>
                </c:pt>
                <c:pt idx="239">
                  <c:v>484</c:v>
                </c:pt>
                <c:pt idx="240">
                  <c:v>496.8</c:v>
                </c:pt>
                <c:pt idx="241">
                  <c:v>509.5</c:v>
                </c:pt>
                <c:pt idx="242">
                  <c:v>501.5</c:v>
                </c:pt>
                <c:pt idx="243">
                  <c:v>502</c:v>
                </c:pt>
                <c:pt idx="244">
                  <c:v>505</c:v>
                </c:pt>
                <c:pt idx="245">
                  <c:v>535.29999999999995</c:v>
                </c:pt>
              </c:numCache>
            </c:numRef>
          </c:val>
        </c:ser>
        <c:marker val="1"/>
        <c:axId val="136232960"/>
        <c:axId val="136234496"/>
      </c:lineChart>
      <c:catAx>
        <c:axId val="1362329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34496"/>
        <c:crossesAt val="44"/>
        <c:lblAlgn val="ctr"/>
        <c:lblOffset val="100"/>
        <c:tickLblSkip val="2"/>
        <c:tickMarkSkip val="1"/>
      </c:catAx>
      <c:valAx>
        <c:axId val="136234496"/>
        <c:scaling>
          <c:orientation val="minMax"/>
          <c:max val="800"/>
          <c:min val="2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32960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[4]FCPO!$AL$2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[4]FCPO!$A$5048:$A$5292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1323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[4]FCPO!$AL$5048:$AL$5292</c:f>
              <c:numCache>
                <c:formatCode>General</c:formatCode>
                <c:ptCount val="245"/>
                <c:pt idx="0">
                  <c:v>1946</c:v>
                </c:pt>
                <c:pt idx="1">
                  <c:v>1385</c:v>
                </c:pt>
                <c:pt idx="2">
                  <c:v>1188</c:v>
                </c:pt>
                <c:pt idx="3">
                  <c:v>1366</c:v>
                </c:pt>
                <c:pt idx="4">
                  <c:v>1339</c:v>
                </c:pt>
                <c:pt idx="5">
                  <c:v>1152</c:v>
                </c:pt>
                <c:pt idx="6">
                  <c:v>894</c:v>
                </c:pt>
                <c:pt idx="7">
                  <c:v>933</c:v>
                </c:pt>
                <c:pt idx="8">
                  <c:v>817</c:v>
                </c:pt>
                <c:pt idx="9">
                  <c:v>918</c:v>
                </c:pt>
                <c:pt idx="10">
                  <c:v>2005</c:v>
                </c:pt>
                <c:pt idx="11">
                  <c:v>693</c:v>
                </c:pt>
                <c:pt idx="12">
                  <c:v>1529</c:v>
                </c:pt>
                <c:pt idx="13">
                  <c:v>2108</c:v>
                </c:pt>
                <c:pt idx="14">
                  <c:v>2577</c:v>
                </c:pt>
                <c:pt idx="15">
                  <c:v>1219</c:v>
                </c:pt>
                <c:pt idx="16">
                  <c:v>2948</c:v>
                </c:pt>
                <c:pt idx="17">
                  <c:v>2093</c:v>
                </c:pt>
                <c:pt idx="18">
                  <c:v>1789</c:v>
                </c:pt>
                <c:pt idx="19">
                  <c:v>2798</c:v>
                </c:pt>
                <c:pt idx="20">
                  <c:v>2980</c:v>
                </c:pt>
                <c:pt idx="21">
                  <c:v>3740</c:v>
                </c:pt>
                <c:pt idx="22">
                  <c:v>5219</c:v>
                </c:pt>
                <c:pt idx="23">
                  <c:v>2885</c:v>
                </c:pt>
                <c:pt idx="24">
                  <c:v>3416</c:v>
                </c:pt>
                <c:pt idx="25">
                  <c:v>3099</c:v>
                </c:pt>
                <c:pt idx="26">
                  <c:v>2098</c:v>
                </c:pt>
                <c:pt idx="27">
                  <c:v>1971</c:v>
                </c:pt>
                <c:pt idx="28">
                  <c:v>1925</c:v>
                </c:pt>
                <c:pt idx="29">
                  <c:v>1562</c:v>
                </c:pt>
                <c:pt idx="30">
                  <c:v>1277</c:v>
                </c:pt>
                <c:pt idx="31">
                  <c:v>1593</c:v>
                </c:pt>
                <c:pt idx="32">
                  <c:v>2744</c:v>
                </c:pt>
                <c:pt idx="33">
                  <c:v>3204</c:v>
                </c:pt>
                <c:pt idx="34">
                  <c:v>2685</c:v>
                </c:pt>
                <c:pt idx="35">
                  <c:v>3463</c:v>
                </c:pt>
                <c:pt idx="36">
                  <c:v>2359</c:v>
                </c:pt>
                <c:pt idx="37">
                  <c:v>1776</c:v>
                </c:pt>
                <c:pt idx="38">
                  <c:v>3326</c:v>
                </c:pt>
                <c:pt idx="39">
                  <c:v>2325</c:v>
                </c:pt>
                <c:pt idx="40">
                  <c:v>2002</c:v>
                </c:pt>
                <c:pt idx="41">
                  <c:v>2026</c:v>
                </c:pt>
                <c:pt idx="42">
                  <c:v>1982</c:v>
                </c:pt>
                <c:pt idx="43">
                  <c:v>1836</c:v>
                </c:pt>
                <c:pt idx="44">
                  <c:v>2429</c:v>
                </c:pt>
                <c:pt idx="45">
                  <c:v>3304</c:v>
                </c:pt>
                <c:pt idx="46">
                  <c:v>3064</c:v>
                </c:pt>
                <c:pt idx="47">
                  <c:v>3199</c:v>
                </c:pt>
                <c:pt idx="48">
                  <c:v>3203</c:v>
                </c:pt>
                <c:pt idx="49">
                  <c:v>2814</c:v>
                </c:pt>
                <c:pt idx="50">
                  <c:v>2483</c:v>
                </c:pt>
                <c:pt idx="51">
                  <c:v>2537</c:v>
                </c:pt>
                <c:pt idx="52">
                  <c:v>1296</c:v>
                </c:pt>
                <c:pt idx="53">
                  <c:v>2715</c:v>
                </c:pt>
                <c:pt idx="54">
                  <c:v>3317</c:v>
                </c:pt>
                <c:pt idx="55">
                  <c:v>2493</c:v>
                </c:pt>
                <c:pt idx="56">
                  <c:v>1326</c:v>
                </c:pt>
                <c:pt idx="57">
                  <c:v>1463</c:v>
                </c:pt>
                <c:pt idx="58">
                  <c:v>1777</c:v>
                </c:pt>
                <c:pt idx="59">
                  <c:v>1598</c:v>
                </c:pt>
                <c:pt idx="60">
                  <c:v>1834</c:v>
                </c:pt>
                <c:pt idx="61">
                  <c:v>1588</c:v>
                </c:pt>
                <c:pt idx="62">
                  <c:v>1823</c:v>
                </c:pt>
                <c:pt idx="63">
                  <c:v>2734</c:v>
                </c:pt>
                <c:pt idx="64">
                  <c:v>2528</c:v>
                </c:pt>
                <c:pt idx="65">
                  <c:v>1986</c:v>
                </c:pt>
                <c:pt idx="66">
                  <c:v>3404</c:v>
                </c:pt>
                <c:pt idx="67">
                  <c:v>2798</c:v>
                </c:pt>
                <c:pt idx="68">
                  <c:v>2122</c:v>
                </c:pt>
                <c:pt idx="69">
                  <c:v>2013</c:v>
                </c:pt>
                <c:pt idx="70">
                  <c:v>2289</c:v>
                </c:pt>
                <c:pt idx="71">
                  <c:v>2782</c:v>
                </c:pt>
                <c:pt idx="72">
                  <c:v>2247</c:v>
                </c:pt>
                <c:pt idx="73">
                  <c:v>1700</c:v>
                </c:pt>
                <c:pt idx="74">
                  <c:v>2109</c:v>
                </c:pt>
                <c:pt idx="75">
                  <c:v>2411</c:v>
                </c:pt>
                <c:pt idx="76">
                  <c:v>1593</c:v>
                </c:pt>
                <c:pt idx="77">
                  <c:v>3061</c:v>
                </c:pt>
                <c:pt idx="78">
                  <c:v>2893</c:v>
                </c:pt>
                <c:pt idx="79">
                  <c:v>1822</c:v>
                </c:pt>
                <c:pt idx="80">
                  <c:v>1641</c:v>
                </c:pt>
                <c:pt idx="81">
                  <c:v>1911</c:v>
                </c:pt>
                <c:pt idx="82">
                  <c:v>3280</c:v>
                </c:pt>
                <c:pt idx="83">
                  <c:v>4299</c:v>
                </c:pt>
                <c:pt idx="84">
                  <c:v>2358</c:v>
                </c:pt>
                <c:pt idx="85">
                  <c:v>2487</c:v>
                </c:pt>
                <c:pt idx="86">
                  <c:v>1407</c:v>
                </c:pt>
                <c:pt idx="87">
                  <c:v>3013</c:v>
                </c:pt>
                <c:pt idx="88">
                  <c:v>2071</c:v>
                </c:pt>
                <c:pt idx="89">
                  <c:v>2286</c:v>
                </c:pt>
                <c:pt idx="90">
                  <c:v>2231</c:v>
                </c:pt>
                <c:pt idx="91">
                  <c:v>1622</c:v>
                </c:pt>
                <c:pt idx="92">
                  <c:v>2060</c:v>
                </c:pt>
                <c:pt idx="93">
                  <c:v>2039</c:v>
                </c:pt>
                <c:pt idx="94">
                  <c:v>2640</c:v>
                </c:pt>
                <c:pt idx="95">
                  <c:v>2016</c:v>
                </c:pt>
                <c:pt idx="96">
                  <c:v>1986</c:v>
                </c:pt>
                <c:pt idx="97">
                  <c:v>2391</c:v>
                </c:pt>
                <c:pt idx="98">
                  <c:v>2484</c:v>
                </c:pt>
                <c:pt idx="99">
                  <c:v>2373</c:v>
                </c:pt>
                <c:pt idx="100">
                  <c:v>2216</c:v>
                </c:pt>
                <c:pt idx="101">
                  <c:v>3400</c:v>
                </c:pt>
                <c:pt idx="102">
                  <c:v>2197</c:v>
                </c:pt>
                <c:pt idx="103">
                  <c:v>3850</c:v>
                </c:pt>
                <c:pt idx="104">
                  <c:v>2906</c:v>
                </c:pt>
                <c:pt idx="105">
                  <c:v>2382</c:v>
                </c:pt>
                <c:pt idx="106">
                  <c:v>4439</c:v>
                </c:pt>
                <c:pt idx="107">
                  <c:v>1434</c:v>
                </c:pt>
                <c:pt idx="108">
                  <c:v>3249</c:v>
                </c:pt>
                <c:pt idx="109">
                  <c:v>2023</c:v>
                </c:pt>
                <c:pt idx="110">
                  <c:v>2040</c:v>
                </c:pt>
                <c:pt idx="111">
                  <c:v>3248</c:v>
                </c:pt>
                <c:pt idx="112">
                  <c:v>2786</c:v>
                </c:pt>
                <c:pt idx="113">
                  <c:v>4035</c:v>
                </c:pt>
                <c:pt idx="114">
                  <c:v>2981</c:v>
                </c:pt>
                <c:pt idx="115">
                  <c:v>2318</c:v>
                </c:pt>
                <c:pt idx="116">
                  <c:v>3424</c:v>
                </c:pt>
                <c:pt idx="117">
                  <c:v>2328</c:v>
                </c:pt>
                <c:pt idx="118">
                  <c:v>982</c:v>
                </c:pt>
                <c:pt idx="119">
                  <c:v>2355</c:v>
                </c:pt>
                <c:pt idx="120">
                  <c:v>2186</c:v>
                </c:pt>
                <c:pt idx="121">
                  <c:v>1501</c:v>
                </c:pt>
                <c:pt idx="122">
                  <c:v>2903</c:v>
                </c:pt>
                <c:pt idx="123">
                  <c:v>2876</c:v>
                </c:pt>
                <c:pt idx="124">
                  <c:v>1501</c:v>
                </c:pt>
                <c:pt idx="125">
                  <c:v>1022</c:v>
                </c:pt>
                <c:pt idx="126">
                  <c:v>1140</c:v>
                </c:pt>
                <c:pt idx="127">
                  <c:v>526</c:v>
                </c:pt>
                <c:pt idx="128">
                  <c:v>812</c:v>
                </c:pt>
                <c:pt idx="129">
                  <c:v>1738</c:v>
                </c:pt>
                <c:pt idx="130">
                  <c:v>1758</c:v>
                </c:pt>
                <c:pt idx="131">
                  <c:v>842</c:v>
                </c:pt>
                <c:pt idx="132">
                  <c:v>649</c:v>
                </c:pt>
                <c:pt idx="133">
                  <c:v>554</c:v>
                </c:pt>
                <c:pt idx="134">
                  <c:v>304</c:v>
                </c:pt>
                <c:pt idx="135">
                  <c:v>1381</c:v>
                </c:pt>
                <c:pt idx="136">
                  <c:v>1378</c:v>
                </c:pt>
                <c:pt idx="137">
                  <c:v>1405</c:v>
                </c:pt>
                <c:pt idx="138">
                  <c:v>2398</c:v>
                </c:pt>
                <c:pt idx="139">
                  <c:v>3195</c:v>
                </c:pt>
                <c:pt idx="140">
                  <c:v>4207</c:v>
                </c:pt>
                <c:pt idx="141">
                  <c:v>2377</c:v>
                </c:pt>
                <c:pt idx="142">
                  <c:v>3201</c:v>
                </c:pt>
                <c:pt idx="143">
                  <c:v>2824</c:v>
                </c:pt>
                <c:pt idx="144">
                  <c:v>3726</c:v>
                </c:pt>
                <c:pt idx="145">
                  <c:v>3718</c:v>
                </c:pt>
                <c:pt idx="146">
                  <c:v>3806</c:v>
                </c:pt>
                <c:pt idx="147">
                  <c:v>3162</c:v>
                </c:pt>
                <c:pt idx="148">
                  <c:v>3092</c:v>
                </c:pt>
                <c:pt idx="149">
                  <c:v>3298</c:v>
                </c:pt>
                <c:pt idx="150">
                  <c:v>3847</c:v>
                </c:pt>
                <c:pt idx="151">
                  <c:v>3614</c:v>
                </c:pt>
                <c:pt idx="152">
                  <c:v>3251</c:v>
                </c:pt>
                <c:pt idx="153">
                  <c:v>1125</c:v>
                </c:pt>
                <c:pt idx="154">
                  <c:v>2693</c:v>
                </c:pt>
                <c:pt idx="155">
                  <c:v>3548</c:v>
                </c:pt>
                <c:pt idx="156">
                  <c:v>3451</c:v>
                </c:pt>
                <c:pt idx="157">
                  <c:v>4311</c:v>
                </c:pt>
                <c:pt idx="158">
                  <c:v>2529</c:v>
                </c:pt>
                <c:pt idx="159">
                  <c:v>2649</c:v>
                </c:pt>
                <c:pt idx="160">
                  <c:v>2491</c:v>
                </c:pt>
                <c:pt idx="161">
                  <c:v>3230</c:v>
                </c:pt>
                <c:pt idx="162">
                  <c:v>2631</c:v>
                </c:pt>
                <c:pt idx="163">
                  <c:v>1369</c:v>
                </c:pt>
                <c:pt idx="164">
                  <c:v>2200</c:v>
                </c:pt>
                <c:pt idx="165">
                  <c:v>2717</c:v>
                </c:pt>
                <c:pt idx="166">
                  <c:v>1939</c:v>
                </c:pt>
                <c:pt idx="167">
                  <c:v>3286</c:v>
                </c:pt>
                <c:pt idx="168">
                  <c:v>1677</c:v>
                </c:pt>
                <c:pt idx="169">
                  <c:v>3078</c:v>
                </c:pt>
                <c:pt idx="170">
                  <c:v>1825</c:v>
                </c:pt>
                <c:pt idx="171">
                  <c:v>2182</c:v>
                </c:pt>
                <c:pt idx="172">
                  <c:v>1917</c:v>
                </c:pt>
                <c:pt idx="173">
                  <c:v>3669</c:v>
                </c:pt>
                <c:pt idx="174">
                  <c:v>2215</c:v>
                </c:pt>
                <c:pt idx="175">
                  <c:v>1209</c:v>
                </c:pt>
                <c:pt idx="176">
                  <c:v>1452</c:v>
                </c:pt>
                <c:pt idx="177">
                  <c:v>2098</c:v>
                </c:pt>
                <c:pt idx="178">
                  <c:v>1163</c:v>
                </c:pt>
                <c:pt idx="179">
                  <c:v>827</c:v>
                </c:pt>
                <c:pt idx="180">
                  <c:v>1463</c:v>
                </c:pt>
                <c:pt idx="181">
                  <c:v>2770</c:v>
                </c:pt>
                <c:pt idx="182">
                  <c:v>2153</c:v>
                </c:pt>
                <c:pt idx="183">
                  <c:v>2861</c:v>
                </c:pt>
                <c:pt idx="184">
                  <c:v>4898</c:v>
                </c:pt>
                <c:pt idx="185">
                  <c:v>2770</c:v>
                </c:pt>
                <c:pt idx="186">
                  <c:v>1203</c:v>
                </c:pt>
                <c:pt idx="187">
                  <c:v>1049</c:v>
                </c:pt>
                <c:pt idx="188">
                  <c:v>2431</c:v>
                </c:pt>
                <c:pt idx="189">
                  <c:v>2532</c:v>
                </c:pt>
                <c:pt idx="190">
                  <c:v>3032</c:v>
                </c:pt>
                <c:pt idx="191">
                  <c:v>2345</c:v>
                </c:pt>
                <c:pt idx="192">
                  <c:v>2901</c:v>
                </c:pt>
                <c:pt idx="193">
                  <c:v>2820</c:v>
                </c:pt>
                <c:pt idx="194">
                  <c:v>1502</c:v>
                </c:pt>
                <c:pt idx="195">
                  <c:v>1398</c:v>
                </c:pt>
                <c:pt idx="196">
                  <c:v>2074</c:v>
                </c:pt>
                <c:pt idx="197">
                  <c:v>1506</c:v>
                </c:pt>
                <c:pt idx="198">
                  <c:v>1898</c:v>
                </c:pt>
                <c:pt idx="199">
                  <c:v>2374</c:v>
                </c:pt>
                <c:pt idx="200">
                  <c:v>1005</c:v>
                </c:pt>
                <c:pt idx="201">
                  <c:v>2019</c:v>
                </c:pt>
                <c:pt idx="202">
                  <c:v>1194</c:v>
                </c:pt>
                <c:pt idx="203">
                  <c:v>2124</c:v>
                </c:pt>
                <c:pt idx="204">
                  <c:v>2373</c:v>
                </c:pt>
                <c:pt idx="205">
                  <c:v>997</c:v>
                </c:pt>
                <c:pt idx="206">
                  <c:v>985</c:v>
                </c:pt>
                <c:pt idx="207">
                  <c:v>2293</c:v>
                </c:pt>
                <c:pt idx="208">
                  <c:v>940</c:v>
                </c:pt>
                <c:pt idx="209">
                  <c:v>2791</c:v>
                </c:pt>
                <c:pt idx="210">
                  <c:v>3289</c:v>
                </c:pt>
                <c:pt idx="211">
                  <c:v>3468</c:v>
                </c:pt>
                <c:pt idx="212">
                  <c:v>2491</c:v>
                </c:pt>
                <c:pt idx="213">
                  <c:v>2844</c:v>
                </c:pt>
                <c:pt idx="214">
                  <c:v>2685</c:v>
                </c:pt>
                <c:pt idx="215">
                  <c:v>1381</c:v>
                </c:pt>
                <c:pt idx="216">
                  <c:v>1160</c:v>
                </c:pt>
                <c:pt idx="217">
                  <c:v>1800</c:v>
                </c:pt>
                <c:pt idx="218">
                  <c:v>2042</c:v>
                </c:pt>
                <c:pt idx="219">
                  <c:v>1995</c:v>
                </c:pt>
                <c:pt idx="220">
                  <c:v>3245</c:v>
                </c:pt>
                <c:pt idx="221">
                  <c:v>2667</c:v>
                </c:pt>
                <c:pt idx="222">
                  <c:v>2660</c:v>
                </c:pt>
                <c:pt idx="223">
                  <c:v>2258</c:v>
                </c:pt>
                <c:pt idx="224">
                  <c:v>1260</c:v>
                </c:pt>
                <c:pt idx="225">
                  <c:v>2610</c:v>
                </c:pt>
                <c:pt idx="226">
                  <c:v>2332</c:v>
                </c:pt>
                <c:pt idx="227">
                  <c:v>5382</c:v>
                </c:pt>
                <c:pt idx="228">
                  <c:v>5797</c:v>
                </c:pt>
                <c:pt idx="229">
                  <c:v>3412</c:v>
                </c:pt>
                <c:pt idx="230">
                  <c:v>4608</c:v>
                </c:pt>
                <c:pt idx="231">
                  <c:v>3071</c:v>
                </c:pt>
                <c:pt idx="232">
                  <c:v>4011</c:v>
                </c:pt>
                <c:pt idx="233">
                  <c:v>5420</c:v>
                </c:pt>
                <c:pt idx="234">
                  <c:v>3215</c:v>
                </c:pt>
                <c:pt idx="235">
                  <c:v>4732</c:v>
                </c:pt>
                <c:pt idx="236">
                  <c:v>4909</c:v>
                </c:pt>
                <c:pt idx="237">
                  <c:v>2961</c:v>
                </c:pt>
                <c:pt idx="238">
                  <c:v>3575</c:v>
                </c:pt>
                <c:pt idx="239">
                  <c:v>4206</c:v>
                </c:pt>
                <c:pt idx="240">
                  <c:v>3039</c:v>
                </c:pt>
                <c:pt idx="241">
                  <c:v>4169</c:v>
                </c:pt>
                <c:pt idx="242">
                  <c:v>5091</c:v>
                </c:pt>
                <c:pt idx="243">
                  <c:v>3335</c:v>
                </c:pt>
                <c:pt idx="244">
                  <c:v>7678</c:v>
                </c:pt>
              </c:numCache>
            </c:numRef>
          </c:val>
        </c:ser>
        <c:gapWidth val="0"/>
        <c:axId val="136137728"/>
        <c:axId val="136147712"/>
      </c:barChart>
      <c:lineChart>
        <c:grouping val="standard"/>
        <c:ser>
          <c:idx val="3"/>
          <c:order val="1"/>
          <c:tx>
            <c:strRef>
              <c:f>[4]FCPO!$AM$2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[4]FCPO!$A$5048:$A$5292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1323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[4]FCPO!$AM$5048:$AM$5292</c:f>
              <c:numCache>
                <c:formatCode>General</c:formatCode>
                <c:ptCount val="245"/>
                <c:pt idx="0">
                  <c:v>9793</c:v>
                </c:pt>
                <c:pt idx="1">
                  <c:v>10234</c:v>
                </c:pt>
                <c:pt idx="2">
                  <c:v>9535</c:v>
                </c:pt>
                <c:pt idx="3">
                  <c:v>9445</c:v>
                </c:pt>
                <c:pt idx="4">
                  <c:v>9410</c:v>
                </c:pt>
                <c:pt idx="5">
                  <c:v>9400</c:v>
                </c:pt>
                <c:pt idx="6">
                  <c:v>9607</c:v>
                </c:pt>
                <c:pt idx="7">
                  <c:v>9753</c:v>
                </c:pt>
                <c:pt idx="8">
                  <c:v>9783</c:v>
                </c:pt>
                <c:pt idx="9">
                  <c:v>9881</c:v>
                </c:pt>
                <c:pt idx="10">
                  <c:v>10023</c:v>
                </c:pt>
                <c:pt idx="11">
                  <c:v>9883</c:v>
                </c:pt>
                <c:pt idx="12">
                  <c:v>9845</c:v>
                </c:pt>
                <c:pt idx="13">
                  <c:v>9602</c:v>
                </c:pt>
                <c:pt idx="14">
                  <c:v>9732</c:v>
                </c:pt>
                <c:pt idx="15">
                  <c:v>9749</c:v>
                </c:pt>
                <c:pt idx="16">
                  <c:v>9611</c:v>
                </c:pt>
                <c:pt idx="17">
                  <c:v>9854</c:v>
                </c:pt>
                <c:pt idx="18">
                  <c:v>9946</c:v>
                </c:pt>
                <c:pt idx="19">
                  <c:v>9987</c:v>
                </c:pt>
                <c:pt idx="20">
                  <c:v>9733</c:v>
                </c:pt>
                <c:pt idx="21">
                  <c:v>9776</c:v>
                </c:pt>
                <c:pt idx="22">
                  <c:v>9971</c:v>
                </c:pt>
                <c:pt idx="23">
                  <c:v>9347</c:v>
                </c:pt>
                <c:pt idx="24">
                  <c:v>9542</c:v>
                </c:pt>
                <c:pt idx="25">
                  <c:v>9489</c:v>
                </c:pt>
                <c:pt idx="26">
                  <c:v>9734</c:v>
                </c:pt>
                <c:pt idx="27">
                  <c:v>9700</c:v>
                </c:pt>
                <c:pt idx="28">
                  <c:v>10090</c:v>
                </c:pt>
                <c:pt idx="29">
                  <c:v>10179</c:v>
                </c:pt>
                <c:pt idx="30">
                  <c:v>10092</c:v>
                </c:pt>
                <c:pt idx="31">
                  <c:v>10334</c:v>
                </c:pt>
                <c:pt idx="32">
                  <c:v>10415</c:v>
                </c:pt>
                <c:pt idx="33">
                  <c:v>10905</c:v>
                </c:pt>
                <c:pt idx="34">
                  <c:v>11263</c:v>
                </c:pt>
                <c:pt idx="35">
                  <c:v>11356</c:v>
                </c:pt>
                <c:pt idx="36">
                  <c:v>11460</c:v>
                </c:pt>
                <c:pt idx="37">
                  <c:v>11523</c:v>
                </c:pt>
                <c:pt idx="38">
                  <c:v>11192</c:v>
                </c:pt>
                <c:pt idx="39">
                  <c:v>11262</c:v>
                </c:pt>
                <c:pt idx="40">
                  <c:v>11363</c:v>
                </c:pt>
                <c:pt idx="41">
                  <c:v>11484</c:v>
                </c:pt>
                <c:pt idx="42">
                  <c:v>11483</c:v>
                </c:pt>
                <c:pt idx="43">
                  <c:v>11581</c:v>
                </c:pt>
                <c:pt idx="44">
                  <c:v>11719</c:v>
                </c:pt>
                <c:pt idx="45">
                  <c:v>11332</c:v>
                </c:pt>
                <c:pt idx="46">
                  <c:v>10923</c:v>
                </c:pt>
                <c:pt idx="47">
                  <c:v>11300</c:v>
                </c:pt>
                <c:pt idx="48">
                  <c:v>11284</c:v>
                </c:pt>
                <c:pt idx="49">
                  <c:v>11264</c:v>
                </c:pt>
                <c:pt idx="50">
                  <c:v>11268</c:v>
                </c:pt>
                <c:pt idx="51">
                  <c:v>11582</c:v>
                </c:pt>
                <c:pt idx="52">
                  <c:v>11844</c:v>
                </c:pt>
                <c:pt idx="53">
                  <c:v>11895</c:v>
                </c:pt>
                <c:pt idx="54">
                  <c:v>11699</c:v>
                </c:pt>
                <c:pt idx="55">
                  <c:v>11693</c:v>
                </c:pt>
                <c:pt idx="56">
                  <c:v>11980</c:v>
                </c:pt>
                <c:pt idx="57">
                  <c:v>11960</c:v>
                </c:pt>
                <c:pt idx="58">
                  <c:v>12240</c:v>
                </c:pt>
                <c:pt idx="59">
                  <c:v>12394</c:v>
                </c:pt>
                <c:pt idx="60">
                  <c:v>12276</c:v>
                </c:pt>
                <c:pt idx="61">
                  <c:v>12091</c:v>
                </c:pt>
                <c:pt idx="62">
                  <c:v>11870</c:v>
                </c:pt>
                <c:pt idx="63">
                  <c:v>11733</c:v>
                </c:pt>
                <c:pt idx="64">
                  <c:v>11513</c:v>
                </c:pt>
                <c:pt idx="65">
                  <c:v>11475</c:v>
                </c:pt>
                <c:pt idx="66">
                  <c:v>10992</c:v>
                </c:pt>
                <c:pt idx="67">
                  <c:v>11329</c:v>
                </c:pt>
                <c:pt idx="68">
                  <c:v>11699</c:v>
                </c:pt>
                <c:pt idx="69">
                  <c:v>12074</c:v>
                </c:pt>
                <c:pt idx="70">
                  <c:v>12278</c:v>
                </c:pt>
                <c:pt idx="71">
                  <c:v>12722</c:v>
                </c:pt>
                <c:pt idx="72">
                  <c:v>12984</c:v>
                </c:pt>
                <c:pt idx="73">
                  <c:v>13245</c:v>
                </c:pt>
                <c:pt idx="74">
                  <c:v>13220</c:v>
                </c:pt>
                <c:pt idx="75">
                  <c:v>13453</c:v>
                </c:pt>
                <c:pt idx="76">
                  <c:v>13082</c:v>
                </c:pt>
                <c:pt idx="77">
                  <c:v>12710</c:v>
                </c:pt>
                <c:pt idx="78">
                  <c:v>12712</c:v>
                </c:pt>
                <c:pt idx="79">
                  <c:v>11789</c:v>
                </c:pt>
                <c:pt idx="80">
                  <c:v>11685</c:v>
                </c:pt>
                <c:pt idx="81">
                  <c:v>11676</c:v>
                </c:pt>
                <c:pt idx="82">
                  <c:v>11828</c:v>
                </c:pt>
                <c:pt idx="83">
                  <c:v>11804</c:v>
                </c:pt>
                <c:pt idx="84">
                  <c:v>12402</c:v>
                </c:pt>
                <c:pt idx="85">
                  <c:v>12738</c:v>
                </c:pt>
                <c:pt idx="86">
                  <c:v>12685</c:v>
                </c:pt>
                <c:pt idx="87">
                  <c:v>12601</c:v>
                </c:pt>
                <c:pt idx="88">
                  <c:v>12242</c:v>
                </c:pt>
                <c:pt idx="89">
                  <c:v>12377</c:v>
                </c:pt>
                <c:pt idx="90">
                  <c:v>12629</c:v>
                </c:pt>
                <c:pt idx="91">
                  <c:v>12992</c:v>
                </c:pt>
                <c:pt idx="92">
                  <c:v>13116</c:v>
                </c:pt>
                <c:pt idx="93">
                  <c:v>13144</c:v>
                </c:pt>
                <c:pt idx="94">
                  <c:v>13242</c:v>
                </c:pt>
                <c:pt idx="95">
                  <c:v>13344</c:v>
                </c:pt>
                <c:pt idx="96">
                  <c:v>13273</c:v>
                </c:pt>
                <c:pt idx="97">
                  <c:v>13290</c:v>
                </c:pt>
                <c:pt idx="98">
                  <c:v>13437</c:v>
                </c:pt>
                <c:pt idx="99">
                  <c:v>13282</c:v>
                </c:pt>
                <c:pt idx="100">
                  <c:v>13214</c:v>
                </c:pt>
                <c:pt idx="101">
                  <c:v>13380</c:v>
                </c:pt>
                <c:pt idx="102">
                  <c:v>13339</c:v>
                </c:pt>
                <c:pt idx="103">
                  <c:v>13150</c:v>
                </c:pt>
                <c:pt idx="104">
                  <c:v>12290</c:v>
                </c:pt>
                <c:pt idx="105">
                  <c:v>11996</c:v>
                </c:pt>
                <c:pt idx="106">
                  <c:v>12495</c:v>
                </c:pt>
                <c:pt idx="107">
                  <c:v>12756</c:v>
                </c:pt>
                <c:pt idx="108">
                  <c:v>13063</c:v>
                </c:pt>
                <c:pt idx="109">
                  <c:v>13158</c:v>
                </c:pt>
                <c:pt idx="110">
                  <c:v>13176</c:v>
                </c:pt>
                <c:pt idx="111">
                  <c:v>13186</c:v>
                </c:pt>
                <c:pt idx="112">
                  <c:v>13098</c:v>
                </c:pt>
                <c:pt idx="113">
                  <c:v>13002</c:v>
                </c:pt>
                <c:pt idx="114">
                  <c:v>12952</c:v>
                </c:pt>
                <c:pt idx="115">
                  <c:v>12948</c:v>
                </c:pt>
                <c:pt idx="116">
                  <c:v>12459</c:v>
                </c:pt>
                <c:pt idx="117">
                  <c:v>12780</c:v>
                </c:pt>
                <c:pt idx="118">
                  <c:v>12720</c:v>
                </c:pt>
                <c:pt idx="119">
                  <c:v>12121</c:v>
                </c:pt>
                <c:pt idx="120">
                  <c:v>12115</c:v>
                </c:pt>
                <c:pt idx="121">
                  <c:v>11765</c:v>
                </c:pt>
                <c:pt idx="122">
                  <c:v>11465</c:v>
                </c:pt>
                <c:pt idx="123">
                  <c:v>11425</c:v>
                </c:pt>
                <c:pt idx="124">
                  <c:v>11491</c:v>
                </c:pt>
                <c:pt idx="125">
                  <c:v>11463</c:v>
                </c:pt>
                <c:pt idx="126">
                  <c:v>10855</c:v>
                </c:pt>
                <c:pt idx="127">
                  <c:v>10779</c:v>
                </c:pt>
                <c:pt idx="128">
                  <c:v>10499</c:v>
                </c:pt>
                <c:pt idx="129">
                  <c:v>10706</c:v>
                </c:pt>
                <c:pt idx="130">
                  <c:v>10611</c:v>
                </c:pt>
                <c:pt idx="131">
                  <c:v>10584</c:v>
                </c:pt>
                <c:pt idx="132">
                  <c:v>10438</c:v>
                </c:pt>
                <c:pt idx="133">
                  <c:v>10355</c:v>
                </c:pt>
                <c:pt idx="134">
                  <c:v>10353</c:v>
                </c:pt>
                <c:pt idx="135">
                  <c:v>10573</c:v>
                </c:pt>
                <c:pt idx="136">
                  <c:v>10705</c:v>
                </c:pt>
                <c:pt idx="137">
                  <c:v>10708</c:v>
                </c:pt>
                <c:pt idx="138">
                  <c:v>10806</c:v>
                </c:pt>
                <c:pt idx="139">
                  <c:v>11090</c:v>
                </c:pt>
                <c:pt idx="140">
                  <c:v>11718</c:v>
                </c:pt>
                <c:pt idx="141">
                  <c:v>11895</c:v>
                </c:pt>
                <c:pt idx="142">
                  <c:v>11693</c:v>
                </c:pt>
                <c:pt idx="143">
                  <c:v>11138</c:v>
                </c:pt>
                <c:pt idx="144">
                  <c:v>11274</c:v>
                </c:pt>
                <c:pt idx="145">
                  <c:v>10495</c:v>
                </c:pt>
                <c:pt idx="146">
                  <c:v>9974</c:v>
                </c:pt>
                <c:pt idx="147">
                  <c:v>10044</c:v>
                </c:pt>
                <c:pt idx="148">
                  <c:v>10092</c:v>
                </c:pt>
                <c:pt idx="149">
                  <c:v>10353</c:v>
                </c:pt>
                <c:pt idx="150">
                  <c:v>10510</c:v>
                </c:pt>
                <c:pt idx="151">
                  <c:v>10487</c:v>
                </c:pt>
                <c:pt idx="152">
                  <c:v>10240</c:v>
                </c:pt>
                <c:pt idx="153">
                  <c:v>10450</c:v>
                </c:pt>
                <c:pt idx="154">
                  <c:v>10628</c:v>
                </c:pt>
                <c:pt idx="155">
                  <c:v>10797</c:v>
                </c:pt>
                <c:pt idx="156">
                  <c:v>10642</c:v>
                </c:pt>
                <c:pt idx="157">
                  <c:v>10586</c:v>
                </c:pt>
                <c:pt idx="158">
                  <c:v>10058</c:v>
                </c:pt>
                <c:pt idx="159">
                  <c:v>9931</c:v>
                </c:pt>
                <c:pt idx="160">
                  <c:v>10142</c:v>
                </c:pt>
                <c:pt idx="161">
                  <c:v>10029</c:v>
                </c:pt>
                <c:pt idx="162">
                  <c:v>9469</c:v>
                </c:pt>
                <c:pt idx="163">
                  <c:v>9307</c:v>
                </c:pt>
                <c:pt idx="164">
                  <c:v>9102</c:v>
                </c:pt>
                <c:pt idx="165">
                  <c:v>9477</c:v>
                </c:pt>
                <c:pt idx="166">
                  <c:v>9404</c:v>
                </c:pt>
                <c:pt idx="167">
                  <c:v>9080</c:v>
                </c:pt>
                <c:pt idx="168">
                  <c:v>9383</c:v>
                </c:pt>
                <c:pt idx="169">
                  <c:v>9186</c:v>
                </c:pt>
                <c:pt idx="170">
                  <c:v>9146</c:v>
                </c:pt>
                <c:pt idx="171">
                  <c:v>8949</c:v>
                </c:pt>
                <c:pt idx="172">
                  <c:v>8693</c:v>
                </c:pt>
                <c:pt idx="173">
                  <c:v>8876</c:v>
                </c:pt>
                <c:pt idx="174">
                  <c:v>8988</c:v>
                </c:pt>
                <c:pt idx="175">
                  <c:v>9107</c:v>
                </c:pt>
                <c:pt idx="176">
                  <c:v>9367</c:v>
                </c:pt>
                <c:pt idx="177">
                  <c:v>9319</c:v>
                </c:pt>
                <c:pt idx="178">
                  <c:v>9386</c:v>
                </c:pt>
                <c:pt idx="179">
                  <c:v>9307</c:v>
                </c:pt>
                <c:pt idx="180">
                  <c:v>9240</c:v>
                </c:pt>
                <c:pt idx="181">
                  <c:v>9413</c:v>
                </c:pt>
                <c:pt idx="182">
                  <c:v>9740</c:v>
                </c:pt>
                <c:pt idx="183">
                  <c:v>9836</c:v>
                </c:pt>
                <c:pt idx="184">
                  <c:v>9626</c:v>
                </c:pt>
                <c:pt idx="185">
                  <c:v>9168</c:v>
                </c:pt>
                <c:pt idx="186">
                  <c:v>9454</c:v>
                </c:pt>
                <c:pt idx="187">
                  <c:v>9587</c:v>
                </c:pt>
                <c:pt idx="188">
                  <c:v>9615</c:v>
                </c:pt>
                <c:pt idx="189">
                  <c:v>9678</c:v>
                </c:pt>
                <c:pt idx="190">
                  <c:v>9780</c:v>
                </c:pt>
                <c:pt idx="191">
                  <c:v>9897</c:v>
                </c:pt>
                <c:pt idx="192">
                  <c:v>10171</c:v>
                </c:pt>
                <c:pt idx="193">
                  <c:v>10523</c:v>
                </c:pt>
                <c:pt idx="194">
                  <c:v>10483</c:v>
                </c:pt>
                <c:pt idx="195">
                  <c:v>10683</c:v>
                </c:pt>
                <c:pt idx="196">
                  <c:v>10834</c:v>
                </c:pt>
                <c:pt idx="197">
                  <c:v>11126</c:v>
                </c:pt>
                <c:pt idx="198">
                  <c:v>11046</c:v>
                </c:pt>
                <c:pt idx="199">
                  <c:v>10674</c:v>
                </c:pt>
                <c:pt idx="200">
                  <c:v>10786</c:v>
                </c:pt>
                <c:pt idx="201">
                  <c:v>10812</c:v>
                </c:pt>
                <c:pt idx="202">
                  <c:v>10808</c:v>
                </c:pt>
                <c:pt idx="203">
                  <c:v>10450</c:v>
                </c:pt>
                <c:pt idx="204">
                  <c:v>10098</c:v>
                </c:pt>
                <c:pt idx="205">
                  <c:v>10275</c:v>
                </c:pt>
                <c:pt idx="206">
                  <c:v>10340</c:v>
                </c:pt>
                <c:pt idx="207">
                  <c:v>10364</c:v>
                </c:pt>
                <c:pt idx="208">
                  <c:v>10266</c:v>
                </c:pt>
                <c:pt idx="209">
                  <c:v>9644</c:v>
                </c:pt>
                <c:pt idx="210">
                  <c:v>9557</c:v>
                </c:pt>
                <c:pt idx="211">
                  <c:v>10017</c:v>
                </c:pt>
                <c:pt idx="212">
                  <c:v>10373</c:v>
                </c:pt>
                <c:pt idx="213">
                  <c:v>10962</c:v>
                </c:pt>
                <c:pt idx="214">
                  <c:v>11485</c:v>
                </c:pt>
                <c:pt idx="215">
                  <c:v>11249</c:v>
                </c:pt>
                <c:pt idx="216">
                  <c:v>11327</c:v>
                </c:pt>
                <c:pt idx="217">
                  <c:v>11466</c:v>
                </c:pt>
                <c:pt idx="218">
                  <c:v>11356</c:v>
                </c:pt>
                <c:pt idx="219">
                  <c:v>11081</c:v>
                </c:pt>
                <c:pt idx="220">
                  <c:v>11333</c:v>
                </c:pt>
                <c:pt idx="221">
                  <c:v>11493</c:v>
                </c:pt>
                <c:pt idx="222">
                  <c:v>11557</c:v>
                </c:pt>
                <c:pt idx="223">
                  <c:v>11302</c:v>
                </c:pt>
                <c:pt idx="224">
                  <c:v>11095</c:v>
                </c:pt>
                <c:pt idx="225">
                  <c:v>11563</c:v>
                </c:pt>
                <c:pt idx="226">
                  <c:v>11892</c:v>
                </c:pt>
                <c:pt idx="227">
                  <c:v>12068</c:v>
                </c:pt>
                <c:pt idx="228">
                  <c:v>12473</c:v>
                </c:pt>
                <c:pt idx="229">
                  <c:v>12975</c:v>
                </c:pt>
                <c:pt idx="230">
                  <c:v>12870</c:v>
                </c:pt>
                <c:pt idx="231">
                  <c:v>13138</c:v>
                </c:pt>
                <c:pt idx="232">
                  <c:v>12609</c:v>
                </c:pt>
                <c:pt idx="233">
                  <c:v>13747</c:v>
                </c:pt>
                <c:pt idx="234">
                  <c:v>13858</c:v>
                </c:pt>
                <c:pt idx="235">
                  <c:v>13334</c:v>
                </c:pt>
                <c:pt idx="236">
                  <c:v>12833</c:v>
                </c:pt>
                <c:pt idx="237">
                  <c:v>12987</c:v>
                </c:pt>
                <c:pt idx="238">
                  <c:v>12862</c:v>
                </c:pt>
                <c:pt idx="239">
                  <c:v>13494</c:v>
                </c:pt>
                <c:pt idx="240">
                  <c:v>13879</c:v>
                </c:pt>
                <c:pt idx="241">
                  <c:v>13540</c:v>
                </c:pt>
                <c:pt idx="242">
                  <c:v>13843</c:v>
                </c:pt>
                <c:pt idx="243">
                  <c:v>14254</c:v>
                </c:pt>
                <c:pt idx="244">
                  <c:v>14772</c:v>
                </c:pt>
              </c:numCache>
            </c:numRef>
          </c:val>
        </c:ser>
        <c:marker val="1"/>
        <c:axId val="136149248"/>
        <c:axId val="136151040"/>
      </c:lineChart>
      <c:catAx>
        <c:axId val="136137728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47712"/>
        <c:crosses val="autoZero"/>
        <c:lblAlgn val="ctr"/>
        <c:lblOffset val="100"/>
        <c:tickLblSkip val="10"/>
        <c:tickMarkSkip val="1"/>
      </c:catAx>
      <c:valAx>
        <c:axId val="136147712"/>
        <c:scaling>
          <c:orientation val="minMax"/>
          <c:max val="100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37728"/>
        <c:crosses val="autoZero"/>
        <c:crossBetween val="between"/>
        <c:majorUnit val="1000"/>
      </c:valAx>
      <c:catAx>
        <c:axId val="136149248"/>
        <c:scaling>
          <c:orientation val="minMax"/>
        </c:scaling>
        <c:delete val="1"/>
        <c:axPos val="b"/>
        <c:numFmt formatCode="General" sourceLinked="1"/>
        <c:tickLblPos val="nextTo"/>
        <c:crossAx val="136151040"/>
        <c:crosses val="autoZero"/>
        <c:lblAlgn val="ctr"/>
        <c:lblOffset val="100"/>
      </c:catAx>
      <c:valAx>
        <c:axId val="136151040"/>
        <c:scaling>
          <c:orientation val="minMax"/>
          <c:max val="16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149248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3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[2]DATA!$C$489:$C$734</c:f>
              <c:numCache>
                <c:formatCode>General</c:formatCode>
                <c:ptCount val="246"/>
                <c:pt idx="0">
                  <c:v>2747</c:v>
                </c:pt>
                <c:pt idx="1">
                  <c:v>1980</c:v>
                </c:pt>
                <c:pt idx="2">
                  <c:v>3054</c:v>
                </c:pt>
                <c:pt idx="3">
                  <c:v>3972</c:v>
                </c:pt>
                <c:pt idx="4">
                  <c:v>4505</c:v>
                </c:pt>
                <c:pt idx="5">
                  <c:v>1931</c:v>
                </c:pt>
                <c:pt idx="6">
                  <c:v>1832</c:v>
                </c:pt>
                <c:pt idx="7">
                  <c:v>3393</c:v>
                </c:pt>
                <c:pt idx="8">
                  <c:v>3346</c:v>
                </c:pt>
                <c:pt idx="9">
                  <c:v>2291</c:v>
                </c:pt>
                <c:pt idx="10">
                  <c:v>3128</c:v>
                </c:pt>
                <c:pt idx="11">
                  <c:v>3031</c:v>
                </c:pt>
                <c:pt idx="12">
                  <c:v>3905</c:v>
                </c:pt>
                <c:pt idx="13">
                  <c:v>2213</c:v>
                </c:pt>
                <c:pt idx="14">
                  <c:v>1879</c:v>
                </c:pt>
                <c:pt idx="15">
                  <c:v>2358</c:v>
                </c:pt>
                <c:pt idx="16">
                  <c:v>1526</c:v>
                </c:pt>
                <c:pt idx="17">
                  <c:v>647</c:v>
                </c:pt>
                <c:pt idx="18">
                  <c:v>1757</c:v>
                </c:pt>
                <c:pt idx="19">
                  <c:v>1047</c:v>
                </c:pt>
                <c:pt idx="20">
                  <c:v>1030</c:v>
                </c:pt>
                <c:pt idx="21">
                  <c:v>738</c:v>
                </c:pt>
                <c:pt idx="22">
                  <c:v>869</c:v>
                </c:pt>
                <c:pt idx="23">
                  <c:v>1082</c:v>
                </c:pt>
                <c:pt idx="24">
                  <c:v>2688</c:v>
                </c:pt>
                <c:pt idx="25">
                  <c:v>2892</c:v>
                </c:pt>
                <c:pt idx="26">
                  <c:v>2452</c:v>
                </c:pt>
                <c:pt idx="27">
                  <c:v>1669</c:v>
                </c:pt>
                <c:pt idx="28">
                  <c:v>2550</c:v>
                </c:pt>
                <c:pt idx="29">
                  <c:v>3564</c:v>
                </c:pt>
                <c:pt idx="30">
                  <c:v>3382</c:v>
                </c:pt>
                <c:pt idx="31">
                  <c:v>2343</c:v>
                </c:pt>
                <c:pt idx="32">
                  <c:v>3555</c:v>
                </c:pt>
                <c:pt idx="33">
                  <c:v>3037</c:v>
                </c:pt>
                <c:pt idx="34">
                  <c:v>4549</c:v>
                </c:pt>
                <c:pt idx="35">
                  <c:v>5362</c:v>
                </c:pt>
                <c:pt idx="36">
                  <c:v>4571</c:v>
                </c:pt>
                <c:pt idx="37">
                  <c:v>3464</c:v>
                </c:pt>
                <c:pt idx="38">
                  <c:v>5981</c:v>
                </c:pt>
                <c:pt idx="39">
                  <c:v>3429</c:v>
                </c:pt>
                <c:pt idx="40">
                  <c:v>2328</c:v>
                </c:pt>
                <c:pt idx="41">
                  <c:v>3598</c:v>
                </c:pt>
                <c:pt idx="42">
                  <c:v>2946</c:v>
                </c:pt>
                <c:pt idx="43">
                  <c:v>3009</c:v>
                </c:pt>
                <c:pt idx="44">
                  <c:v>3500</c:v>
                </c:pt>
                <c:pt idx="45">
                  <c:v>3046</c:v>
                </c:pt>
                <c:pt idx="46">
                  <c:v>3756</c:v>
                </c:pt>
                <c:pt idx="47">
                  <c:v>2410</c:v>
                </c:pt>
                <c:pt idx="48">
                  <c:v>2172</c:v>
                </c:pt>
                <c:pt idx="49">
                  <c:v>3080</c:v>
                </c:pt>
                <c:pt idx="50">
                  <c:v>3040</c:v>
                </c:pt>
                <c:pt idx="51">
                  <c:v>4497</c:v>
                </c:pt>
                <c:pt idx="52">
                  <c:v>4836</c:v>
                </c:pt>
                <c:pt idx="53">
                  <c:v>5755</c:v>
                </c:pt>
                <c:pt idx="54">
                  <c:v>4660</c:v>
                </c:pt>
                <c:pt idx="55">
                  <c:v>4127</c:v>
                </c:pt>
                <c:pt idx="56">
                  <c:v>3942</c:v>
                </c:pt>
                <c:pt idx="57">
                  <c:v>1571</c:v>
                </c:pt>
                <c:pt idx="58">
                  <c:v>2206</c:v>
                </c:pt>
                <c:pt idx="59">
                  <c:v>2711</c:v>
                </c:pt>
                <c:pt idx="60">
                  <c:v>3275</c:v>
                </c:pt>
                <c:pt idx="61">
                  <c:v>2048</c:v>
                </c:pt>
                <c:pt idx="62">
                  <c:v>1350</c:v>
                </c:pt>
                <c:pt idx="63">
                  <c:v>2837</c:v>
                </c:pt>
                <c:pt idx="64">
                  <c:v>2259</c:v>
                </c:pt>
                <c:pt idx="65">
                  <c:v>1703</c:v>
                </c:pt>
                <c:pt idx="66">
                  <c:v>1847</c:v>
                </c:pt>
                <c:pt idx="67">
                  <c:v>1185</c:v>
                </c:pt>
                <c:pt idx="68">
                  <c:v>1486</c:v>
                </c:pt>
                <c:pt idx="69">
                  <c:v>1731</c:v>
                </c:pt>
                <c:pt idx="70">
                  <c:v>2970</c:v>
                </c:pt>
                <c:pt idx="71">
                  <c:v>2853</c:v>
                </c:pt>
                <c:pt idx="72">
                  <c:v>3861</c:v>
                </c:pt>
                <c:pt idx="73">
                  <c:v>4224</c:v>
                </c:pt>
                <c:pt idx="74">
                  <c:v>4978</c:v>
                </c:pt>
                <c:pt idx="75">
                  <c:v>3580</c:v>
                </c:pt>
                <c:pt idx="76">
                  <c:v>3326</c:v>
                </c:pt>
                <c:pt idx="77">
                  <c:v>2728</c:v>
                </c:pt>
                <c:pt idx="78">
                  <c:v>3263</c:v>
                </c:pt>
                <c:pt idx="79">
                  <c:v>2089</c:v>
                </c:pt>
                <c:pt idx="80">
                  <c:v>2605</c:v>
                </c:pt>
                <c:pt idx="81">
                  <c:v>4380</c:v>
                </c:pt>
                <c:pt idx="82">
                  <c:v>1483</c:v>
                </c:pt>
                <c:pt idx="83">
                  <c:v>7509</c:v>
                </c:pt>
                <c:pt idx="84">
                  <c:v>3532</c:v>
                </c:pt>
                <c:pt idx="85">
                  <c:v>1542</c:v>
                </c:pt>
                <c:pt idx="86">
                  <c:v>725</c:v>
                </c:pt>
                <c:pt idx="87">
                  <c:v>2005</c:v>
                </c:pt>
                <c:pt idx="88">
                  <c:v>5564</c:v>
                </c:pt>
                <c:pt idx="89">
                  <c:v>4664</c:v>
                </c:pt>
                <c:pt idx="90">
                  <c:v>5475</c:v>
                </c:pt>
                <c:pt idx="91">
                  <c:v>5135</c:v>
                </c:pt>
                <c:pt idx="92">
                  <c:v>4504</c:v>
                </c:pt>
                <c:pt idx="93">
                  <c:v>7464</c:v>
                </c:pt>
                <c:pt idx="94">
                  <c:v>5523</c:v>
                </c:pt>
                <c:pt idx="95">
                  <c:v>4347</c:v>
                </c:pt>
                <c:pt idx="96">
                  <c:v>6700</c:v>
                </c:pt>
                <c:pt idx="97">
                  <c:v>4865</c:v>
                </c:pt>
                <c:pt idx="98">
                  <c:v>4449</c:v>
                </c:pt>
                <c:pt idx="99">
                  <c:v>2354</c:v>
                </c:pt>
                <c:pt idx="100">
                  <c:v>2528</c:v>
                </c:pt>
                <c:pt idx="101">
                  <c:v>3219</c:v>
                </c:pt>
                <c:pt idx="102">
                  <c:v>7449</c:v>
                </c:pt>
                <c:pt idx="103">
                  <c:v>2546</c:v>
                </c:pt>
                <c:pt idx="104">
                  <c:v>2069</c:v>
                </c:pt>
                <c:pt idx="105">
                  <c:v>3705</c:v>
                </c:pt>
                <c:pt idx="106">
                  <c:v>5021</c:v>
                </c:pt>
                <c:pt idx="107">
                  <c:v>5222</c:v>
                </c:pt>
                <c:pt idx="108">
                  <c:v>4369</c:v>
                </c:pt>
                <c:pt idx="109">
                  <c:v>6637</c:v>
                </c:pt>
                <c:pt idx="110">
                  <c:v>5054</c:v>
                </c:pt>
                <c:pt idx="111">
                  <c:v>7165</c:v>
                </c:pt>
                <c:pt idx="112">
                  <c:v>4581</c:v>
                </c:pt>
                <c:pt idx="113">
                  <c:v>3593</c:v>
                </c:pt>
                <c:pt idx="114">
                  <c:v>4896</c:v>
                </c:pt>
                <c:pt idx="115">
                  <c:v>4454</c:v>
                </c:pt>
                <c:pt idx="116">
                  <c:v>4709</c:v>
                </c:pt>
                <c:pt idx="117">
                  <c:v>4034</c:v>
                </c:pt>
                <c:pt idx="118">
                  <c:v>2279</c:v>
                </c:pt>
                <c:pt idx="119">
                  <c:v>2668</c:v>
                </c:pt>
                <c:pt idx="120">
                  <c:v>2926</c:v>
                </c:pt>
                <c:pt idx="121">
                  <c:v>4924</c:v>
                </c:pt>
                <c:pt idx="122">
                  <c:v>3691</c:v>
                </c:pt>
                <c:pt idx="123">
                  <c:v>2936</c:v>
                </c:pt>
                <c:pt idx="124">
                  <c:v>2399</c:v>
                </c:pt>
                <c:pt idx="125">
                  <c:v>3198</c:v>
                </c:pt>
                <c:pt idx="126">
                  <c:v>4102</c:v>
                </c:pt>
                <c:pt idx="127">
                  <c:v>3641</c:v>
                </c:pt>
                <c:pt idx="128">
                  <c:v>2652</c:v>
                </c:pt>
                <c:pt idx="129">
                  <c:v>4290</c:v>
                </c:pt>
                <c:pt idx="130">
                  <c:v>6674</c:v>
                </c:pt>
                <c:pt idx="131">
                  <c:v>8532</c:v>
                </c:pt>
                <c:pt idx="132">
                  <c:v>8557</c:v>
                </c:pt>
                <c:pt idx="133">
                  <c:v>4247</c:v>
                </c:pt>
                <c:pt idx="134">
                  <c:v>3673</c:v>
                </c:pt>
                <c:pt idx="135">
                  <c:v>7044</c:v>
                </c:pt>
                <c:pt idx="136">
                  <c:v>6187</c:v>
                </c:pt>
                <c:pt idx="137">
                  <c:v>2479</c:v>
                </c:pt>
                <c:pt idx="138">
                  <c:v>4163</c:v>
                </c:pt>
                <c:pt idx="139">
                  <c:v>3588</c:v>
                </c:pt>
                <c:pt idx="140">
                  <c:v>2566</c:v>
                </c:pt>
                <c:pt idx="141">
                  <c:v>3802</c:v>
                </c:pt>
                <c:pt idx="142">
                  <c:v>2922</c:v>
                </c:pt>
                <c:pt idx="143">
                  <c:v>1182</c:v>
                </c:pt>
                <c:pt idx="144">
                  <c:v>2742</c:v>
                </c:pt>
                <c:pt idx="145">
                  <c:v>3009</c:v>
                </c:pt>
                <c:pt idx="146">
                  <c:v>3063</c:v>
                </c:pt>
                <c:pt idx="147">
                  <c:v>7150</c:v>
                </c:pt>
                <c:pt idx="148">
                  <c:v>3042</c:v>
                </c:pt>
                <c:pt idx="149">
                  <c:v>3922</c:v>
                </c:pt>
                <c:pt idx="150">
                  <c:v>4663</c:v>
                </c:pt>
                <c:pt idx="151">
                  <c:v>6206</c:v>
                </c:pt>
                <c:pt idx="152">
                  <c:v>4023</c:v>
                </c:pt>
                <c:pt idx="153">
                  <c:v>6649</c:v>
                </c:pt>
                <c:pt idx="154">
                  <c:v>5114</c:v>
                </c:pt>
                <c:pt idx="155">
                  <c:v>6742</c:v>
                </c:pt>
                <c:pt idx="156">
                  <c:v>6958</c:v>
                </c:pt>
                <c:pt idx="157">
                  <c:v>3454</c:v>
                </c:pt>
                <c:pt idx="158">
                  <c:v>3819</c:v>
                </c:pt>
                <c:pt idx="159">
                  <c:v>4177</c:v>
                </c:pt>
                <c:pt idx="160">
                  <c:v>3631</c:v>
                </c:pt>
                <c:pt idx="161">
                  <c:v>4270</c:v>
                </c:pt>
                <c:pt idx="162">
                  <c:v>2423</c:v>
                </c:pt>
                <c:pt idx="163">
                  <c:v>2240</c:v>
                </c:pt>
                <c:pt idx="164">
                  <c:v>2911</c:v>
                </c:pt>
                <c:pt idx="165">
                  <c:v>2314</c:v>
                </c:pt>
                <c:pt idx="166">
                  <c:v>3541</c:v>
                </c:pt>
                <c:pt idx="167">
                  <c:v>1448</c:v>
                </c:pt>
                <c:pt idx="168">
                  <c:v>4404</c:v>
                </c:pt>
                <c:pt idx="169">
                  <c:v>4574</c:v>
                </c:pt>
                <c:pt idx="170">
                  <c:v>4229</c:v>
                </c:pt>
                <c:pt idx="171">
                  <c:v>3458</c:v>
                </c:pt>
                <c:pt idx="172">
                  <c:v>2972</c:v>
                </c:pt>
                <c:pt idx="173">
                  <c:v>4018</c:v>
                </c:pt>
                <c:pt idx="174">
                  <c:v>6889</c:v>
                </c:pt>
                <c:pt idx="175">
                  <c:v>9013</c:v>
                </c:pt>
                <c:pt idx="176">
                  <c:v>7398</c:v>
                </c:pt>
                <c:pt idx="177">
                  <c:v>6613</c:v>
                </c:pt>
                <c:pt idx="178">
                  <c:v>6458</c:v>
                </c:pt>
                <c:pt idx="179">
                  <c:v>6534</c:v>
                </c:pt>
                <c:pt idx="180">
                  <c:v>6475</c:v>
                </c:pt>
                <c:pt idx="181">
                  <c:v>5015</c:v>
                </c:pt>
                <c:pt idx="182">
                  <c:v>6549</c:v>
                </c:pt>
                <c:pt idx="183">
                  <c:v>6966</c:v>
                </c:pt>
                <c:pt idx="184">
                  <c:v>10171</c:v>
                </c:pt>
                <c:pt idx="185">
                  <c:v>6865</c:v>
                </c:pt>
                <c:pt idx="186">
                  <c:v>11238</c:v>
                </c:pt>
                <c:pt idx="187">
                  <c:v>7896</c:v>
                </c:pt>
                <c:pt idx="188">
                  <c:v>5113</c:v>
                </c:pt>
                <c:pt idx="189">
                  <c:v>2701</c:v>
                </c:pt>
                <c:pt idx="190">
                  <c:v>2154</c:v>
                </c:pt>
                <c:pt idx="191">
                  <c:v>3014</c:v>
                </c:pt>
                <c:pt idx="192">
                  <c:v>3070</c:v>
                </c:pt>
                <c:pt idx="193">
                  <c:v>1686</c:v>
                </c:pt>
                <c:pt idx="194">
                  <c:v>1213</c:v>
                </c:pt>
                <c:pt idx="195">
                  <c:v>1486</c:v>
                </c:pt>
                <c:pt idx="196">
                  <c:v>1109</c:v>
                </c:pt>
                <c:pt idx="197">
                  <c:v>524</c:v>
                </c:pt>
                <c:pt idx="198">
                  <c:v>641</c:v>
                </c:pt>
                <c:pt idx="199">
                  <c:v>757</c:v>
                </c:pt>
                <c:pt idx="200">
                  <c:v>799</c:v>
                </c:pt>
                <c:pt idx="201">
                  <c:v>728</c:v>
                </c:pt>
                <c:pt idx="202">
                  <c:v>668</c:v>
                </c:pt>
                <c:pt idx="203">
                  <c:v>594</c:v>
                </c:pt>
                <c:pt idx="204">
                  <c:v>615</c:v>
                </c:pt>
                <c:pt idx="205">
                  <c:v>377</c:v>
                </c:pt>
                <c:pt idx="206">
                  <c:v>936</c:v>
                </c:pt>
                <c:pt idx="207">
                  <c:v>1050</c:v>
                </c:pt>
                <c:pt idx="208">
                  <c:v>445</c:v>
                </c:pt>
                <c:pt idx="209">
                  <c:v>316</c:v>
                </c:pt>
                <c:pt idx="210">
                  <c:v>903</c:v>
                </c:pt>
                <c:pt idx="211">
                  <c:v>953</c:v>
                </c:pt>
                <c:pt idx="212">
                  <c:v>400</c:v>
                </c:pt>
                <c:pt idx="213">
                  <c:v>494</c:v>
                </c:pt>
                <c:pt idx="214">
                  <c:v>1459</c:v>
                </c:pt>
                <c:pt idx="215">
                  <c:v>1081</c:v>
                </c:pt>
                <c:pt idx="216">
                  <c:v>1622</c:v>
                </c:pt>
                <c:pt idx="217">
                  <c:v>938</c:v>
                </c:pt>
                <c:pt idx="218">
                  <c:v>1049</c:v>
                </c:pt>
                <c:pt idx="219">
                  <c:v>954</c:v>
                </c:pt>
                <c:pt idx="220">
                  <c:v>695</c:v>
                </c:pt>
                <c:pt idx="221">
                  <c:v>532</c:v>
                </c:pt>
                <c:pt idx="222">
                  <c:v>685</c:v>
                </c:pt>
                <c:pt idx="223">
                  <c:v>795</c:v>
                </c:pt>
                <c:pt idx="224">
                  <c:v>812</c:v>
                </c:pt>
                <c:pt idx="225">
                  <c:v>1468</c:v>
                </c:pt>
                <c:pt idx="226">
                  <c:v>1045</c:v>
                </c:pt>
                <c:pt idx="227">
                  <c:v>1419</c:v>
                </c:pt>
                <c:pt idx="228">
                  <c:v>1220</c:v>
                </c:pt>
                <c:pt idx="229">
                  <c:v>1246</c:v>
                </c:pt>
                <c:pt idx="230">
                  <c:v>1272</c:v>
                </c:pt>
                <c:pt idx="231">
                  <c:v>1567</c:v>
                </c:pt>
                <c:pt idx="232">
                  <c:v>1542</c:v>
                </c:pt>
                <c:pt idx="233">
                  <c:v>1401</c:v>
                </c:pt>
                <c:pt idx="234">
                  <c:v>1243</c:v>
                </c:pt>
                <c:pt idx="235">
                  <c:v>913</c:v>
                </c:pt>
                <c:pt idx="236">
                  <c:v>638</c:v>
                </c:pt>
                <c:pt idx="237">
                  <c:v>628</c:v>
                </c:pt>
                <c:pt idx="238">
                  <c:v>639</c:v>
                </c:pt>
                <c:pt idx="239">
                  <c:v>945</c:v>
                </c:pt>
                <c:pt idx="240">
                  <c:v>1354</c:v>
                </c:pt>
                <c:pt idx="241">
                  <c:v>1474</c:v>
                </c:pt>
                <c:pt idx="242">
                  <c:v>1731</c:v>
                </c:pt>
                <c:pt idx="243">
                  <c:v>1279</c:v>
                </c:pt>
                <c:pt idx="244">
                  <c:v>1648</c:v>
                </c:pt>
                <c:pt idx="245">
                  <c:v>1521</c:v>
                </c:pt>
              </c:numCache>
            </c:numRef>
          </c:val>
        </c:ser>
        <c:gapWidth val="0"/>
        <c:axId val="136274688"/>
        <c:axId val="136276224"/>
      </c:barChart>
      <c:lineChart>
        <c:grouping val="standard"/>
        <c:ser>
          <c:idx val="2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[2]DATA!$B$489:$B$734</c:f>
              <c:numCache>
                <c:formatCode>General</c:formatCode>
                <c:ptCount val="246"/>
                <c:pt idx="0">
                  <c:v>8314</c:v>
                </c:pt>
                <c:pt idx="1">
                  <c:v>9094</c:v>
                </c:pt>
                <c:pt idx="2">
                  <c:v>9342</c:v>
                </c:pt>
                <c:pt idx="3">
                  <c:v>10508</c:v>
                </c:pt>
                <c:pt idx="4">
                  <c:v>11511</c:v>
                </c:pt>
                <c:pt idx="5">
                  <c:v>11170</c:v>
                </c:pt>
                <c:pt idx="6">
                  <c:v>11219</c:v>
                </c:pt>
                <c:pt idx="7">
                  <c:v>9421</c:v>
                </c:pt>
                <c:pt idx="8">
                  <c:v>10060</c:v>
                </c:pt>
                <c:pt idx="9">
                  <c:v>9725</c:v>
                </c:pt>
                <c:pt idx="10">
                  <c:v>10050</c:v>
                </c:pt>
                <c:pt idx="11">
                  <c:v>11511</c:v>
                </c:pt>
                <c:pt idx="12">
                  <c:v>11793</c:v>
                </c:pt>
                <c:pt idx="13">
                  <c:v>11090</c:v>
                </c:pt>
                <c:pt idx="14">
                  <c:v>11489</c:v>
                </c:pt>
                <c:pt idx="15">
                  <c:v>13165</c:v>
                </c:pt>
                <c:pt idx="16">
                  <c:v>13470</c:v>
                </c:pt>
                <c:pt idx="17">
                  <c:v>12481</c:v>
                </c:pt>
                <c:pt idx="18">
                  <c:v>11811</c:v>
                </c:pt>
                <c:pt idx="19">
                  <c:v>11482</c:v>
                </c:pt>
                <c:pt idx="20">
                  <c:v>7614</c:v>
                </c:pt>
                <c:pt idx="21">
                  <c:v>7851</c:v>
                </c:pt>
                <c:pt idx="22">
                  <c:v>7885</c:v>
                </c:pt>
                <c:pt idx="23">
                  <c:v>8193</c:v>
                </c:pt>
                <c:pt idx="24">
                  <c:v>8432</c:v>
                </c:pt>
                <c:pt idx="25">
                  <c:v>9345</c:v>
                </c:pt>
                <c:pt idx="26">
                  <c:v>9335</c:v>
                </c:pt>
                <c:pt idx="27">
                  <c:v>9770</c:v>
                </c:pt>
                <c:pt idx="28">
                  <c:v>9522</c:v>
                </c:pt>
                <c:pt idx="29">
                  <c:v>10560</c:v>
                </c:pt>
                <c:pt idx="30">
                  <c:v>11716</c:v>
                </c:pt>
                <c:pt idx="31">
                  <c:v>11375</c:v>
                </c:pt>
                <c:pt idx="32">
                  <c:v>12696</c:v>
                </c:pt>
                <c:pt idx="33">
                  <c:v>10348</c:v>
                </c:pt>
                <c:pt idx="34">
                  <c:v>12293</c:v>
                </c:pt>
                <c:pt idx="35">
                  <c:v>13864</c:v>
                </c:pt>
                <c:pt idx="36">
                  <c:v>15131</c:v>
                </c:pt>
                <c:pt idx="37">
                  <c:v>8787</c:v>
                </c:pt>
                <c:pt idx="38">
                  <c:v>11059</c:v>
                </c:pt>
                <c:pt idx="39">
                  <c:v>10987</c:v>
                </c:pt>
                <c:pt idx="40">
                  <c:v>10537</c:v>
                </c:pt>
                <c:pt idx="41">
                  <c:v>12034</c:v>
                </c:pt>
                <c:pt idx="42">
                  <c:v>12329</c:v>
                </c:pt>
                <c:pt idx="43">
                  <c:v>13172</c:v>
                </c:pt>
                <c:pt idx="44">
                  <c:v>13328</c:v>
                </c:pt>
                <c:pt idx="45">
                  <c:v>14030</c:v>
                </c:pt>
                <c:pt idx="46">
                  <c:v>14952</c:v>
                </c:pt>
                <c:pt idx="47">
                  <c:v>12921</c:v>
                </c:pt>
                <c:pt idx="48">
                  <c:v>12555</c:v>
                </c:pt>
                <c:pt idx="49">
                  <c:v>11122</c:v>
                </c:pt>
                <c:pt idx="50">
                  <c:v>11753</c:v>
                </c:pt>
                <c:pt idx="51">
                  <c:v>13435</c:v>
                </c:pt>
                <c:pt idx="52">
                  <c:v>15324</c:v>
                </c:pt>
                <c:pt idx="53">
                  <c:v>15640</c:v>
                </c:pt>
                <c:pt idx="54">
                  <c:v>15288</c:v>
                </c:pt>
                <c:pt idx="55">
                  <c:v>14605</c:v>
                </c:pt>
                <c:pt idx="56">
                  <c:v>8844</c:v>
                </c:pt>
                <c:pt idx="57">
                  <c:v>9345</c:v>
                </c:pt>
                <c:pt idx="58">
                  <c:v>9912</c:v>
                </c:pt>
                <c:pt idx="59">
                  <c:v>10809</c:v>
                </c:pt>
                <c:pt idx="60">
                  <c:v>11262</c:v>
                </c:pt>
                <c:pt idx="61">
                  <c:v>11285</c:v>
                </c:pt>
                <c:pt idx="62">
                  <c:v>11522</c:v>
                </c:pt>
                <c:pt idx="63">
                  <c:v>12001</c:v>
                </c:pt>
                <c:pt idx="64">
                  <c:v>12463</c:v>
                </c:pt>
                <c:pt idx="65">
                  <c:v>12240</c:v>
                </c:pt>
                <c:pt idx="66">
                  <c:v>12782</c:v>
                </c:pt>
                <c:pt idx="67">
                  <c:v>12737</c:v>
                </c:pt>
                <c:pt idx="68">
                  <c:v>12801</c:v>
                </c:pt>
                <c:pt idx="69">
                  <c:v>12644</c:v>
                </c:pt>
                <c:pt idx="70">
                  <c:v>13470</c:v>
                </c:pt>
                <c:pt idx="71">
                  <c:v>13773</c:v>
                </c:pt>
                <c:pt idx="72">
                  <c:v>15739</c:v>
                </c:pt>
                <c:pt idx="73">
                  <c:v>16508</c:v>
                </c:pt>
                <c:pt idx="74">
                  <c:v>18232</c:v>
                </c:pt>
                <c:pt idx="75">
                  <c:v>18476</c:v>
                </c:pt>
                <c:pt idx="76">
                  <c:v>17535</c:v>
                </c:pt>
                <c:pt idx="77">
                  <c:v>16307</c:v>
                </c:pt>
                <c:pt idx="78">
                  <c:v>8603</c:v>
                </c:pt>
                <c:pt idx="79">
                  <c:v>9025</c:v>
                </c:pt>
                <c:pt idx="80">
                  <c:v>10015</c:v>
                </c:pt>
                <c:pt idx="81">
                  <c:v>10985</c:v>
                </c:pt>
                <c:pt idx="82">
                  <c:v>11333</c:v>
                </c:pt>
                <c:pt idx="83">
                  <c:v>15700</c:v>
                </c:pt>
                <c:pt idx="84">
                  <c:v>16603</c:v>
                </c:pt>
                <c:pt idx="85">
                  <c:v>16253</c:v>
                </c:pt>
                <c:pt idx="86">
                  <c:v>15686</c:v>
                </c:pt>
                <c:pt idx="87">
                  <c:v>16958</c:v>
                </c:pt>
                <c:pt idx="88">
                  <c:v>18923</c:v>
                </c:pt>
                <c:pt idx="89">
                  <c:v>20041</c:v>
                </c:pt>
                <c:pt idx="90">
                  <c:v>21831</c:v>
                </c:pt>
                <c:pt idx="91">
                  <c:v>23966</c:v>
                </c:pt>
                <c:pt idx="92">
                  <c:v>23023</c:v>
                </c:pt>
                <c:pt idx="93">
                  <c:v>26218</c:v>
                </c:pt>
                <c:pt idx="94">
                  <c:v>24545</c:v>
                </c:pt>
                <c:pt idx="95">
                  <c:v>25676</c:v>
                </c:pt>
                <c:pt idx="96">
                  <c:v>27394</c:v>
                </c:pt>
                <c:pt idx="97">
                  <c:v>25485</c:v>
                </c:pt>
                <c:pt idx="98">
                  <c:v>14527</c:v>
                </c:pt>
                <c:pt idx="99">
                  <c:v>15326</c:v>
                </c:pt>
                <c:pt idx="100">
                  <c:v>15897</c:v>
                </c:pt>
                <c:pt idx="101">
                  <c:v>16800</c:v>
                </c:pt>
                <c:pt idx="102">
                  <c:v>20610</c:v>
                </c:pt>
                <c:pt idx="103">
                  <c:v>18728</c:v>
                </c:pt>
                <c:pt idx="104">
                  <c:v>17595</c:v>
                </c:pt>
                <c:pt idx="105">
                  <c:v>18729</c:v>
                </c:pt>
                <c:pt idx="106">
                  <c:v>20702</c:v>
                </c:pt>
                <c:pt idx="107">
                  <c:v>23246</c:v>
                </c:pt>
                <c:pt idx="108">
                  <c:v>22293</c:v>
                </c:pt>
                <c:pt idx="109">
                  <c:v>24523</c:v>
                </c:pt>
                <c:pt idx="110">
                  <c:v>25329</c:v>
                </c:pt>
                <c:pt idx="111">
                  <c:v>28435</c:v>
                </c:pt>
                <c:pt idx="112">
                  <c:v>27669</c:v>
                </c:pt>
                <c:pt idx="113">
                  <c:v>28491</c:v>
                </c:pt>
                <c:pt idx="114">
                  <c:v>28107</c:v>
                </c:pt>
                <c:pt idx="115">
                  <c:v>29857</c:v>
                </c:pt>
                <c:pt idx="116">
                  <c:v>28422</c:v>
                </c:pt>
                <c:pt idx="117">
                  <c:v>15973</c:v>
                </c:pt>
                <c:pt idx="118">
                  <c:v>16957</c:v>
                </c:pt>
                <c:pt idx="119">
                  <c:v>16919</c:v>
                </c:pt>
                <c:pt idx="120">
                  <c:v>17506</c:v>
                </c:pt>
                <c:pt idx="121">
                  <c:v>19964</c:v>
                </c:pt>
                <c:pt idx="122">
                  <c:v>20827</c:v>
                </c:pt>
                <c:pt idx="123">
                  <c:v>21109</c:v>
                </c:pt>
                <c:pt idx="124">
                  <c:v>19304</c:v>
                </c:pt>
                <c:pt idx="125">
                  <c:v>20689</c:v>
                </c:pt>
                <c:pt idx="126">
                  <c:v>22421</c:v>
                </c:pt>
                <c:pt idx="127">
                  <c:v>21396</c:v>
                </c:pt>
                <c:pt idx="128">
                  <c:v>22644</c:v>
                </c:pt>
                <c:pt idx="129">
                  <c:v>24485</c:v>
                </c:pt>
                <c:pt idx="130">
                  <c:v>25898</c:v>
                </c:pt>
                <c:pt idx="131">
                  <c:v>29431</c:v>
                </c:pt>
                <c:pt idx="132">
                  <c:v>31861</c:v>
                </c:pt>
                <c:pt idx="133">
                  <c:v>27768</c:v>
                </c:pt>
                <c:pt idx="134">
                  <c:v>25154</c:v>
                </c:pt>
                <c:pt idx="135">
                  <c:v>28400</c:v>
                </c:pt>
                <c:pt idx="136">
                  <c:v>32570</c:v>
                </c:pt>
                <c:pt idx="137">
                  <c:v>33243</c:v>
                </c:pt>
                <c:pt idx="138">
                  <c:v>32215</c:v>
                </c:pt>
                <c:pt idx="139">
                  <c:v>18442</c:v>
                </c:pt>
                <c:pt idx="140">
                  <c:v>19181</c:v>
                </c:pt>
                <c:pt idx="141">
                  <c:v>20906</c:v>
                </c:pt>
                <c:pt idx="142">
                  <c:v>21704</c:v>
                </c:pt>
                <c:pt idx="143">
                  <c:v>21517</c:v>
                </c:pt>
                <c:pt idx="144">
                  <c:v>20368</c:v>
                </c:pt>
                <c:pt idx="145">
                  <c:v>21401</c:v>
                </c:pt>
                <c:pt idx="146">
                  <c:v>22734</c:v>
                </c:pt>
                <c:pt idx="147">
                  <c:v>23776</c:v>
                </c:pt>
                <c:pt idx="148">
                  <c:v>24646</c:v>
                </c:pt>
                <c:pt idx="149">
                  <c:v>25425</c:v>
                </c:pt>
                <c:pt idx="150">
                  <c:v>25948</c:v>
                </c:pt>
                <c:pt idx="151">
                  <c:v>27860</c:v>
                </c:pt>
                <c:pt idx="152">
                  <c:v>25929</c:v>
                </c:pt>
                <c:pt idx="153">
                  <c:v>27840</c:v>
                </c:pt>
                <c:pt idx="154">
                  <c:v>24511</c:v>
                </c:pt>
                <c:pt idx="155">
                  <c:v>27483</c:v>
                </c:pt>
                <c:pt idx="156">
                  <c:v>30508</c:v>
                </c:pt>
                <c:pt idx="157">
                  <c:v>28275</c:v>
                </c:pt>
                <c:pt idx="158">
                  <c:v>29869</c:v>
                </c:pt>
                <c:pt idx="159">
                  <c:v>30710</c:v>
                </c:pt>
                <c:pt idx="160">
                  <c:v>28330</c:v>
                </c:pt>
                <c:pt idx="161">
                  <c:v>16446</c:v>
                </c:pt>
                <c:pt idx="162">
                  <c:v>17304</c:v>
                </c:pt>
                <c:pt idx="163">
                  <c:v>17833</c:v>
                </c:pt>
                <c:pt idx="164">
                  <c:v>18564</c:v>
                </c:pt>
                <c:pt idx="165">
                  <c:v>18976</c:v>
                </c:pt>
                <c:pt idx="166">
                  <c:v>19621</c:v>
                </c:pt>
                <c:pt idx="167">
                  <c:v>19835</c:v>
                </c:pt>
                <c:pt idx="168">
                  <c:v>21070</c:v>
                </c:pt>
                <c:pt idx="169">
                  <c:v>23355</c:v>
                </c:pt>
                <c:pt idx="170">
                  <c:v>21701</c:v>
                </c:pt>
                <c:pt idx="171">
                  <c:v>21289</c:v>
                </c:pt>
                <c:pt idx="172">
                  <c:v>22112</c:v>
                </c:pt>
                <c:pt idx="173">
                  <c:v>23863</c:v>
                </c:pt>
                <c:pt idx="174">
                  <c:v>25081</c:v>
                </c:pt>
                <c:pt idx="175">
                  <c:v>28112</c:v>
                </c:pt>
                <c:pt idx="176">
                  <c:v>30064</c:v>
                </c:pt>
                <c:pt idx="177">
                  <c:v>32362</c:v>
                </c:pt>
                <c:pt idx="178">
                  <c:v>30814</c:v>
                </c:pt>
                <c:pt idx="179">
                  <c:v>29254</c:v>
                </c:pt>
                <c:pt idx="180">
                  <c:v>30713</c:v>
                </c:pt>
                <c:pt idx="181">
                  <c:v>14293</c:v>
                </c:pt>
                <c:pt idx="182">
                  <c:v>16151</c:v>
                </c:pt>
                <c:pt idx="183">
                  <c:v>18052</c:v>
                </c:pt>
                <c:pt idx="184">
                  <c:v>20377</c:v>
                </c:pt>
                <c:pt idx="185">
                  <c:v>14489</c:v>
                </c:pt>
                <c:pt idx="186">
                  <c:v>18329</c:v>
                </c:pt>
                <c:pt idx="187">
                  <c:v>18823</c:v>
                </c:pt>
                <c:pt idx="188">
                  <c:v>14951</c:v>
                </c:pt>
                <c:pt idx="189">
                  <c:v>12888</c:v>
                </c:pt>
                <c:pt idx="190">
                  <c:v>9970</c:v>
                </c:pt>
                <c:pt idx="191">
                  <c:v>10340</c:v>
                </c:pt>
                <c:pt idx="192">
                  <c:v>9529</c:v>
                </c:pt>
                <c:pt idx="193">
                  <c:v>9140</c:v>
                </c:pt>
                <c:pt idx="194">
                  <c:v>7439</c:v>
                </c:pt>
                <c:pt idx="195">
                  <c:v>7432</c:v>
                </c:pt>
                <c:pt idx="196">
                  <c:v>7551</c:v>
                </c:pt>
                <c:pt idx="197">
                  <c:v>6967</c:v>
                </c:pt>
                <c:pt idx="198">
                  <c:v>7029</c:v>
                </c:pt>
                <c:pt idx="199">
                  <c:v>3814</c:v>
                </c:pt>
                <c:pt idx="200">
                  <c:v>3815</c:v>
                </c:pt>
                <c:pt idx="201">
                  <c:v>3534</c:v>
                </c:pt>
                <c:pt idx="202">
                  <c:v>681</c:v>
                </c:pt>
                <c:pt idx="203">
                  <c:v>940</c:v>
                </c:pt>
                <c:pt idx="204">
                  <c:v>1075</c:v>
                </c:pt>
                <c:pt idx="205">
                  <c:v>1051</c:v>
                </c:pt>
                <c:pt idx="206">
                  <c:v>1184</c:v>
                </c:pt>
                <c:pt idx="207">
                  <c:v>1221</c:v>
                </c:pt>
                <c:pt idx="208">
                  <c:v>1255</c:v>
                </c:pt>
                <c:pt idx="209">
                  <c:v>1313</c:v>
                </c:pt>
                <c:pt idx="210">
                  <c:v>1376</c:v>
                </c:pt>
                <c:pt idx="211">
                  <c:v>1405</c:v>
                </c:pt>
                <c:pt idx="212">
                  <c:v>1474</c:v>
                </c:pt>
                <c:pt idx="213">
                  <c:v>1608</c:v>
                </c:pt>
                <c:pt idx="214">
                  <c:v>1722</c:v>
                </c:pt>
                <c:pt idx="215">
                  <c:v>1827</c:v>
                </c:pt>
                <c:pt idx="216">
                  <c:v>2158</c:v>
                </c:pt>
                <c:pt idx="217">
                  <c:v>2211</c:v>
                </c:pt>
                <c:pt idx="218">
                  <c:v>2221</c:v>
                </c:pt>
                <c:pt idx="219">
                  <c:v>2106</c:v>
                </c:pt>
                <c:pt idx="220">
                  <c:v>2147</c:v>
                </c:pt>
                <c:pt idx="221">
                  <c:v>2261</c:v>
                </c:pt>
                <c:pt idx="222">
                  <c:v>2147</c:v>
                </c:pt>
                <c:pt idx="223">
                  <c:v>1240</c:v>
                </c:pt>
                <c:pt idx="224">
                  <c:v>1416</c:v>
                </c:pt>
                <c:pt idx="225">
                  <c:v>1635</c:v>
                </c:pt>
                <c:pt idx="226">
                  <c:v>1835</c:v>
                </c:pt>
                <c:pt idx="227">
                  <c:v>2174</c:v>
                </c:pt>
                <c:pt idx="228">
                  <c:v>1953</c:v>
                </c:pt>
                <c:pt idx="229">
                  <c:v>2182</c:v>
                </c:pt>
                <c:pt idx="230">
                  <c:v>2172</c:v>
                </c:pt>
                <c:pt idx="231">
                  <c:v>2476</c:v>
                </c:pt>
                <c:pt idx="232">
                  <c:v>2374</c:v>
                </c:pt>
                <c:pt idx="233">
                  <c:v>2441</c:v>
                </c:pt>
                <c:pt idx="234">
                  <c:v>2625</c:v>
                </c:pt>
                <c:pt idx="235">
                  <c:v>2528</c:v>
                </c:pt>
                <c:pt idx="236">
                  <c:v>2428</c:v>
                </c:pt>
                <c:pt idx="237">
                  <c:v>2538</c:v>
                </c:pt>
                <c:pt idx="238">
                  <c:v>2533</c:v>
                </c:pt>
                <c:pt idx="239">
                  <c:v>2544</c:v>
                </c:pt>
                <c:pt idx="240">
                  <c:v>2613</c:v>
                </c:pt>
                <c:pt idx="241">
                  <c:v>2536</c:v>
                </c:pt>
                <c:pt idx="242">
                  <c:v>2536</c:v>
                </c:pt>
                <c:pt idx="243">
                  <c:v>2722</c:v>
                </c:pt>
                <c:pt idx="244">
                  <c:v>2237</c:v>
                </c:pt>
                <c:pt idx="245">
                  <c:v>1974</c:v>
                </c:pt>
              </c:numCache>
            </c:numRef>
          </c:val>
        </c:ser>
        <c:marker val="1"/>
        <c:axId val="136263168"/>
        <c:axId val="136264704"/>
      </c:lineChart>
      <c:catAx>
        <c:axId val="13626316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64704"/>
        <c:crosses val="autoZero"/>
        <c:lblAlgn val="ctr"/>
        <c:lblOffset val="100"/>
        <c:tickLblSkip val="2"/>
        <c:tickMarkSkip val="1"/>
      </c:catAx>
      <c:valAx>
        <c:axId val="136264704"/>
        <c:scaling>
          <c:orientation val="minMax"/>
          <c:max val="36000"/>
          <c:min val="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63168"/>
        <c:crosses val="autoZero"/>
        <c:crossBetween val="between"/>
        <c:majorUnit val="4000"/>
      </c:valAx>
      <c:catAx>
        <c:axId val="136274688"/>
        <c:scaling>
          <c:orientation val="minMax"/>
        </c:scaling>
        <c:delete val="1"/>
        <c:axPos val="b"/>
        <c:numFmt formatCode="General" sourceLinked="1"/>
        <c:tickLblPos val="nextTo"/>
        <c:crossAx val="136276224"/>
        <c:crosses val="autoZero"/>
        <c:lblAlgn val="ctr"/>
        <c:lblOffset val="100"/>
      </c:catAx>
      <c:valAx>
        <c:axId val="136276224"/>
        <c:scaling>
          <c:orientation val="minMax"/>
          <c:max val="14000"/>
          <c:min val="0"/>
        </c:scaling>
        <c:axPos val="r"/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74688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OKLI (At the money Premium Value)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3"/>
          <c:order val="1"/>
          <c:tx>
            <c:strRef>
              <c:f>[2]DATA!$E$3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808080"/>
              </a:solidFill>
              <a:prstDash val="solid"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[2]DATA!$E$489:$E$734</c:f>
              <c:numCache>
                <c:formatCode>General</c:formatCode>
                <c:ptCount val="246"/>
                <c:pt idx="0">
                  <c:v>536.95000000000005</c:v>
                </c:pt>
                <c:pt idx="1">
                  <c:v>548.05999999999995</c:v>
                </c:pt>
                <c:pt idx="2">
                  <c:v>575.89</c:v>
                </c:pt>
                <c:pt idx="3">
                  <c:v>607.4</c:v>
                </c:pt>
                <c:pt idx="4">
                  <c:v>676.47</c:v>
                </c:pt>
                <c:pt idx="5">
                  <c:v>629.15</c:v>
                </c:pt>
                <c:pt idx="6">
                  <c:v>636.36</c:v>
                </c:pt>
                <c:pt idx="7">
                  <c:v>589.17999999999995</c:v>
                </c:pt>
                <c:pt idx="8">
                  <c:v>574.91999999999996</c:v>
                </c:pt>
                <c:pt idx="9">
                  <c:v>558.47</c:v>
                </c:pt>
                <c:pt idx="10">
                  <c:v>544.30999999999995</c:v>
                </c:pt>
                <c:pt idx="11">
                  <c:v>556.79</c:v>
                </c:pt>
                <c:pt idx="12">
                  <c:v>577.58000000000004</c:v>
                </c:pt>
                <c:pt idx="13">
                  <c:v>578.76</c:v>
                </c:pt>
                <c:pt idx="14">
                  <c:v>569.83000000000004</c:v>
                </c:pt>
                <c:pt idx="15">
                  <c:v>556.35</c:v>
                </c:pt>
                <c:pt idx="16">
                  <c:v>550.35</c:v>
                </c:pt>
                <c:pt idx="17">
                  <c:v>560.96</c:v>
                </c:pt>
                <c:pt idx="18">
                  <c:v>568.66</c:v>
                </c:pt>
                <c:pt idx="19">
                  <c:v>589.39</c:v>
                </c:pt>
                <c:pt idx="20">
                  <c:v>594.44000000000005</c:v>
                </c:pt>
                <c:pt idx="21">
                  <c:v>571.96</c:v>
                </c:pt>
                <c:pt idx="22">
                  <c:v>546.79</c:v>
                </c:pt>
                <c:pt idx="23">
                  <c:v>525.74</c:v>
                </c:pt>
                <c:pt idx="24">
                  <c:v>521</c:v>
                </c:pt>
                <c:pt idx="25">
                  <c:v>507.16</c:v>
                </c:pt>
                <c:pt idx="26">
                  <c:v>491.6</c:v>
                </c:pt>
                <c:pt idx="27">
                  <c:v>477.57</c:v>
                </c:pt>
                <c:pt idx="28">
                  <c:v>503.89</c:v>
                </c:pt>
                <c:pt idx="29">
                  <c:v>536.67999999999995</c:v>
                </c:pt>
                <c:pt idx="30">
                  <c:v>525.47</c:v>
                </c:pt>
                <c:pt idx="31">
                  <c:v>539.97</c:v>
                </c:pt>
                <c:pt idx="32">
                  <c:v>589.08000000000004</c:v>
                </c:pt>
                <c:pt idx="33">
                  <c:v>585.35</c:v>
                </c:pt>
                <c:pt idx="34">
                  <c:v>590.54999999999995</c:v>
                </c:pt>
                <c:pt idx="35">
                  <c:v>575.21</c:v>
                </c:pt>
                <c:pt idx="36">
                  <c:v>558.57000000000005</c:v>
                </c:pt>
                <c:pt idx="37">
                  <c:v>569.51</c:v>
                </c:pt>
                <c:pt idx="38">
                  <c:v>701.31</c:v>
                </c:pt>
                <c:pt idx="39">
                  <c:v>690.76</c:v>
                </c:pt>
                <c:pt idx="40">
                  <c:v>712.81</c:v>
                </c:pt>
                <c:pt idx="41">
                  <c:v>728.19</c:v>
                </c:pt>
                <c:pt idx="42">
                  <c:v>727.4</c:v>
                </c:pt>
                <c:pt idx="43">
                  <c:v>742.57</c:v>
                </c:pt>
                <c:pt idx="44">
                  <c:v>739.87</c:v>
                </c:pt>
                <c:pt idx="45">
                  <c:v>697.43</c:v>
                </c:pt>
                <c:pt idx="46">
                  <c:v>685.5</c:v>
                </c:pt>
                <c:pt idx="47">
                  <c:v>661.94</c:v>
                </c:pt>
                <c:pt idx="48">
                  <c:v>690.83</c:v>
                </c:pt>
                <c:pt idx="49">
                  <c:v>704.9</c:v>
                </c:pt>
                <c:pt idx="50">
                  <c:v>723.5</c:v>
                </c:pt>
                <c:pt idx="51">
                  <c:v>728.06</c:v>
                </c:pt>
                <c:pt idx="52">
                  <c:v>720.46</c:v>
                </c:pt>
                <c:pt idx="53">
                  <c:v>729.84</c:v>
                </c:pt>
                <c:pt idx="54">
                  <c:v>712.81</c:v>
                </c:pt>
                <c:pt idx="55">
                  <c:v>727.7</c:v>
                </c:pt>
                <c:pt idx="56">
                  <c:v>745.36</c:v>
                </c:pt>
                <c:pt idx="57">
                  <c:v>745.12</c:v>
                </c:pt>
                <c:pt idx="58">
                  <c:v>733.03</c:v>
                </c:pt>
                <c:pt idx="59">
                  <c:v>705.94</c:v>
                </c:pt>
                <c:pt idx="60">
                  <c:v>696.79</c:v>
                </c:pt>
                <c:pt idx="61">
                  <c:v>690.36</c:v>
                </c:pt>
                <c:pt idx="62">
                  <c:v>685.88</c:v>
                </c:pt>
                <c:pt idx="63">
                  <c:v>710.47</c:v>
                </c:pt>
                <c:pt idx="64">
                  <c:v>709.91</c:v>
                </c:pt>
                <c:pt idx="65">
                  <c:v>698.23</c:v>
                </c:pt>
                <c:pt idx="66">
                  <c:v>708.16</c:v>
                </c:pt>
                <c:pt idx="67">
                  <c:v>703.61</c:v>
                </c:pt>
                <c:pt idx="68">
                  <c:v>700.21</c:v>
                </c:pt>
                <c:pt idx="69">
                  <c:v>706.55</c:v>
                </c:pt>
                <c:pt idx="70">
                  <c:v>731.04</c:v>
                </c:pt>
                <c:pt idx="71">
                  <c:v>731.24</c:v>
                </c:pt>
                <c:pt idx="72">
                  <c:v>735.79</c:v>
                </c:pt>
                <c:pt idx="73">
                  <c:v>731.89</c:v>
                </c:pt>
                <c:pt idx="74">
                  <c:v>736.78</c:v>
                </c:pt>
                <c:pt idx="75">
                  <c:v>733.31</c:v>
                </c:pt>
                <c:pt idx="76">
                  <c:v>727.62</c:v>
                </c:pt>
                <c:pt idx="77">
                  <c:v>722.96</c:v>
                </c:pt>
                <c:pt idx="78">
                  <c:v>719.52</c:v>
                </c:pt>
                <c:pt idx="79">
                  <c:v>700.05</c:v>
                </c:pt>
                <c:pt idx="80">
                  <c:v>684.27</c:v>
                </c:pt>
                <c:pt idx="81">
                  <c:v>666.48</c:v>
                </c:pt>
                <c:pt idx="82">
                  <c:v>663.77</c:v>
                </c:pt>
                <c:pt idx="83">
                  <c:v>664.28</c:v>
                </c:pt>
                <c:pt idx="84">
                  <c:v>675.93</c:v>
                </c:pt>
                <c:pt idx="85">
                  <c:v>673.14</c:v>
                </c:pt>
                <c:pt idx="86">
                  <c:v>666.93</c:v>
                </c:pt>
                <c:pt idx="87">
                  <c:v>664.84</c:v>
                </c:pt>
                <c:pt idx="88">
                  <c:v>644.62</c:v>
                </c:pt>
                <c:pt idx="89">
                  <c:v>629.34</c:v>
                </c:pt>
                <c:pt idx="90">
                  <c:v>628.78</c:v>
                </c:pt>
                <c:pt idx="91">
                  <c:v>634.29</c:v>
                </c:pt>
                <c:pt idx="92">
                  <c:v>623.98</c:v>
                </c:pt>
                <c:pt idx="93">
                  <c:v>619.66999999999996</c:v>
                </c:pt>
                <c:pt idx="94">
                  <c:v>628.24</c:v>
                </c:pt>
                <c:pt idx="95">
                  <c:v>635.11</c:v>
                </c:pt>
                <c:pt idx="96">
                  <c:v>620.79</c:v>
                </c:pt>
                <c:pt idx="97">
                  <c:v>622.83000000000004</c:v>
                </c:pt>
                <c:pt idx="98">
                  <c:v>625.97</c:v>
                </c:pt>
                <c:pt idx="99">
                  <c:v>627.42999999999995</c:v>
                </c:pt>
                <c:pt idx="100">
                  <c:v>608.4</c:v>
                </c:pt>
                <c:pt idx="101">
                  <c:v>584.62</c:v>
                </c:pt>
                <c:pt idx="102">
                  <c:v>586.83000000000004</c:v>
                </c:pt>
                <c:pt idx="103">
                  <c:v>580.04999999999995</c:v>
                </c:pt>
                <c:pt idx="104">
                  <c:v>569.16999999999996</c:v>
                </c:pt>
                <c:pt idx="105">
                  <c:v>548.33000000000004</c:v>
                </c:pt>
                <c:pt idx="106">
                  <c:v>560.5</c:v>
                </c:pt>
                <c:pt idx="107">
                  <c:v>566.85</c:v>
                </c:pt>
                <c:pt idx="108">
                  <c:v>549.99</c:v>
                </c:pt>
                <c:pt idx="109">
                  <c:v>554.41999999999996</c:v>
                </c:pt>
                <c:pt idx="110">
                  <c:v>569.19000000000005</c:v>
                </c:pt>
                <c:pt idx="111">
                  <c:v>593.62</c:v>
                </c:pt>
                <c:pt idx="112">
                  <c:v>577.23</c:v>
                </c:pt>
                <c:pt idx="113">
                  <c:v>570.54999999999995</c:v>
                </c:pt>
                <c:pt idx="114">
                  <c:v>561.28</c:v>
                </c:pt>
                <c:pt idx="115">
                  <c:v>552.28</c:v>
                </c:pt>
                <c:pt idx="116">
                  <c:v>544.74</c:v>
                </c:pt>
                <c:pt idx="117">
                  <c:v>538.24</c:v>
                </c:pt>
                <c:pt idx="118">
                  <c:v>518</c:v>
                </c:pt>
                <c:pt idx="119">
                  <c:v>520.61</c:v>
                </c:pt>
                <c:pt idx="120">
                  <c:v>526.36</c:v>
                </c:pt>
                <c:pt idx="121">
                  <c:v>518.61</c:v>
                </c:pt>
                <c:pt idx="122">
                  <c:v>505.05</c:v>
                </c:pt>
                <c:pt idx="123">
                  <c:v>497.79</c:v>
                </c:pt>
                <c:pt idx="124">
                  <c:v>505.64</c:v>
                </c:pt>
                <c:pt idx="125">
                  <c:v>489.86</c:v>
                </c:pt>
                <c:pt idx="126">
                  <c:v>483</c:v>
                </c:pt>
                <c:pt idx="127">
                  <c:v>472.37</c:v>
                </c:pt>
                <c:pt idx="128">
                  <c:v>452.24</c:v>
                </c:pt>
                <c:pt idx="129">
                  <c:v>435.84</c:v>
                </c:pt>
                <c:pt idx="130">
                  <c:v>448</c:v>
                </c:pt>
                <c:pt idx="131">
                  <c:v>471.82</c:v>
                </c:pt>
                <c:pt idx="132">
                  <c:v>467.61</c:v>
                </c:pt>
                <c:pt idx="133">
                  <c:v>457.61</c:v>
                </c:pt>
                <c:pt idx="134">
                  <c:v>457.25</c:v>
                </c:pt>
                <c:pt idx="135">
                  <c:v>455.37</c:v>
                </c:pt>
                <c:pt idx="136">
                  <c:v>448.42</c:v>
                </c:pt>
                <c:pt idx="137">
                  <c:v>445.67</c:v>
                </c:pt>
                <c:pt idx="138">
                  <c:v>450.77</c:v>
                </c:pt>
                <c:pt idx="139">
                  <c:v>455.64</c:v>
                </c:pt>
                <c:pt idx="140">
                  <c:v>471.23</c:v>
                </c:pt>
                <c:pt idx="141">
                  <c:v>478.2</c:v>
                </c:pt>
                <c:pt idx="142">
                  <c:v>473.78</c:v>
                </c:pt>
                <c:pt idx="143">
                  <c:v>467.55</c:v>
                </c:pt>
                <c:pt idx="144">
                  <c:v>455.28</c:v>
                </c:pt>
                <c:pt idx="145">
                  <c:v>447.89</c:v>
                </c:pt>
                <c:pt idx="146">
                  <c:v>428.62</c:v>
                </c:pt>
                <c:pt idx="147">
                  <c:v>421.31</c:v>
                </c:pt>
                <c:pt idx="148">
                  <c:v>420.33</c:v>
                </c:pt>
                <c:pt idx="149">
                  <c:v>433.54</c:v>
                </c:pt>
                <c:pt idx="150">
                  <c:v>429.99</c:v>
                </c:pt>
                <c:pt idx="151">
                  <c:v>445.31</c:v>
                </c:pt>
                <c:pt idx="152">
                  <c:v>445.28</c:v>
                </c:pt>
                <c:pt idx="153">
                  <c:v>437.82</c:v>
                </c:pt>
                <c:pt idx="154">
                  <c:v>421.91</c:v>
                </c:pt>
                <c:pt idx="155">
                  <c:v>415.4</c:v>
                </c:pt>
                <c:pt idx="156">
                  <c:v>418.4</c:v>
                </c:pt>
                <c:pt idx="157">
                  <c:v>408.04</c:v>
                </c:pt>
                <c:pt idx="158">
                  <c:v>403.98</c:v>
                </c:pt>
                <c:pt idx="159">
                  <c:v>385.97</c:v>
                </c:pt>
                <c:pt idx="160">
                  <c:v>389.53</c:v>
                </c:pt>
                <c:pt idx="161">
                  <c:v>402.65</c:v>
                </c:pt>
                <c:pt idx="162">
                  <c:v>386.27</c:v>
                </c:pt>
                <c:pt idx="163">
                  <c:v>386.44</c:v>
                </c:pt>
                <c:pt idx="164">
                  <c:v>380.29</c:v>
                </c:pt>
                <c:pt idx="165">
                  <c:v>374.78</c:v>
                </c:pt>
                <c:pt idx="166">
                  <c:v>364.05</c:v>
                </c:pt>
                <c:pt idx="167">
                  <c:v>353.28</c:v>
                </c:pt>
                <c:pt idx="168">
                  <c:v>334.7</c:v>
                </c:pt>
                <c:pt idx="169">
                  <c:v>342.19</c:v>
                </c:pt>
                <c:pt idx="170">
                  <c:v>326.73</c:v>
                </c:pt>
                <c:pt idx="171">
                  <c:v>327.98</c:v>
                </c:pt>
                <c:pt idx="172">
                  <c:v>316.24</c:v>
                </c:pt>
                <c:pt idx="173">
                  <c:v>315.66000000000003</c:v>
                </c:pt>
                <c:pt idx="174">
                  <c:v>343.47</c:v>
                </c:pt>
                <c:pt idx="175">
                  <c:v>351.04</c:v>
                </c:pt>
                <c:pt idx="176">
                  <c:v>324.06</c:v>
                </c:pt>
                <c:pt idx="177">
                  <c:v>317.2</c:v>
                </c:pt>
                <c:pt idx="178">
                  <c:v>324.17</c:v>
                </c:pt>
                <c:pt idx="179">
                  <c:v>324.49</c:v>
                </c:pt>
                <c:pt idx="180">
                  <c:v>313.51</c:v>
                </c:pt>
                <c:pt idx="181">
                  <c:v>302.91000000000003</c:v>
                </c:pt>
                <c:pt idx="182">
                  <c:v>262.7</c:v>
                </c:pt>
                <c:pt idx="183">
                  <c:v>294.58999999999997</c:v>
                </c:pt>
                <c:pt idx="184">
                  <c:v>313.07</c:v>
                </c:pt>
                <c:pt idx="185">
                  <c:v>363.44</c:v>
                </c:pt>
                <c:pt idx="186">
                  <c:v>445.06</c:v>
                </c:pt>
                <c:pt idx="187">
                  <c:v>349.56</c:v>
                </c:pt>
                <c:pt idx="188">
                  <c:v>389.65</c:v>
                </c:pt>
                <c:pt idx="189">
                  <c:v>380.2</c:v>
                </c:pt>
                <c:pt idx="190">
                  <c:v>368.53</c:v>
                </c:pt>
                <c:pt idx="191">
                  <c:v>393.24</c:v>
                </c:pt>
                <c:pt idx="192">
                  <c:v>389.08</c:v>
                </c:pt>
                <c:pt idx="193">
                  <c:v>394.04</c:v>
                </c:pt>
                <c:pt idx="194">
                  <c:v>386.55</c:v>
                </c:pt>
                <c:pt idx="195">
                  <c:v>393.3</c:v>
                </c:pt>
                <c:pt idx="196">
                  <c:v>378.32</c:v>
                </c:pt>
                <c:pt idx="197">
                  <c:v>385.45</c:v>
                </c:pt>
                <c:pt idx="198">
                  <c:v>376.26</c:v>
                </c:pt>
                <c:pt idx="199">
                  <c:v>387.46</c:v>
                </c:pt>
                <c:pt idx="200">
                  <c:v>387.27</c:v>
                </c:pt>
                <c:pt idx="201">
                  <c:v>377.52</c:v>
                </c:pt>
                <c:pt idx="202">
                  <c:v>373.52</c:v>
                </c:pt>
                <c:pt idx="203">
                  <c:v>367.64</c:v>
                </c:pt>
                <c:pt idx="204">
                  <c:v>363.06</c:v>
                </c:pt>
                <c:pt idx="205">
                  <c:v>360.1</c:v>
                </c:pt>
                <c:pt idx="206">
                  <c:v>374.45</c:v>
                </c:pt>
                <c:pt idx="207">
                  <c:v>370.9</c:v>
                </c:pt>
                <c:pt idx="208">
                  <c:v>372.99</c:v>
                </c:pt>
                <c:pt idx="209">
                  <c:v>372.22</c:v>
                </c:pt>
                <c:pt idx="210">
                  <c:v>389.5</c:v>
                </c:pt>
                <c:pt idx="211">
                  <c:v>385.04</c:v>
                </c:pt>
                <c:pt idx="212">
                  <c:v>384.22</c:v>
                </c:pt>
                <c:pt idx="213">
                  <c:v>393.25</c:v>
                </c:pt>
                <c:pt idx="214">
                  <c:v>396.26</c:v>
                </c:pt>
                <c:pt idx="215">
                  <c:v>422.97</c:v>
                </c:pt>
                <c:pt idx="216">
                  <c:v>424.37</c:v>
                </c:pt>
                <c:pt idx="217">
                  <c:v>421.56</c:v>
                </c:pt>
                <c:pt idx="218">
                  <c:v>419.72</c:v>
                </c:pt>
                <c:pt idx="219">
                  <c:v>419.11</c:v>
                </c:pt>
                <c:pt idx="220">
                  <c:v>415.96</c:v>
                </c:pt>
                <c:pt idx="221">
                  <c:v>410.49</c:v>
                </c:pt>
                <c:pt idx="222">
                  <c:v>406.35</c:v>
                </c:pt>
                <c:pt idx="223">
                  <c:v>405.33</c:v>
                </c:pt>
                <c:pt idx="224">
                  <c:v>419.78</c:v>
                </c:pt>
                <c:pt idx="225">
                  <c:v>421.91</c:v>
                </c:pt>
                <c:pt idx="226">
                  <c:v>431.7</c:v>
                </c:pt>
                <c:pt idx="227">
                  <c:v>438.66</c:v>
                </c:pt>
                <c:pt idx="228">
                  <c:v>453.29</c:v>
                </c:pt>
                <c:pt idx="229">
                  <c:v>465.69</c:v>
                </c:pt>
                <c:pt idx="230">
                  <c:v>467.54</c:v>
                </c:pt>
                <c:pt idx="231">
                  <c:v>476.12</c:v>
                </c:pt>
                <c:pt idx="232">
                  <c:v>460.77</c:v>
                </c:pt>
                <c:pt idx="233">
                  <c:v>465.08</c:v>
                </c:pt>
                <c:pt idx="234">
                  <c:v>462.02</c:v>
                </c:pt>
                <c:pt idx="235">
                  <c:v>464.12</c:v>
                </c:pt>
                <c:pt idx="236">
                  <c:v>458.34</c:v>
                </c:pt>
                <c:pt idx="237">
                  <c:v>458.58</c:v>
                </c:pt>
                <c:pt idx="238">
                  <c:v>461.56</c:v>
                </c:pt>
                <c:pt idx="239">
                  <c:v>477.17</c:v>
                </c:pt>
                <c:pt idx="240">
                  <c:v>489.66</c:v>
                </c:pt>
                <c:pt idx="241">
                  <c:v>502.15</c:v>
                </c:pt>
                <c:pt idx="242">
                  <c:v>498.69</c:v>
                </c:pt>
                <c:pt idx="243">
                  <c:v>498.08</c:v>
                </c:pt>
                <c:pt idx="244">
                  <c:v>501.47</c:v>
                </c:pt>
                <c:pt idx="245">
                  <c:v>518.75</c:v>
                </c:pt>
              </c:numCache>
            </c:numRef>
          </c:val>
        </c:ser>
        <c:axId val="136289280"/>
        <c:axId val="136303360"/>
      </c:areaChart>
      <c:lineChart>
        <c:grouping val="standard"/>
        <c:ser>
          <c:idx val="2"/>
          <c:order val="0"/>
          <c:tx>
            <c:strRef>
              <c:f>[2]DATA!$D$3</c:f>
              <c:strCache>
                <c:ptCount val="1"/>
                <c:pt idx="0">
                  <c:v>FUTURES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[2]DATA!$D$489:$D$734</c:f>
              <c:numCache>
                <c:formatCode>General</c:formatCode>
                <c:ptCount val="246"/>
                <c:pt idx="0">
                  <c:v>549.9</c:v>
                </c:pt>
                <c:pt idx="1">
                  <c:v>544.1</c:v>
                </c:pt>
                <c:pt idx="2">
                  <c:v>579.4</c:v>
                </c:pt>
                <c:pt idx="3">
                  <c:v>620.5</c:v>
                </c:pt>
                <c:pt idx="4">
                  <c:v>655</c:v>
                </c:pt>
                <c:pt idx="5">
                  <c:v>616</c:v>
                </c:pt>
                <c:pt idx="6">
                  <c:v>635.6</c:v>
                </c:pt>
                <c:pt idx="7">
                  <c:v>576.20000000000005</c:v>
                </c:pt>
                <c:pt idx="8">
                  <c:v>573.1</c:v>
                </c:pt>
                <c:pt idx="9">
                  <c:v>542</c:v>
                </c:pt>
                <c:pt idx="10">
                  <c:v>554</c:v>
                </c:pt>
                <c:pt idx="11">
                  <c:v>566</c:v>
                </c:pt>
                <c:pt idx="12">
                  <c:v>596.9</c:v>
                </c:pt>
                <c:pt idx="13">
                  <c:v>574.20000000000005</c:v>
                </c:pt>
                <c:pt idx="14">
                  <c:v>569</c:v>
                </c:pt>
                <c:pt idx="15">
                  <c:v>564.6</c:v>
                </c:pt>
                <c:pt idx="16">
                  <c:v>560.9</c:v>
                </c:pt>
                <c:pt idx="17">
                  <c:v>566.9</c:v>
                </c:pt>
                <c:pt idx="18">
                  <c:v>577</c:v>
                </c:pt>
                <c:pt idx="19">
                  <c:v>596</c:v>
                </c:pt>
                <c:pt idx="20">
                  <c:v>587</c:v>
                </c:pt>
                <c:pt idx="21">
                  <c:v>560</c:v>
                </c:pt>
                <c:pt idx="22">
                  <c:v>536.5</c:v>
                </c:pt>
                <c:pt idx="23">
                  <c:v>528</c:v>
                </c:pt>
                <c:pt idx="24">
                  <c:v>516</c:v>
                </c:pt>
                <c:pt idx="25">
                  <c:v>488</c:v>
                </c:pt>
                <c:pt idx="26">
                  <c:v>484</c:v>
                </c:pt>
                <c:pt idx="27">
                  <c:v>465.5</c:v>
                </c:pt>
                <c:pt idx="28">
                  <c:v>512</c:v>
                </c:pt>
                <c:pt idx="29">
                  <c:v>538.5</c:v>
                </c:pt>
                <c:pt idx="30">
                  <c:v>507.1</c:v>
                </c:pt>
                <c:pt idx="31">
                  <c:v>543</c:v>
                </c:pt>
                <c:pt idx="32">
                  <c:v>583</c:v>
                </c:pt>
                <c:pt idx="33">
                  <c:v>582</c:v>
                </c:pt>
                <c:pt idx="34">
                  <c:v>588.1</c:v>
                </c:pt>
                <c:pt idx="35">
                  <c:v>557</c:v>
                </c:pt>
                <c:pt idx="36">
                  <c:v>559</c:v>
                </c:pt>
                <c:pt idx="37">
                  <c:v>566.6</c:v>
                </c:pt>
                <c:pt idx="38">
                  <c:v>685</c:v>
                </c:pt>
                <c:pt idx="39">
                  <c:v>678</c:v>
                </c:pt>
                <c:pt idx="40">
                  <c:v>702</c:v>
                </c:pt>
                <c:pt idx="41">
                  <c:v>719</c:v>
                </c:pt>
                <c:pt idx="42">
                  <c:v>717.8</c:v>
                </c:pt>
                <c:pt idx="43">
                  <c:v>757</c:v>
                </c:pt>
                <c:pt idx="44">
                  <c:v>726.5</c:v>
                </c:pt>
                <c:pt idx="45">
                  <c:v>696</c:v>
                </c:pt>
                <c:pt idx="46">
                  <c:v>675</c:v>
                </c:pt>
                <c:pt idx="47">
                  <c:v>648.5</c:v>
                </c:pt>
                <c:pt idx="48">
                  <c:v>680</c:v>
                </c:pt>
                <c:pt idx="49">
                  <c:v>709</c:v>
                </c:pt>
                <c:pt idx="50">
                  <c:v>724</c:v>
                </c:pt>
                <c:pt idx="51">
                  <c:v>734</c:v>
                </c:pt>
                <c:pt idx="52">
                  <c:v>711</c:v>
                </c:pt>
                <c:pt idx="53">
                  <c:v>726</c:v>
                </c:pt>
                <c:pt idx="54">
                  <c:v>701</c:v>
                </c:pt>
                <c:pt idx="55">
                  <c:v>725.6</c:v>
                </c:pt>
                <c:pt idx="56">
                  <c:v>743.6</c:v>
                </c:pt>
                <c:pt idx="57">
                  <c:v>736</c:v>
                </c:pt>
                <c:pt idx="58">
                  <c:v>725</c:v>
                </c:pt>
                <c:pt idx="59">
                  <c:v>688.1</c:v>
                </c:pt>
                <c:pt idx="60">
                  <c:v>670</c:v>
                </c:pt>
                <c:pt idx="61">
                  <c:v>681.6</c:v>
                </c:pt>
                <c:pt idx="62">
                  <c:v>680.7</c:v>
                </c:pt>
                <c:pt idx="63">
                  <c:v>706.5</c:v>
                </c:pt>
                <c:pt idx="64">
                  <c:v>713.5</c:v>
                </c:pt>
                <c:pt idx="65">
                  <c:v>692</c:v>
                </c:pt>
                <c:pt idx="66">
                  <c:v>712</c:v>
                </c:pt>
                <c:pt idx="67">
                  <c:v>701.5</c:v>
                </c:pt>
                <c:pt idx="68">
                  <c:v>703</c:v>
                </c:pt>
                <c:pt idx="69">
                  <c:v>714</c:v>
                </c:pt>
                <c:pt idx="70">
                  <c:v>743.5</c:v>
                </c:pt>
                <c:pt idx="71">
                  <c:v>724</c:v>
                </c:pt>
                <c:pt idx="72">
                  <c:v>745.1</c:v>
                </c:pt>
                <c:pt idx="73">
                  <c:v>727</c:v>
                </c:pt>
                <c:pt idx="74">
                  <c:v>738</c:v>
                </c:pt>
                <c:pt idx="75">
                  <c:v>736.7</c:v>
                </c:pt>
                <c:pt idx="76">
                  <c:v>733.6</c:v>
                </c:pt>
                <c:pt idx="77">
                  <c:v>727.3</c:v>
                </c:pt>
                <c:pt idx="78">
                  <c:v>720.2</c:v>
                </c:pt>
                <c:pt idx="79">
                  <c:v>703</c:v>
                </c:pt>
                <c:pt idx="80">
                  <c:v>687.5</c:v>
                </c:pt>
                <c:pt idx="81">
                  <c:v>659.5</c:v>
                </c:pt>
                <c:pt idx="82">
                  <c:v>652.5</c:v>
                </c:pt>
                <c:pt idx="83">
                  <c:v>643.5</c:v>
                </c:pt>
                <c:pt idx="84">
                  <c:v>654.9</c:v>
                </c:pt>
                <c:pt idx="85">
                  <c:v>650</c:v>
                </c:pt>
                <c:pt idx="86">
                  <c:v>647</c:v>
                </c:pt>
                <c:pt idx="87">
                  <c:v>635</c:v>
                </c:pt>
                <c:pt idx="88">
                  <c:v>618</c:v>
                </c:pt>
                <c:pt idx="89">
                  <c:v>605</c:v>
                </c:pt>
                <c:pt idx="90">
                  <c:v>595</c:v>
                </c:pt>
                <c:pt idx="91">
                  <c:v>615.5</c:v>
                </c:pt>
                <c:pt idx="92">
                  <c:v>590</c:v>
                </c:pt>
                <c:pt idx="93">
                  <c:v>600</c:v>
                </c:pt>
                <c:pt idx="94">
                  <c:v>615</c:v>
                </c:pt>
                <c:pt idx="95">
                  <c:v>617</c:v>
                </c:pt>
                <c:pt idx="96">
                  <c:v>608.9</c:v>
                </c:pt>
                <c:pt idx="97">
                  <c:v>618.9</c:v>
                </c:pt>
                <c:pt idx="98">
                  <c:v>622.29999999999995</c:v>
                </c:pt>
                <c:pt idx="99">
                  <c:v>601</c:v>
                </c:pt>
                <c:pt idx="100">
                  <c:v>577.20000000000005</c:v>
                </c:pt>
                <c:pt idx="101">
                  <c:v>551</c:v>
                </c:pt>
                <c:pt idx="102">
                  <c:v>573</c:v>
                </c:pt>
                <c:pt idx="103">
                  <c:v>561</c:v>
                </c:pt>
                <c:pt idx="104">
                  <c:v>542</c:v>
                </c:pt>
                <c:pt idx="105">
                  <c:v>525.1</c:v>
                </c:pt>
                <c:pt idx="106">
                  <c:v>550</c:v>
                </c:pt>
                <c:pt idx="107">
                  <c:v>556.9</c:v>
                </c:pt>
                <c:pt idx="108">
                  <c:v>539.29999999999995</c:v>
                </c:pt>
                <c:pt idx="109">
                  <c:v>551</c:v>
                </c:pt>
                <c:pt idx="110">
                  <c:v>566.4</c:v>
                </c:pt>
                <c:pt idx="111">
                  <c:v>591</c:v>
                </c:pt>
                <c:pt idx="112">
                  <c:v>564</c:v>
                </c:pt>
                <c:pt idx="113">
                  <c:v>562.9</c:v>
                </c:pt>
                <c:pt idx="114">
                  <c:v>553.79999999999995</c:v>
                </c:pt>
                <c:pt idx="115">
                  <c:v>546.9</c:v>
                </c:pt>
                <c:pt idx="116">
                  <c:v>543.5</c:v>
                </c:pt>
                <c:pt idx="117">
                  <c:v>539.5</c:v>
                </c:pt>
                <c:pt idx="118">
                  <c:v>509</c:v>
                </c:pt>
                <c:pt idx="119">
                  <c:v>514.5</c:v>
                </c:pt>
                <c:pt idx="120">
                  <c:v>528.9</c:v>
                </c:pt>
                <c:pt idx="121">
                  <c:v>509.8</c:v>
                </c:pt>
                <c:pt idx="122">
                  <c:v>499.5</c:v>
                </c:pt>
                <c:pt idx="123">
                  <c:v>493</c:v>
                </c:pt>
                <c:pt idx="124">
                  <c:v>508.2</c:v>
                </c:pt>
                <c:pt idx="125">
                  <c:v>488.1</c:v>
                </c:pt>
                <c:pt idx="126">
                  <c:v>481</c:v>
                </c:pt>
                <c:pt idx="127">
                  <c:v>473.5</c:v>
                </c:pt>
                <c:pt idx="128">
                  <c:v>446</c:v>
                </c:pt>
                <c:pt idx="129">
                  <c:v>436.5</c:v>
                </c:pt>
                <c:pt idx="130">
                  <c:v>450</c:v>
                </c:pt>
                <c:pt idx="131">
                  <c:v>470.1</c:v>
                </c:pt>
                <c:pt idx="132">
                  <c:v>465.5</c:v>
                </c:pt>
                <c:pt idx="133">
                  <c:v>441</c:v>
                </c:pt>
                <c:pt idx="134">
                  <c:v>453</c:v>
                </c:pt>
                <c:pt idx="135">
                  <c:v>458</c:v>
                </c:pt>
                <c:pt idx="136">
                  <c:v>454</c:v>
                </c:pt>
                <c:pt idx="137">
                  <c:v>447.7</c:v>
                </c:pt>
                <c:pt idx="138">
                  <c:v>446.1</c:v>
                </c:pt>
                <c:pt idx="139">
                  <c:v>455.9</c:v>
                </c:pt>
                <c:pt idx="140">
                  <c:v>482.5</c:v>
                </c:pt>
                <c:pt idx="141">
                  <c:v>479.9</c:v>
                </c:pt>
                <c:pt idx="142">
                  <c:v>474</c:v>
                </c:pt>
                <c:pt idx="143">
                  <c:v>470.5</c:v>
                </c:pt>
                <c:pt idx="144">
                  <c:v>456.2</c:v>
                </c:pt>
                <c:pt idx="145">
                  <c:v>441.5</c:v>
                </c:pt>
                <c:pt idx="146">
                  <c:v>423</c:v>
                </c:pt>
                <c:pt idx="147">
                  <c:v>431</c:v>
                </c:pt>
                <c:pt idx="148">
                  <c:v>424.1</c:v>
                </c:pt>
                <c:pt idx="149">
                  <c:v>442.5</c:v>
                </c:pt>
                <c:pt idx="150">
                  <c:v>433.8</c:v>
                </c:pt>
                <c:pt idx="151">
                  <c:v>447</c:v>
                </c:pt>
                <c:pt idx="152">
                  <c:v>442.1</c:v>
                </c:pt>
                <c:pt idx="153">
                  <c:v>438.2</c:v>
                </c:pt>
                <c:pt idx="154">
                  <c:v>414.5</c:v>
                </c:pt>
                <c:pt idx="155">
                  <c:v>415.5</c:v>
                </c:pt>
                <c:pt idx="156">
                  <c:v>422</c:v>
                </c:pt>
                <c:pt idx="157">
                  <c:v>405.8</c:v>
                </c:pt>
                <c:pt idx="158">
                  <c:v>396</c:v>
                </c:pt>
                <c:pt idx="159">
                  <c:v>380</c:v>
                </c:pt>
                <c:pt idx="160">
                  <c:v>390</c:v>
                </c:pt>
                <c:pt idx="161">
                  <c:v>401.9</c:v>
                </c:pt>
                <c:pt idx="162">
                  <c:v>384.6</c:v>
                </c:pt>
                <c:pt idx="163">
                  <c:v>390.5</c:v>
                </c:pt>
                <c:pt idx="164">
                  <c:v>379.8</c:v>
                </c:pt>
                <c:pt idx="165">
                  <c:v>373.8</c:v>
                </c:pt>
                <c:pt idx="166">
                  <c:v>355.4</c:v>
                </c:pt>
                <c:pt idx="167">
                  <c:v>346.6</c:v>
                </c:pt>
                <c:pt idx="168">
                  <c:v>331.7</c:v>
                </c:pt>
                <c:pt idx="169">
                  <c:v>340.5</c:v>
                </c:pt>
                <c:pt idx="170">
                  <c:v>318.60000000000002</c:v>
                </c:pt>
                <c:pt idx="171">
                  <c:v>320.89999999999998</c:v>
                </c:pt>
                <c:pt idx="172">
                  <c:v>309.5</c:v>
                </c:pt>
                <c:pt idx="173">
                  <c:v>317</c:v>
                </c:pt>
                <c:pt idx="174">
                  <c:v>340.5</c:v>
                </c:pt>
                <c:pt idx="175">
                  <c:v>353.6</c:v>
                </c:pt>
                <c:pt idx="176">
                  <c:v>321.5</c:v>
                </c:pt>
                <c:pt idx="177">
                  <c:v>322</c:v>
                </c:pt>
                <c:pt idx="178">
                  <c:v>332.9</c:v>
                </c:pt>
                <c:pt idx="179">
                  <c:v>329</c:v>
                </c:pt>
                <c:pt idx="180">
                  <c:v>311.5</c:v>
                </c:pt>
                <c:pt idx="181">
                  <c:v>303.5</c:v>
                </c:pt>
                <c:pt idx="182">
                  <c:v>274.89999999999998</c:v>
                </c:pt>
                <c:pt idx="183">
                  <c:v>289</c:v>
                </c:pt>
                <c:pt idx="184">
                  <c:v>343.6</c:v>
                </c:pt>
                <c:pt idx="185">
                  <c:v>394</c:v>
                </c:pt>
                <c:pt idx="186">
                  <c:v>525.4</c:v>
                </c:pt>
                <c:pt idx="187">
                  <c:v>356.3</c:v>
                </c:pt>
                <c:pt idx="188">
                  <c:v>393</c:v>
                </c:pt>
                <c:pt idx="189">
                  <c:v>399</c:v>
                </c:pt>
                <c:pt idx="190">
                  <c:v>355</c:v>
                </c:pt>
                <c:pt idx="191">
                  <c:v>400</c:v>
                </c:pt>
                <c:pt idx="192">
                  <c:v>387.1</c:v>
                </c:pt>
                <c:pt idx="193">
                  <c:v>401.1</c:v>
                </c:pt>
                <c:pt idx="194">
                  <c:v>388.3</c:v>
                </c:pt>
                <c:pt idx="195">
                  <c:v>401</c:v>
                </c:pt>
                <c:pt idx="196">
                  <c:v>380.5</c:v>
                </c:pt>
                <c:pt idx="197">
                  <c:v>396.9</c:v>
                </c:pt>
                <c:pt idx="198">
                  <c:v>385.8</c:v>
                </c:pt>
                <c:pt idx="199">
                  <c:v>396.7</c:v>
                </c:pt>
                <c:pt idx="200">
                  <c:v>389.5</c:v>
                </c:pt>
                <c:pt idx="201">
                  <c:v>380.5</c:v>
                </c:pt>
                <c:pt idx="202">
                  <c:v>374</c:v>
                </c:pt>
                <c:pt idx="203">
                  <c:v>379.9</c:v>
                </c:pt>
                <c:pt idx="204">
                  <c:v>375</c:v>
                </c:pt>
                <c:pt idx="205">
                  <c:v>374.9</c:v>
                </c:pt>
                <c:pt idx="206">
                  <c:v>391.7</c:v>
                </c:pt>
                <c:pt idx="207">
                  <c:v>385.8</c:v>
                </c:pt>
                <c:pt idx="208">
                  <c:v>388.9</c:v>
                </c:pt>
                <c:pt idx="209">
                  <c:v>388.5</c:v>
                </c:pt>
                <c:pt idx="210">
                  <c:v>406.1</c:v>
                </c:pt>
                <c:pt idx="211">
                  <c:v>396.5</c:v>
                </c:pt>
                <c:pt idx="212">
                  <c:v>399</c:v>
                </c:pt>
                <c:pt idx="213">
                  <c:v>408</c:v>
                </c:pt>
                <c:pt idx="214">
                  <c:v>415.5</c:v>
                </c:pt>
                <c:pt idx="215">
                  <c:v>434.5</c:v>
                </c:pt>
                <c:pt idx="216">
                  <c:v>433.1</c:v>
                </c:pt>
                <c:pt idx="217">
                  <c:v>428.5</c:v>
                </c:pt>
                <c:pt idx="218">
                  <c:v>419</c:v>
                </c:pt>
                <c:pt idx="219">
                  <c:v>419.5</c:v>
                </c:pt>
                <c:pt idx="220">
                  <c:v>417.1</c:v>
                </c:pt>
                <c:pt idx="221">
                  <c:v>412.8</c:v>
                </c:pt>
                <c:pt idx="222">
                  <c:v>404.8</c:v>
                </c:pt>
                <c:pt idx="223">
                  <c:v>406.2</c:v>
                </c:pt>
                <c:pt idx="224">
                  <c:v>434</c:v>
                </c:pt>
                <c:pt idx="225">
                  <c:v>438.5</c:v>
                </c:pt>
                <c:pt idx="226">
                  <c:v>454.8</c:v>
                </c:pt>
                <c:pt idx="227">
                  <c:v>446</c:v>
                </c:pt>
                <c:pt idx="228">
                  <c:v>466</c:v>
                </c:pt>
                <c:pt idx="229">
                  <c:v>472.5</c:v>
                </c:pt>
                <c:pt idx="230">
                  <c:v>474.1</c:v>
                </c:pt>
                <c:pt idx="231">
                  <c:v>480</c:v>
                </c:pt>
                <c:pt idx="232">
                  <c:v>465</c:v>
                </c:pt>
                <c:pt idx="233">
                  <c:v>479.4</c:v>
                </c:pt>
                <c:pt idx="234">
                  <c:v>479.5</c:v>
                </c:pt>
                <c:pt idx="235">
                  <c:v>478.5</c:v>
                </c:pt>
                <c:pt idx="236">
                  <c:v>473.2</c:v>
                </c:pt>
                <c:pt idx="237">
                  <c:v>474.5</c:v>
                </c:pt>
                <c:pt idx="238">
                  <c:v>470.5</c:v>
                </c:pt>
                <c:pt idx="239">
                  <c:v>484</c:v>
                </c:pt>
                <c:pt idx="240">
                  <c:v>496.8</c:v>
                </c:pt>
                <c:pt idx="241">
                  <c:v>509.5</c:v>
                </c:pt>
                <c:pt idx="242">
                  <c:v>501.5</c:v>
                </c:pt>
                <c:pt idx="243">
                  <c:v>502</c:v>
                </c:pt>
                <c:pt idx="244">
                  <c:v>505</c:v>
                </c:pt>
                <c:pt idx="245">
                  <c:v>535.29999999999995</c:v>
                </c:pt>
              </c:numCache>
            </c:numRef>
          </c:val>
        </c:ser>
        <c:marker val="1"/>
        <c:axId val="136289280"/>
        <c:axId val="136303360"/>
      </c:lineChart>
      <c:catAx>
        <c:axId val="1362892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03360"/>
        <c:crossesAt val="44"/>
        <c:lblAlgn val="ctr"/>
        <c:lblOffset val="100"/>
        <c:tickLblSkip val="2"/>
        <c:tickMarkSkip val="1"/>
      </c:catAx>
      <c:valAx>
        <c:axId val="136303360"/>
        <c:scaling>
          <c:orientation val="minMax"/>
          <c:max val="800"/>
          <c:min val="2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9280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layout>
        <c:manualLayout>
          <c:xMode val="edge"/>
          <c:yMode val="edge"/>
          <c:x val="0.45690699303319682"/>
          <c:y val="2.04082310541263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560846393086814E-2"/>
          <c:y val="5.1020577635315804E-2"/>
          <c:w val="0.84651760724755054"/>
          <c:h val="0.67687299662852374"/>
        </c:manualLayout>
      </c:layout>
      <c:barChart>
        <c:barDir val="col"/>
        <c:grouping val="clustered"/>
        <c:ser>
          <c:idx val="2"/>
          <c:order val="0"/>
          <c:tx>
            <c:strRef>
              <c:f>[1]FCPO!$AL$2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[1]FCPO!$A$5444:$A$5686</c:f>
              <c:numCache>
                <c:formatCode>General</c:formatCode>
                <c:ptCount val="243"/>
                <c:pt idx="0">
                  <c:v>37641</c:v>
                </c:pt>
                <c:pt idx="1">
                  <c:v>37642</c:v>
                </c:pt>
                <c:pt idx="2">
                  <c:v>37643</c:v>
                </c:pt>
                <c:pt idx="3">
                  <c:v>37644</c:v>
                </c:pt>
                <c:pt idx="4">
                  <c:v>37645</c:v>
                </c:pt>
                <c:pt idx="5">
                  <c:v>37648</c:v>
                </c:pt>
                <c:pt idx="6">
                  <c:v>37649</c:v>
                </c:pt>
                <c:pt idx="7">
                  <c:v>37650</c:v>
                </c:pt>
                <c:pt idx="8">
                  <c:v>37651</c:v>
                </c:pt>
                <c:pt idx="9">
                  <c:v>37657</c:v>
                </c:pt>
                <c:pt idx="10">
                  <c:v>37658</c:v>
                </c:pt>
                <c:pt idx="11">
                  <c:v>37659</c:v>
                </c:pt>
                <c:pt idx="12">
                  <c:v>37662</c:v>
                </c:pt>
                <c:pt idx="13">
                  <c:v>37663</c:v>
                </c:pt>
                <c:pt idx="14">
                  <c:v>37665</c:v>
                </c:pt>
                <c:pt idx="15">
                  <c:v>37666</c:v>
                </c:pt>
                <c:pt idx="16">
                  <c:v>37669</c:v>
                </c:pt>
                <c:pt idx="17">
                  <c:v>37670</c:v>
                </c:pt>
                <c:pt idx="18">
                  <c:v>37671</c:v>
                </c:pt>
                <c:pt idx="19">
                  <c:v>37672</c:v>
                </c:pt>
                <c:pt idx="20">
                  <c:v>37673</c:v>
                </c:pt>
                <c:pt idx="21">
                  <c:v>37676</c:v>
                </c:pt>
                <c:pt idx="22">
                  <c:v>37677</c:v>
                </c:pt>
                <c:pt idx="23">
                  <c:v>37678</c:v>
                </c:pt>
                <c:pt idx="24">
                  <c:v>37679</c:v>
                </c:pt>
                <c:pt idx="25">
                  <c:v>37680</c:v>
                </c:pt>
                <c:pt idx="26">
                  <c:v>37683</c:v>
                </c:pt>
                <c:pt idx="27">
                  <c:v>37685</c:v>
                </c:pt>
                <c:pt idx="28">
                  <c:v>37686</c:v>
                </c:pt>
                <c:pt idx="29">
                  <c:v>37687</c:v>
                </c:pt>
                <c:pt idx="30">
                  <c:v>37690</c:v>
                </c:pt>
                <c:pt idx="31">
                  <c:v>37691</c:v>
                </c:pt>
                <c:pt idx="32">
                  <c:v>37692</c:v>
                </c:pt>
                <c:pt idx="33">
                  <c:v>37693</c:v>
                </c:pt>
                <c:pt idx="34">
                  <c:v>37694</c:v>
                </c:pt>
                <c:pt idx="35">
                  <c:v>37697</c:v>
                </c:pt>
                <c:pt idx="36">
                  <c:v>37698</c:v>
                </c:pt>
                <c:pt idx="37">
                  <c:v>37699</c:v>
                </c:pt>
                <c:pt idx="38">
                  <c:v>37700</c:v>
                </c:pt>
                <c:pt idx="39">
                  <c:v>37701</c:v>
                </c:pt>
                <c:pt idx="40">
                  <c:v>37704</c:v>
                </c:pt>
                <c:pt idx="41">
                  <c:v>37705</c:v>
                </c:pt>
                <c:pt idx="42">
                  <c:v>37706</c:v>
                </c:pt>
                <c:pt idx="43">
                  <c:v>37707</c:v>
                </c:pt>
                <c:pt idx="44">
                  <c:v>37708</c:v>
                </c:pt>
                <c:pt idx="45">
                  <c:v>37711</c:v>
                </c:pt>
                <c:pt idx="46">
                  <c:v>37712</c:v>
                </c:pt>
                <c:pt idx="47">
                  <c:v>37713</c:v>
                </c:pt>
                <c:pt idx="48">
                  <c:v>37714</c:v>
                </c:pt>
                <c:pt idx="49">
                  <c:v>37715</c:v>
                </c:pt>
                <c:pt idx="50">
                  <c:v>37718</c:v>
                </c:pt>
                <c:pt idx="51">
                  <c:v>37719</c:v>
                </c:pt>
                <c:pt idx="52">
                  <c:v>37720</c:v>
                </c:pt>
                <c:pt idx="53">
                  <c:v>37721</c:v>
                </c:pt>
                <c:pt idx="54">
                  <c:v>37722</c:v>
                </c:pt>
                <c:pt idx="55">
                  <c:v>37725</c:v>
                </c:pt>
                <c:pt idx="56">
                  <c:v>37726</c:v>
                </c:pt>
                <c:pt idx="57">
                  <c:v>37727</c:v>
                </c:pt>
                <c:pt idx="58">
                  <c:v>37728</c:v>
                </c:pt>
                <c:pt idx="59">
                  <c:v>37729</c:v>
                </c:pt>
                <c:pt idx="60">
                  <c:v>37732</c:v>
                </c:pt>
                <c:pt idx="61">
                  <c:v>37733</c:v>
                </c:pt>
                <c:pt idx="62">
                  <c:v>37734</c:v>
                </c:pt>
                <c:pt idx="63">
                  <c:v>37735</c:v>
                </c:pt>
                <c:pt idx="64">
                  <c:v>37736</c:v>
                </c:pt>
                <c:pt idx="65">
                  <c:v>37739</c:v>
                </c:pt>
                <c:pt idx="66">
                  <c:v>37740</c:v>
                </c:pt>
                <c:pt idx="67">
                  <c:v>37741</c:v>
                </c:pt>
                <c:pt idx="68">
                  <c:v>37743</c:v>
                </c:pt>
                <c:pt idx="69">
                  <c:v>37746</c:v>
                </c:pt>
                <c:pt idx="70">
                  <c:v>37747</c:v>
                </c:pt>
                <c:pt idx="71">
                  <c:v>37748</c:v>
                </c:pt>
                <c:pt idx="72">
                  <c:v>37749</c:v>
                </c:pt>
                <c:pt idx="73">
                  <c:v>37750</c:v>
                </c:pt>
                <c:pt idx="74">
                  <c:v>37753</c:v>
                </c:pt>
                <c:pt idx="75">
                  <c:v>37754</c:v>
                </c:pt>
                <c:pt idx="76">
                  <c:v>37757</c:v>
                </c:pt>
                <c:pt idx="77">
                  <c:v>37760</c:v>
                </c:pt>
                <c:pt idx="78">
                  <c:v>37761</c:v>
                </c:pt>
                <c:pt idx="79">
                  <c:v>37762</c:v>
                </c:pt>
                <c:pt idx="80">
                  <c:v>37763</c:v>
                </c:pt>
                <c:pt idx="81">
                  <c:v>37764</c:v>
                </c:pt>
                <c:pt idx="82">
                  <c:v>37767</c:v>
                </c:pt>
                <c:pt idx="83">
                  <c:v>37768</c:v>
                </c:pt>
                <c:pt idx="84">
                  <c:v>37769</c:v>
                </c:pt>
                <c:pt idx="85">
                  <c:v>37770</c:v>
                </c:pt>
                <c:pt idx="86">
                  <c:v>37771</c:v>
                </c:pt>
                <c:pt idx="87">
                  <c:v>37774</c:v>
                </c:pt>
                <c:pt idx="88">
                  <c:v>37775</c:v>
                </c:pt>
                <c:pt idx="89">
                  <c:v>37776</c:v>
                </c:pt>
                <c:pt idx="90">
                  <c:v>37777</c:v>
                </c:pt>
                <c:pt idx="91">
                  <c:v>37778</c:v>
                </c:pt>
                <c:pt idx="92">
                  <c:v>37781</c:v>
                </c:pt>
                <c:pt idx="93">
                  <c:v>37782</c:v>
                </c:pt>
                <c:pt idx="94">
                  <c:v>37783</c:v>
                </c:pt>
                <c:pt idx="95">
                  <c:v>37784</c:v>
                </c:pt>
                <c:pt idx="96">
                  <c:v>37785</c:v>
                </c:pt>
                <c:pt idx="97">
                  <c:v>37788</c:v>
                </c:pt>
                <c:pt idx="98">
                  <c:v>37789</c:v>
                </c:pt>
                <c:pt idx="99">
                  <c:v>37790</c:v>
                </c:pt>
                <c:pt idx="100">
                  <c:v>37791</c:v>
                </c:pt>
                <c:pt idx="101">
                  <c:v>37792</c:v>
                </c:pt>
                <c:pt idx="102">
                  <c:v>37795</c:v>
                </c:pt>
                <c:pt idx="103">
                  <c:v>37796</c:v>
                </c:pt>
                <c:pt idx="104">
                  <c:v>37797</c:v>
                </c:pt>
                <c:pt idx="105">
                  <c:v>37798</c:v>
                </c:pt>
                <c:pt idx="106">
                  <c:v>37799</c:v>
                </c:pt>
                <c:pt idx="107">
                  <c:v>37802</c:v>
                </c:pt>
                <c:pt idx="108">
                  <c:v>37803</c:v>
                </c:pt>
                <c:pt idx="109">
                  <c:v>37804</c:v>
                </c:pt>
                <c:pt idx="110">
                  <c:v>37805</c:v>
                </c:pt>
                <c:pt idx="111">
                  <c:v>37806</c:v>
                </c:pt>
                <c:pt idx="112">
                  <c:v>37809</c:v>
                </c:pt>
                <c:pt idx="113">
                  <c:v>37810</c:v>
                </c:pt>
                <c:pt idx="114">
                  <c:v>37811</c:v>
                </c:pt>
                <c:pt idx="115">
                  <c:v>37812</c:v>
                </c:pt>
                <c:pt idx="116">
                  <c:v>37813</c:v>
                </c:pt>
                <c:pt idx="117">
                  <c:v>37816</c:v>
                </c:pt>
                <c:pt idx="118">
                  <c:v>37817</c:v>
                </c:pt>
                <c:pt idx="119">
                  <c:v>37818</c:v>
                </c:pt>
                <c:pt idx="120">
                  <c:v>37819</c:v>
                </c:pt>
                <c:pt idx="121">
                  <c:v>37820</c:v>
                </c:pt>
                <c:pt idx="122">
                  <c:v>37823</c:v>
                </c:pt>
                <c:pt idx="123">
                  <c:v>37824</c:v>
                </c:pt>
                <c:pt idx="124">
                  <c:v>37825</c:v>
                </c:pt>
                <c:pt idx="125">
                  <c:v>37826</c:v>
                </c:pt>
                <c:pt idx="126">
                  <c:v>37827</c:v>
                </c:pt>
                <c:pt idx="127">
                  <c:v>37830</c:v>
                </c:pt>
                <c:pt idx="128">
                  <c:v>37831</c:v>
                </c:pt>
                <c:pt idx="129">
                  <c:v>37832</c:v>
                </c:pt>
                <c:pt idx="130">
                  <c:v>37833</c:v>
                </c:pt>
                <c:pt idx="131">
                  <c:v>37834</c:v>
                </c:pt>
                <c:pt idx="132">
                  <c:v>37837</c:v>
                </c:pt>
                <c:pt idx="133">
                  <c:v>37838</c:v>
                </c:pt>
                <c:pt idx="134">
                  <c:v>37839</c:v>
                </c:pt>
                <c:pt idx="135">
                  <c:v>37840</c:v>
                </c:pt>
                <c:pt idx="136">
                  <c:v>37841</c:v>
                </c:pt>
                <c:pt idx="137">
                  <c:v>37844</c:v>
                </c:pt>
                <c:pt idx="138">
                  <c:v>37845</c:v>
                </c:pt>
                <c:pt idx="139">
                  <c:v>37846</c:v>
                </c:pt>
                <c:pt idx="140">
                  <c:v>37847</c:v>
                </c:pt>
                <c:pt idx="141">
                  <c:v>37848</c:v>
                </c:pt>
                <c:pt idx="142">
                  <c:v>37851</c:v>
                </c:pt>
                <c:pt idx="143">
                  <c:v>37852</c:v>
                </c:pt>
                <c:pt idx="144">
                  <c:v>37853</c:v>
                </c:pt>
                <c:pt idx="145">
                  <c:v>37854</c:v>
                </c:pt>
                <c:pt idx="146">
                  <c:v>37855</c:v>
                </c:pt>
                <c:pt idx="147">
                  <c:v>37858</c:v>
                </c:pt>
                <c:pt idx="148">
                  <c:v>37859</c:v>
                </c:pt>
                <c:pt idx="149">
                  <c:v>37860</c:v>
                </c:pt>
                <c:pt idx="150">
                  <c:v>37861</c:v>
                </c:pt>
                <c:pt idx="151">
                  <c:v>37862</c:v>
                </c:pt>
                <c:pt idx="152">
                  <c:v>37866</c:v>
                </c:pt>
                <c:pt idx="153">
                  <c:v>37867</c:v>
                </c:pt>
                <c:pt idx="154">
                  <c:v>37868</c:v>
                </c:pt>
                <c:pt idx="155">
                  <c:v>37869</c:v>
                </c:pt>
                <c:pt idx="156">
                  <c:v>37872</c:v>
                </c:pt>
                <c:pt idx="157">
                  <c:v>37873</c:v>
                </c:pt>
                <c:pt idx="158">
                  <c:v>37874</c:v>
                </c:pt>
                <c:pt idx="159">
                  <c:v>37875</c:v>
                </c:pt>
                <c:pt idx="160">
                  <c:v>37876</c:v>
                </c:pt>
                <c:pt idx="161">
                  <c:v>37879</c:v>
                </c:pt>
                <c:pt idx="162">
                  <c:v>37880</c:v>
                </c:pt>
                <c:pt idx="163">
                  <c:v>37881</c:v>
                </c:pt>
                <c:pt idx="164">
                  <c:v>37882</c:v>
                </c:pt>
                <c:pt idx="165">
                  <c:v>37883</c:v>
                </c:pt>
                <c:pt idx="166">
                  <c:v>37886</c:v>
                </c:pt>
                <c:pt idx="167">
                  <c:v>37887</c:v>
                </c:pt>
                <c:pt idx="168">
                  <c:v>37888</c:v>
                </c:pt>
                <c:pt idx="169">
                  <c:v>37889</c:v>
                </c:pt>
                <c:pt idx="170">
                  <c:v>37890</c:v>
                </c:pt>
                <c:pt idx="171">
                  <c:v>37893</c:v>
                </c:pt>
                <c:pt idx="172">
                  <c:v>37894</c:v>
                </c:pt>
                <c:pt idx="173">
                  <c:v>37895</c:v>
                </c:pt>
                <c:pt idx="174">
                  <c:v>37896</c:v>
                </c:pt>
                <c:pt idx="175">
                  <c:v>37897</c:v>
                </c:pt>
                <c:pt idx="176">
                  <c:v>37900</c:v>
                </c:pt>
                <c:pt idx="177">
                  <c:v>37901</c:v>
                </c:pt>
                <c:pt idx="178">
                  <c:v>37902</c:v>
                </c:pt>
                <c:pt idx="179">
                  <c:v>37903</c:v>
                </c:pt>
                <c:pt idx="180">
                  <c:v>37904</c:v>
                </c:pt>
                <c:pt idx="181">
                  <c:v>37907</c:v>
                </c:pt>
                <c:pt idx="182">
                  <c:v>37908</c:v>
                </c:pt>
                <c:pt idx="183">
                  <c:v>37909</c:v>
                </c:pt>
                <c:pt idx="184">
                  <c:v>37910</c:v>
                </c:pt>
                <c:pt idx="185">
                  <c:v>37911</c:v>
                </c:pt>
                <c:pt idx="186">
                  <c:v>37914</c:v>
                </c:pt>
                <c:pt idx="187">
                  <c:v>37915</c:v>
                </c:pt>
                <c:pt idx="188">
                  <c:v>37916</c:v>
                </c:pt>
                <c:pt idx="189">
                  <c:v>37917</c:v>
                </c:pt>
                <c:pt idx="190">
                  <c:v>37921</c:v>
                </c:pt>
                <c:pt idx="191">
                  <c:v>37922</c:v>
                </c:pt>
                <c:pt idx="192">
                  <c:v>37923</c:v>
                </c:pt>
                <c:pt idx="193">
                  <c:v>37924</c:v>
                </c:pt>
                <c:pt idx="194">
                  <c:v>37925</c:v>
                </c:pt>
                <c:pt idx="195">
                  <c:v>37928</c:v>
                </c:pt>
                <c:pt idx="196">
                  <c:v>37929</c:v>
                </c:pt>
                <c:pt idx="197">
                  <c:v>37930</c:v>
                </c:pt>
                <c:pt idx="198">
                  <c:v>37931</c:v>
                </c:pt>
                <c:pt idx="199">
                  <c:v>37932</c:v>
                </c:pt>
                <c:pt idx="200">
                  <c:v>37935</c:v>
                </c:pt>
                <c:pt idx="201">
                  <c:v>37936</c:v>
                </c:pt>
                <c:pt idx="202">
                  <c:v>37937</c:v>
                </c:pt>
                <c:pt idx="203">
                  <c:v>37938</c:v>
                </c:pt>
                <c:pt idx="204">
                  <c:v>37939</c:v>
                </c:pt>
                <c:pt idx="205">
                  <c:v>37942</c:v>
                </c:pt>
                <c:pt idx="206">
                  <c:v>37943</c:v>
                </c:pt>
                <c:pt idx="207">
                  <c:v>37944</c:v>
                </c:pt>
                <c:pt idx="208">
                  <c:v>37945</c:v>
                </c:pt>
                <c:pt idx="209">
                  <c:v>37946</c:v>
                </c:pt>
                <c:pt idx="210">
                  <c:v>37952</c:v>
                </c:pt>
                <c:pt idx="211">
                  <c:v>37953</c:v>
                </c:pt>
                <c:pt idx="212">
                  <c:v>37956</c:v>
                </c:pt>
                <c:pt idx="213">
                  <c:v>37957</c:v>
                </c:pt>
                <c:pt idx="214">
                  <c:v>37958</c:v>
                </c:pt>
                <c:pt idx="215">
                  <c:v>37959</c:v>
                </c:pt>
                <c:pt idx="216">
                  <c:v>37960</c:v>
                </c:pt>
                <c:pt idx="217">
                  <c:v>37963</c:v>
                </c:pt>
                <c:pt idx="218">
                  <c:v>37964</c:v>
                </c:pt>
                <c:pt idx="219">
                  <c:v>37965</c:v>
                </c:pt>
                <c:pt idx="220">
                  <c:v>37966</c:v>
                </c:pt>
                <c:pt idx="221">
                  <c:v>37967</c:v>
                </c:pt>
                <c:pt idx="222">
                  <c:v>37970</c:v>
                </c:pt>
                <c:pt idx="223">
                  <c:v>37971</c:v>
                </c:pt>
                <c:pt idx="224">
                  <c:v>37972</c:v>
                </c:pt>
                <c:pt idx="225">
                  <c:v>37973</c:v>
                </c:pt>
                <c:pt idx="226">
                  <c:v>37974</c:v>
                </c:pt>
                <c:pt idx="227">
                  <c:v>37977</c:v>
                </c:pt>
                <c:pt idx="228">
                  <c:v>37978</c:v>
                </c:pt>
                <c:pt idx="229">
                  <c:v>37979</c:v>
                </c:pt>
                <c:pt idx="230">
                  <c:v>37981</c:v>
                </c:pt>
                <c:pt idx="231">
                  <c:v>37984</c:v>
                </c:pt>
                <c:pt idx="232">
                  <c:v>37985</c:v>
                </c:pt>
                <c:pt idx="233">
                  <c:v>37986</c:v>
                </c:pt>
                <c:pt idx="234">
                  <c:v>37988</c:v>
                </c:pt>
                <c:pt idx="235">
                  <c:v>37991</c:v>
                </c:pt>
                <c:pt idx="236">
                  <c:v>37992</c:v>
                </c:pt>
                <c:pt idx="237">
                  <c:v>37993</c:v>
                </c:pt>
                <c:pt idx="238">
                  <c:v>37994</c:v>
                </c:pt>
                <c:pt idx="239">
                  <c:v>37995</c:v>
                </c:pt>
                <c:pt idx="240">
                  <c:v>37998</c:v>
                </c:pt>
                <c:pt idx="241">
                  <c:v>37999</c:v>
                </c:pt>
                <c:pt idx="242">
                  <c:v>38000</c:v>
                </c:pt>
              </c:numCache>
            </c:numRef>
          </c:cat>
          <c:val>
            <c:numRef>
              <c:f>[1]FCPO!$AL$5444:$AL$5686</c:f>
              <c:numCache>
                <c:formatCode>General</c:formatCode>
                <c:ptCount val="243"/>
                <c:pt idx="0">
                  <c:v>3449</c:v>
                </c:pt>
                <c:pt idx="1">
                  <c:v>8015</c:v>
                </c:pt>
                <c:pt idx="2">
                  <c:v>5122</c:v>
                </c:pt>
                <c:pt idx="3">
                  <c:v>7748</c:v>
                </c:pt>
                <c:pt idx="4">
                  <c:v>2020</c:v>
                </c:pt>
                <c:pt idx="5">
                  <c:v>3574</c:v>
                </c:pt>
                <c:pt idx="6">
                  <c:v>3147</c:v>
                </c:pt>
                <c:pt idx="7">
                  <c:v>2749</c:v>
                </c:pt>
                <c:pt idx="8">
                  <c:v>4683</c:v>
                </c:pt>
                <c:pt idx="9">
                  <c:v>2992</c:v>
                </c:pt>
                <c:pt idx="10">
                  <c:v>1774</c:v>
                </c:pt>
                <c:pt idx="11">
                  <c:v>4517</c:v>
                </c:pt>
                <c:pt idx="12">
                  <c:v>4785</c:v>
                </c:pt>
                <c:pt idx="13">
                  <c:v>5041</c:v>
                </c:pt>
                <c:pt idx="14">
                  <c:v>3572</c:v>
                </c:pt>
                <c:pt idx="15">
                  <c:v>3404</c:v>
                </c:pt>
                <c:pt idx="16">
                  <c:v>10055</c:v>
                </c:pt>
                <c:pt idx="17">
                  <c:v>6644</c:v>
                </c:pt>
                <c:pt idx="18">
                  <c:v>6642</c:v>
                </c:pt>
                <c:pt idx="19">
                  <c:v>3197</c:v>
                </c:pt>
                <c:pt idx="20">
                  <c:v>2496</c:v>
                </c:pt>
                <c:pt idx="21">
                  <c:v>1525</c:v>
                </c:pt>
                <c:pt idx="22">
                  <c:v>3100</c:v>
                </c:pt>
                <c:pt idx="23">
                  <c:v>1996</c:v>
                </c:pt>
                <c:pt idx="24">
                  <c:v>1234</c:v>
                </c:pt>
                <c:pt idx="25">
                  <c:v>5488</c:v>
                </c:pt>
                <c:pt idx="26">
                  <c:v>3064</c:v>
                </c:pt>
                <c:pt idx="27">
                  <c:v>14003</c:v>
                </c:pt>
                <c:pt idx="28">
                  <c:v>5060</c:v>
                </c:pt>
                <c:pt idx="29">
                  <c:v>7056</c:v>
                </c:pt>
                <c:pt idx="30">
                  <c:v>8538</c:v>
                </c:pt>
                <c:pt idx="31">
                  <c:v>5906</c:v>
                </c:pt>
                <c:pt idx="32">
                  <c:v>6204</c:v>
                </c:pt>
                <c:pt idx="33">
                  <c:v>2633</c:v>
                </c:pt>
                <c:pt idx="34">
                  <c:v>3448</c:v>
                </c:pt>
                <c:pt idx="35">
                  <c:v>10175</c:v>
                </c:pt>
                <c:pt idx="36">
                  <c:v>3984</c:v>
                </c:pt>
                <c:pt idx="37">
                  <c:v>4468</c:v>
                </c:pt>
                <c:pt idx="38">
                  <c:v>6635</c:v>
                </c:pt>
                <c:pt idx="39">
                  <c:v>5527</c:v>
                </c:pt>
                <c:pt idx="40">
                  <c:v>5643</c:v>
                </c:pt>
                <c:pt idx="41">
                  <c:v>11438</c:v>
                </c:pt>
                <c:pt idx="42">
                  <c:v>10258</c:v>
                </c:pt>
                <c:pt idx="43">
                  <c:v>11280</c:v>
                </c:pt>
                <c:pt idx="44">
                  <c:v>8350</c:v>
                </c:pt>
                <c:pt idx="45">
                  <c:v>5268</c:v>
                </c:pt>
                <c:pt idx="46">
                  <c:v>4501</c:v>
                </c:pt>
                <c:pt idx="47">
                  <c:v>6277</c:v>
                </c:pt>
                <c:pt idx="48">
                  <c:v>7705</c:v>
                </c:pt>
                <c:pt idx="49">
                  <c:v>5455</c:v>
                </c:pt>
                <c:pt idx="50">
                  <c:v>6729</c:v>
                </c:pt>
                <c:pt idx="51">
                  <c:v>7934</c:v>
                </c:pt>
                <c:pt idx="52">
                  <c:v>12426</c:v>
                </c:pt>
                <c:pt idx="53">
                  <c:v>4444</c:v>
                </c:pt>
                <c:pt idx="54">
                  <c:v>4188</c:v>
                </c:pt>
                <c:pt idx="55">
                  <c:v>6412</c:v>
                </c:pt>
                <c:pt idx="56">
                  <c:v>6044</c:v>
                </c:pt>
                <c:pt idx="57">
                  <c:v>7655</c:v>
                </c:pt>
                <c:pt idx="58">
                  <c:v>7140</c:v>
                </c:pt>
                <c:pt idx="59">
                  <c:v>3898</c:v>
                </c:pt>
                <c:pt idx="60">
                  <c:v>4272</c:v>
                </c:pt>
                <c:pt idx="61">
                  <c:v>6865</c:v>
                </c:pt>
                <c:pt idx="62">
                  <c:v>7169</c:v>
                </c:pt>
                <c:pt idx="63">
                  <c:v>5024</c:v>
                </c:pt>
                <c:pt idx="64">
                  <c:v>4687</c:v>
                </c:pt>
                <c:pt idx="65">
                  <c:v>4507</c:v>
                </c:pt>
                <c:pt idx="66">
                  <c:v>5279</c:v>
                </c:pt>
                <c:pt idx="67">
                  <c:v>5573</c:v>
                </c:pt>
                <c:pt idx="68">
                  <c:v>5208</c:v>
                </c:pt>
                <c:pt idx="69">
                  <c:v>2795</c:v>
                </c:pt>
                <c:pt idx="70">
                  <c:v>3566</c:v>
                </c:pt>
                <c:pt idx="71">
                  <c:v>4861</c:v>
                </c:pt>
                <c:pt idx="72">
                  <c:v>4681</c:v>
                </c:pt>
                <c:pt idx="73">
                  <c:v>6932</c:v>
                </c:pt>
                <c:pt idx="74">
                  <c:v>8698</c:v>
                </c:pt>
                <c:pt idx="75">
                  <c:v>6325</c:v>
                </c:pt>
                <c:pt idx="76">
                  <c:v>8296</c:v>
                </c:pt>
                <c:pt idx="77">
                  <c:v>8052</c:v>
                </c:pt>
                <c:pt idx="78">
                  <c:v>4257</c:v>
                </c:pt>
                <c:pt idx="79">
                  <c:v>6078</c:v>
                </c:pt>
                <c:pt idx="80">
                  <c:v>6170</c:v>
                </c:pt>
                <c:pt idx="81">
                  <c:v>5797</c:v>
                </c:pt>
                <c:pt idx="82">
                  <c:v>3784</c:v>
                </c:pt>
                <c:pt idx="83">
                  <c:v>5921</c:v>
                </c:pt>
                <c:pt idx="84">
                  <c:v>6575</c:v>
                </c:pt>
                <c:pt idx="85">
                  <c:v>5075</c:v>
                </c:pt>
                <c:pt idx="86">
                  <c:v>6154</c:v>
                </c:pt>
                <c:pt idx="87">
                  <c:v>3592</c:v>
                </c:pt>
                <c:pt idx="88">
                  <c:v>5336</c:v>
                </c:pt>
                <c:pt idx="89">
                  <c:v>6147</c:v>
                </c:pt>
                <c:pt idx="90">
                  <c:v>6260</c:v>
                </c:pt>
                <c:pt idx="91">
                  <c:v>7066</c:v>
                </c:pt>
                <c:pt idx="92">
                  <c:v>6289</c:v>
                </c:pt>
                <c:pt idx="93">
                  <c:v>6993</c:v>
                </c:pt>
                <c:pt idx="94">
                  <c:v>6194</c:v>
                </c:pt>
                <c:pt idx="95">
                  <c:v>6130</c:v>
                </c:pt>
                <c:pt idx="96">
                  <c:v>4326</c:v>
                </c:pt>
                <c:pt idx="97">
                  <c:v>5573</c:v>
                </c:pt>
                <c:pt idx="98">
                  <c:v>5079</c:v>
                </c:pt>
                <c:pt idx="99">
                  <c:v>6964</c:v>
                </c:pt>
                <c:pt idx="100">
                  <c:v>6139</c:v>
                </c:pt>
                <c:pt idx="101">
                  <c:v>3183</c:v>
                </c:pt>
                <c:pt idx="102">
                  <c:v>4852</c:v>
                </c:pt>
                <c:pt idx="103">
                  <c:v>5910</c:v>
                </c:pt>
                <c:pt idx="104">
                  <c:v>3594</c:v>
                </c:pt>
                <c:pt idx="105">
                  <c:v>6194</c:v>
                </c:pt>
                <c:pt idx="106">
                  <c:v>8823</c:v>
                </c:pt>
                <c:pt idx="107">
                  <c:v>2587</c:v>
                </c:pt>
                <c:pt idx="108">
                  <c:v>2122</c:v>
                </c:pt>
                <c:pt idx="109">
                  <c:v>5174</c:v>
                </c:pt>
                <c:pt idx="110">
                  <c:v>5463</c:v>
                </c:pt>
                <c:pt idx="111">
                  <c:v>3870</c:v>
                </c:pt>
                <c:pt idx="112">
                  <c:v>5693</c:v>
                </c:pt>
                <c:pt idx="113">
                  <c:v>4000</c:v>
                </c:pt>
                <c:pt idx="114">
                  <c:v>4444</c:v>
                </c:pt>
                <c:pt idx="115">
                  <c:v>3265</c:v>
                </c:pt>
                <c:pt idx="116">
                  <c:v>3753</c:v>
                </c:pt>
                <c:pt idx="117">
                  <c:v>2658</c:v>
                </c:pt>
                <c:pt idx="118">
                  <c:v>3735</c:v>
                </c:pt>
                <c:pt idx="119">
                  <c:v>4445</c:v>
                </c:pt>
                <c:pt idx="120">
                  <c:v>5433</c:v>
                </c:pt>
                <c:pt idx="121">
                  <c:v>5641</c:v>
                </c:pt>
                <c:pt idx="122">
                  <c:v>4823</c:v>
                </c:pt>
                <c:pt idx="123">
                  <c:v>6365</c:v>
                </c:pt>
                <c:pt idx="124">
                  <c:v>10482</c:v>
                </c:pt>
                <c:pt idx="125">
                  <c:v>3690</c:v>
                </c:pt>
                <c:pt idx="126">
                  <c:v>3851</c:v>
                </c:pt>
                <c:pt idx="127">
                  <c:v>5826</c:v>
                </c:pt>
                <c:pt idx="128">
                  <c:v>6322</c:v>
                </c:pt>
                <c:pt idx="129">
                  <c:v>6880</c:v>
                </c:pt>
                <c:pt idx="130">
                  <c:v>4855</c:v>
                </c:pt>
                <c:pt idx="131">
                  <c:v>6067</c:v>
                </c:pt>
                <c:pt idx="132">
                  <c:v>5848</c:v>
                </c:pt>
                <c:pt idx="133">
                  <c:v>3860</c:v>
                </c:pt>
                <c:pt idx="134">
                  <c:v>7454</c:v>
                </c:pt>
                <c:pt idx="135">
                  <c:v>8326</c:v>
                </c:pt>
                <c:pt idx="136">
                  <c:v>5531</c:v>
                </c:pt>
                <c:pt idx="137">
                  <c:v>3618</c:v>
                </c:pt>
                <c:pt idx="138">
                  <c:v>4079</c:v>
                </c:pt>
                <c:pt idx="139">
                  <c:v>5556</c:v>
                </c:pt>
                <c:pt idx="140">
                  <c:v>5049</c:v>
                </c:pt>
                <c:pt idx="141">
                  <c:v>5223</c:v>
                </c:pt>
                <c:pt idx="142">
                  <c:v>5484</c:v>
                </c:pt>
                <c:pt idx="143">
                  <c:v>5949</c:v>
                </c:pt>
                <c:pt idx="144">
                  <c:v>5402</c:v>
                </c:pt>
                <c:pt idx="145">
                  <c:v>11610</c:v>
                </c:pt>
                <c:pt idx="146">
                  <c:v>3193</c:v>
                </c:pt>
                <c:pt idx="147">
                  <c:v>3767</c:v>
                </c:pt>
                <c:pt idx="148">
                  <c:v>3543</c:v>
                </c:pt>
                <c:pt idx="149">
                  <c:v>4210</c:v>
                </c:pt>
                <c:pt idx="150">
                  <c:v>6988</c:v>
                </c:pt>
                <c:pt idx="151">
                  <c:v>5887</c:v>
                </c:pt>
                <c:pt idx="152">
                  <c:v>4787</c:v>
                </c:pt>
                <c:pt idx="153">
                  <c:v>6780</c:v>
                </c:pt>
                <c:pt idx="154">
                  <c:v>5240</c:v>
                </c:pt>
                <c:pt idx="155">
                  <c:v>2447</c:v>
                </c:pt>
                <c:pt idx="156">
                  <c:v>2872</c:v>
                </c:pt>
                <c:pt idx="157">
                  <c:v>5021</c:v>
                </c:pt>
                <c:pt idx="158">
                  <c:v>6718</c:v>
                </c:pt>
                <c:pt idx="159">
                  <c:v>5288</c:v>
                </c:pt>
                <c:pt idx="160">
                  <c:v>9533</c:v>
                </c:pt>
                <c:pt idx="161">
                  <c:v>4879</c:v>
                </c:pt>
                <c:pt idx="162">
                  <c:v>3494</c:v>
                </c:pt>
                <c:pt idx="163">
                  <c:v>10162</c:v>
                </c:pt>
                <c:pt idx="164">
                  <c:v>6928</c:v>
                </c:pt>
                <c:pt idx="165">
                  <c:v>8451</c:v>
                </c:pt>
                <c:pt idx="166">
                  <c:v>7897</c:v>
                </c:pt>
                <c:pt idx="167">
                  <c:v>7115</c:v>
                </c:pt>
                <c:pt idx="168">
                  <c:v>5414</c:v>
                </c:pt>
                <c:pt idx="169">
                  <c:v>7064</c:v>
                </c:pt>
                <c:pt idx="170">
                  <c:v>4715</c:v>
                </c:pt>
                <c:pt idx="171">
                  <c:v>10288</c:v>
                </c:pt>
                <c:pt idx="172">
                  <c:v>8112</c:v>
                </c:pt>
                <c:pt idx="173">
                  <c:v>6225</c:v>
                </c:pt>
                <c:pt idx="174">
                  <c:v>12076</c:v>
                </c:pt>
                <c:pt idx="175">
                  <c:v>6240</c:v>
                </c:pt>
                <c:pt idx="176">
                  <c:v>5995</c:v>
                </c:pt>
                <c:pt idx="177">
                  <c:v>5264</c:v>
                </c:pt>
                <c:pt idx="178">
                  <c:v>7459</c:v>
                </c:pt>
                <c:pt idx="179">
                  <c:v>5525</c:v>
                </c:pt>
                <c:pt idx="180">
                  <c:v>6035</c:v>
                </c:pt>
                <c:pt idx="181">
                  <c:v>5837</c:v>
                </c:pt>
                <c:pt idx="182">
                  <c:v>12225</c:v>
                </c:pt>
                <c:pt idx="183">
                  <c:v>7557</c:v>
                </c:pt>
                <c:pt idx="184">
                  <c:v>8432</c:v>
                </c:pt>
                <c:pt idx="185">
                  <c:v>11015</c:v>
                </c:pt>
                <c:pt idx="186">
                  <c:v>10526</c:v>
                </c:pt>
                <c:pt idx="187">
                  <c:v>14508</c:v>
                </c:pt>
                <c:pt idx="188">
                  <c:v>6832</c:v>
                </c:pt>
                <c:pt idx="189">
                  <c:v>8426</c:v>
                </c:pt>
                <c:pt idx="190">
                  <c:v>8264</c:v>
                </c:pt>
                <c:pt idx="191">
                  <c:v>7141</c:v>
                </c:pt>
                <c:pt idx="192">
                  <c:v>8361</c:v>
                </c:pt>
                <c:pt idx="193">
                  <c:v>6464</c:v>
                </c:pt>
                <c:pt idx="194">
                  <c:v>6914</c:v>
                </c:pt>
                <c:pt idx="195">
                  <c:v>6482</c:v>
                </c:pt>
                <c:pt idx="196">
                  <c:v>6935</c:v>
                </c:pt>
                <c:pt idx="197">
                  <c:v>6002</c:v>
                </c:pt>
                <c:pt idx="198">
                  <c:v>7384</c:v>
                </c:pt>
                <c:pt idx="199">
                  <c:v>7220</c:v>
                </c:pt>
                <c:pt idx="200">
                  <c:v>10674</c:v>
                </c:pt>
                <c:pt idx="201">
                  <c:v>7395</c:v>
                </c:pt>
                <c:pt idx="202">
                  <c:v>5760</c:v>
                </c:pt>
                <c:pt idx="203">
                  <c:v>9804</c:v>
                </c:pt>
                <c:pt idx="204">
                  <c:v>10844</c:v>
                </c:pt>
                <c:pt idx="205">
                  <c:v>7108</c:v>
                </c:pt>
                <c:pt idx="206">
                  <c:v>5503</c:v>
                </c:pt>
                <c:pt idx="207">
                  <c:v>7829</c:v>
                </c:pt>
                <c:pt idx="208">
                  <c:v>6731</c:v>
                </c:pt>
                <c:pt idx="209">
                  <c:v>6215</c:v>
                </c:pt>
                <c:pt idx="210">
                  <c:v>862</c:v>
                </c:pt>
                <c:pt idx="211">
                  <c:v>947</c:v>
                </c:pt>
                <c:pt idx="212">
                  <c:v>4682</c:v>
                </c:pt>
                <c:pt idx="213">
                  <c:v>5090</c:v>
                </c:pt>
                <c:pt idx="214">
                  <c:v>5233</c:v>
                </c:pt>
                <c:pt idx="215">
                  <c:v>3675</c:v>
                </c:pt>
                <c:pt idx="216">
                  <c:v>3409</c:v>
                </c:pt>
                <c:pt idx="217">
                  <c:v>4934</c:v>
                </c:pt>
                <c:pt idx="218">
                  <c:v>5656</c:v>
                </c:pt>
                <c:pt idx="219">
                  <c:v>5017</c:v>
                </c:pt>
                <c:pt idx="220">
                  <c:v>4080</c:v>
                </c:pt>
                <c:pt idx="221">
                  <c:v>6157</c:v>
                </c:pt>
                <c:pt idx="222">
                  <c:v>4797</c:v>
                </c:pt>
                <c:pt idx="223">
                  <c:v>3484</c:v>
                </c:pt>
                <c:pt idx="224">
                  <c:v>3262</c:v>
                </c:pt>
                <c:pt idx="225">
                  <c:v>2770</c:v>
                </c:pt>
                <c:pt idx="226">
                  <c:v>5237</c:v>
                </c:pt>
                <c:pt idx="227">
                  <c:v>5011</c:v>
                </c:pt>
                <c:pt idx="228">
                  <c:v>5346</c:v>
                </c:pt>
                <c:pt idx="229">
                  <c:v>5991</c:v>
                </c:pt>
                <c:pt idx="230">
                  <c:v>2849</c:v>
                </c:pt>
                <c:pt idx="231">
                  <c:v>4981</c:v>
                </c:pt>
                <c:pt idx="232">
                  <c:v>3809</c:v>
                </c:pt>
                <c:pt idx="233">
                  <c:v>1294</c:v>
                </c:pt>
                <c:pt idx="234">
                  <c:v>1766</c:v>
                </c:pt>
                <c:pt idx="235">
                  <c:v>2319</c:v>
                </c:pt>
                <c:pt idx="236">
                  <c:v>4067</c:v>
                </c:pt>
                <c:pt idx="237">
                  <c:v>4017</c:v>
                </c:pt>
                <c:pt idx="238">
                  <c:v>5429</c:v>
                </c:pt>
                <c:pt idx="239">
                  <c:v>3500</c:v>
                </c:pt>
                <c:pt idx="240">
                  <c:v>5385</c:v>
                </c:pt>
                <c:pt idx="241">
                  <c:v>6086</c:v>
                </c:pt>
                <c:pt idx="242">
                  <c:v>3867</c:v>
                </c:pt>
              </c:numCache>
            </c:numRef>
          </c:val>
        </c:ser>
        <c:gapWidth val="0"/>
        <c:axId val="132396928"/>
        <c:axId val="132398464"/>
      </c:barChart>
      <c:lineChart>
        <c:grouping val="standard"/>
        <c:ser>
          <c:idx val="3"/>
          <c:order val="1"/>
          <c:tx>
            <c:strRef>
              <c:f>[1]FCPO!$AM$2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[1]FCPO!$A$5444:$A$5686</c:f>
              <c:numCache>
                <c:formatCode>General</c:formatCode>
                <c:ptCount val="243"/>
                <c:pt idx="0">
                  <c:v>37641</c:v>
                </c:pt>
                <c:pt idx="1">
                  <c:v>37642</c:v>
                </c:pt>
                <c:pt idx="2">
                  <c:v>37643</c:v>
                </c:pt>
                <c:pt idx="3">
                  <c:v>37644</c:v>
                </c:pt>
                <c:pt idx="4">
                  <c:v>37645</c:v>
                </c:pt>
                <c:pt idx="5">
                  <c:v>37648</c:v>
                </c:pt>
                <c:pt idx="6">
                  <c:v>37649</c:v>
                </c:pt>
                <c:pt idx="7">
                  <c:v>37650</c:v>
                </c:pt>
                <c:pt idx="8">
                  <c:v>37651</c:v>
                </c:pt>
                <c:pt idx="9">
                  <c:v>37657</c:v>
                </c:pt>
                <c:pt idx="10">
                  <c:v>37658</c:v>
                </c:pt>
                <c:pt idx="11">
                  <c:v>37659</c:v>
                </c:pt>
                <c:pt idx="12">
                  <c:v>37662</c:v>
                </c:pt>
                <c:pt idx="13">
                  <c:v>37663</c:v>
                </c:pt>
                <c:pt idx="14">
                  <c:v>37665</c:v>
                </c:pt>
                <c:pt idx="15">
                  <c:v>37666</c:v>
                </c:pt>
                <c:pt idx="16">
                  <c:v>37669</c:v>
                </c:pt>
                <c:pt idx="17">
                  <c:v>37670</c:v>
                </c:pt>
                <c:pt idx="18">
                  <c:v>37671</c:v>
                </c:pt>
                <c:pt idx="19">
                  <c:v>37672</c:v>
                </c:pt>
                <c:pt idx="20">
                  <c:v>37673</c:v>
                </c:pt>
                <c:pt idx="21">
                  <c:v>37676</c:v>
                </c:pt>
                <c:pt idx="22">
                  <c:v>37677</c:v>
                </c:pt>
                <c:pt idx="23">
                  <c:v>37678</c:v>
                </c:pt>
                <c:pt idx="24">
                  <c:v>37679</c:v>
                </c:pt>
                <c:pt idx="25">
                  <c:v>37680</c:v>
                </c:pt>
                <c:pt idx="26">
                  <c:v>37683</c:v>
                </c:pt>
                <c:pt idx="27">
                  <c:v>37685</c:v>
                </c:pt>
                <c:pt idx="28">
                  <c:v>37686</c:v>
                </c:pt>
                <c:pt idx="29">
                  <c:v>37687</c:v>
                </c:pt>
                <c:pt idx="30">
                  <c:v>37690</c:v>
                </c:pt>
                <c:pt idx="31">
                  <c:v>37691</c:v>
                </c:pt>
                <c:pt idx="32">
                  <c:v>37692</c:v>
                </c:pt>
                <c:pt idx="33">
                  <c:v>37693</c:v>
                </c:pt>
                <c:pt idx="34">
                  <c:v>37694</c:v>
                </c:pt>
                <c:pt idx="35">
                  <c:v>37697</c:v>
                </c:pt>
                <c:pt idx="36">
                  <c:v>37698</c:v>
                </c:pt>
                <c:pt idx="37">
                  <c:v>37699</c:v>
                </c:pt>
                <c:pt idx="38">
                  <c:v>37700</c:v>
                </c:pt>
                <c:pt idx="39">
                  <c:v>37701</c:v>
                </c:pt>
                <c:pt idx="40">
                  <c:v>37704</c:v>
                </c:pt>
                <c:pt idx="41">
                  <c:v>37705</c:v>
                </c:pt>
                <c:pt idx="42">
                  <c:v>37706</c:v>
                </c:pt>
                <c:pt idx="43">
                  <c:v>37707</c:v>
                </c:pt>
                <c:pt idx="44">
                  <c:v>37708</c:v>
                </c:pt>
                <c:pt idx="45">
                  <c:v>37711</c:v>
                </c:pt>
                <c:pt idx="46">
                  <c:v>37712</c:v>
                </c:pt>
                <c:pt idx="47">
                  <c:v>37713</c:v>
                </c:pt>
                <c:pt idx="48">
                  <c:v>37714</c:v>
                </c:pt>
                <c:pt idx="49">
                  <c:v>37715</c:v>
                </c:pt>
                <c:pt idx="50">
                  <c:v>37718</c:v>
                </c:pt>
                <c:pt idx="51">
                  <c:v>37719</c:v>
                </c:pt>
                <c:pt idx="52">
                  <c:v>37720</c:v>
                </c:pt>
                <c:pt idx="53">
                  <c:v>37721</c:v>
                </c:pt>
                <c:pt idx="54">
                  <c:v>37722</c:v>
                </c:pt>
                <c:pt idx="55">
                  <c:v>37725</c:v>
                </c:pt>
                <c:pt idx="56">
                  <c:v>37726</c:v>
                </c:pt>
                <c:pt idx="57">
                  <c:v>37727</c:v>
                </c:pt>
                <c:pt idx="58">
                  <c:v>37728</c:v>
                </c:pt>
                <c:pt idx="59">
                  <c:v>37729</c:v>
                </c:pt>
                <c:pt idx="60">
                  <c:v>37732</c:v>
                </c:pt>
                <c:pt idx="61">
                  <c:v>37733</c:v>
                </c:pt>
                <c:pt idx="62">
                  <c:v>37734</c:v>
                </c:pt>
                <c:pt idx="63">
                  <c:v>37735</c:v>
                </c:pt>
                <c:pt idx="64">
                  <c:v>37736</c:v>
                </c:pt>
                <c:pt idx="65">
                  <c:v>37739</c:v>
                </c:pt>
                <c:pt idx="66">
                  <c:v>37740</c:v>
                </c:pt>
                <c:pt idx="67">
                  <c:v>37741</c:v>
                </c:pt>
                <c:pt idx="68">
                  <c:v>37743</c:v>
                </c:pt>
                <c:pt idx="69">
                  <c:v>37746</c:v>
                </c:pt>
                <c:pt idx="70">
                  <c:v>37747</c:v>
                </c:pt>
                <c:pt idx="71">
                  <c:v>37748</c:v>
                </c:pt>
                <c:pt idx="72">
                  <c:v>37749</c:v>
                </c:pt>
                <c:pt idx="73">
                  <c:v>37750</c:v>
                </c:pt>
                <c:pt idx="74">
                  <c:v>37753</c:v>
                </c:pt>
                <c:pt idx="75">
                  <c:v>37754</c:v>
                </c:pt>
                <c:pt idx="76">
                  <c:v>37757</c:v>
                </c:pt>
                <c:pt idx="77">
                  <c:v>37760</c:v>
                </c:pt>
                <c:pt idx="78">
                  <c:v>37761</c:v>
                </c:pt>
                <c:pt idx="79">
                  <c:v>37762</c:v>
                </c:pt>
                <c:pt idx="80">
                  <c:v>37763</c:v>
                </c:pt>
                <c:pt idx="81">
                  <c:v>37764</c:v>
                </c:pt>
                <c:pt idx="82">
                  <c:v>37767</c:v>
                </c:pt>
                <c:pt idx="83">
                  <c:v>37768</c:v>
                </c:pt>
                <c:pt idx="84">
                  <c:v>37769</c:v>
                </c:pt>
                <c:pt idx="85">
                  <c:v>37770</c:v>
                </c:pt>
                <c:pt idx="86">
                  <c:v>37771</c:v>
                </c:pt>
                <c:pt idx="87">
                  <c:v>37774</c:v>
                </c:pt>
                <c:pt idx="88">
                  <c:v>37775</c:v>
                </c:pt>
                <c:pt idx="89">
                  <c:v>37776</c:v>
                </c:pt>
                <c:pt idx="90">
                  <c:v>37777</c:v>
                </c:pt>
                <c:pt idx="91">
                  <c:v>37778</c:v>
                </c:pt>
                <c:pt idx="92">
                  <c:v>37781</c:v>
                </c:pt>
                <c:pt idx="93">
                  <c:v>37782</c:v>
                </c:pt>
                <c:pt idx="94">
                  <c:v>37783</c:v>
                </c:pt>
                <c:pt idx="95">
                  <c:v>37784</c:v>
                </c:pt>
                <c:pt idx="96">
                  <c:v>37785</c:v>
                </c:pt>
                <c:pt idx="97">
                  <c:v>37788</c:v>
                </c:pt>
                <c:pt idx="98">
                  <c:v>37789</c:v>
                </c:pt>
                <c:pt idx="99">
                  <c:v>37790</c:v>
                </c:pt>
                <c:pt idx="100">
                  <c:v>37791</c:v>
                </c:pt>
                <c:pt idx="101">
                  <c:v>37792</c:v>
                </c:pt>
                <c:pt idx="102">
                  <c:v>37795</c:v>
                </c:pt>
                <c:pt idx="103">
                  <c:v>37796</c:v>
                </c:pt>
                <c:pt idx="104">
                  <c:v>37797</c:v>
                </c:pt>
                <c:pt idx="105">
                  <c:v>37798</c:v>
                </c:pt>
                <c:pt idx="106">
                  <c:v>37799</c:v>
                </c:pt>
                <c:pt idx="107">
                  <c:v>37802</c:v>
                </c:pt>
                <c:pt idx="108">
                  <c:v>37803</c:v>
                </c:pt>
                <c:pt idx="109">
                  <c:v>37804</c:v>
                </c:pt>
                <c:pt idx="110">
                  <c:v>37805</c:v>
                </c:pt>
                <c:pt idx="111">
                  <c:v>37806</c:v>
                </c:pt>
                <c:pt idx="112">
                  <c:v>37809</c:v>
                </c:pt>
                <c:pt idx="113">
                  <c:v>37810</c:v>
                </c:pt>
                <c:pt idx="114">
                  <c:v>37811</c:v>
                </c:pt>
                <c:pt idx="115">
                  <c:v>37812</c:v>
                </c:pt>
                <c:pt idx="116">
                  <c:v>37813</c:v>
                </c:pt>
                <c:pt idx="117">
                  <c:v>37816</c:v>
                </c:pt>
                <c:pt idx="118">
                  <c:v>37817</c:v>
                </c:pt>
                <c:pt idx="119">
                  <c:v>37818</c:v>
                </c:pt>
                <c:pt idx="120">
                  <c:v>37819</c:v>
                </c:pt>
                <c:pt idx="121">
                  <c:v>37820</c:v>
                </c:pt>
                <c:pt idx="122">
                  <c:v>37823</c:v>
                </c:pt>
                <c:pt idx="123">
                  <c:v>37824</c:v>
                </c:pt>
                <c:pt idx="124">
                  <c:v>37825</c:v>
                </c:pt>
                <c:pt idx="125">
                  <c:v>37826</c:v>
                </c:pt>
                <c:pt idx="126">
                  <c:v>37827</c:v>
                </c:pt>
                <c:pt idx="127">
                  <c:v>37830</c:v>
                </c:pt>
                <c:pt idx="128">
                  <c:v>37831</c:v>
                </c:pt>
                <c:pt idx="129">
                  <c:v>37832</c:v>
                </c:pt>
                <c:pt idx="130">
                  <c:v>37833</c:v>
                </c:pt>
                <c:pt idx="131">
                  <c:v>37834</c:v>
                </c:pt>
                <c:pt idx="132">
                  <c:v>37837</c:v>
                </c:pt>
                <c:pt idx="133">
                  <c:v>37838</c:v>
                </c:pt>
                <c:pt idx="134">
                  <c:v>37839</c:v>
                </c:pt>
                <c:pt idx="135">
                  <c:v>37840</c:v>
                </c:pt>
                <c:pt idx="136">
                  <c:v>37841</c:v>
                </c:pt>
                <c:pt idx="137">
                  <c:v>37844</c:v>
                </c:pt>
                <c:pt idx="138">
                  <c:v>37845</c:v>
                </c:pt>
                <c:pt idx="139">
                  <c:v>37846</c:v>
                </c:pt>
                <c:pt idx="140">
                  <c:v>37847</c:v>
                </c:pt>
                <c:pt idx="141">
                  <c:v>37848</c:v>
                </c:pt>
                <c:pt idx="142">
                  <c:v>37851</c:v>
                </c:pt>
                <c:pt idx="143">
                  <c:v>37852</c:v>
                </c:pt>
                <c:pt idx="144">
                  <c:v>37853</c:v>
                </c:pt>
                <c:pt idx="145">
                  <c:v>37854</c:v>
                </c:pt>
                <c:pt idx="146">
                  <c:v>37855</c:v>
                </c:pt>
                <c:pt idx="147">
                  <c:v>37858</c:v>
                </c:pt>
                <c:pt idx="148">
                  <c:v>37859</c:v>
                </c:pt>
                <c:pt idx="149">
                  <c:v>37860</c:v>
                </c:pt>
                <c:pt idx="150">
                  <c:v>37861</c:v>
                </c:pt>
                <c:pt idx="151">
                  <c:v>37862</c:v>
                </c:pt>
                <c:pt idx="152">
                  <c:v>37866</c:v>
                </c:pt>
                <c:pt idx="153">
                  <c:v>37867</c:v>
                </c:pt>
                <c:pt idx="154">
                  <c:v>37868</c:v>
                </c:pt>
                <c:pt idx="155">
                  <c:v>37869</c:v>
                </c:pt>
                <c:pt idx="156">
                  <c:v>37872</c:v>
                </c:pt>
                <c:pt idx="157">
                  <c:v>37873</c:v>
                </c:pt>
                <c:pt idx="158">
                  <c:v>37874</c:v>
                </c:pt>
                <c:pt idx="159">
                  <c:v>37875</c:v>
                </c:pt>
                <c:pt idx="160">
                  <c:v>37876</c:v>
                </c:pt>
                <c:pt idx="161">
                  <c:v>37879</c:v>
                </c:pt>
                <c:pt idx="162">
                  <c:v>37880</c:v>
                </c:pt>
                <c:pt idx="163">
                  <c:v>37881</c:v>
                </c:pt>
                <c:pt idx="164">
                  <c:v>37882</c:v>
                </c:pt>
                <c:pt idx="165">
                  <c:v>37883</c:v>
                </c:pt>
                <c:pt idx="166">
                  <c:v>37886</c:v>
                </c:pt>
                <c:pt idx="167">
                  <c:v>37887</c:v>
                </c:pt>
                <c:pt idx="168">
                  <c:v>37888</c:v>
                </c:pt>
                <c:pt idx="169">
                  <c:v>37889</c:v>
                </c:pt>
                <c:pt idx="170">
                  <c:v>37890</c:v>
                </c:pt>
                <c:pt idx="171">
                  <c:v>37893</c:v>
                </c:pt>
                <c:pt idx="172">
                  <c:v>37894</c:v>
                </c:pt>
                <c:pt idx="173">
                  <c:v>37895</c:v>
                </c:pt>
                <c:pt idx="174">
                  <c:v>37896</c:v>
                </c:pt>
                <c:pt idx="175">
                  <c:v>37897</c:v>
                </c:pt>
                <c:pt idx="176">
                  <c:v>37900</c:v>
                </c:pt>
                <c:pt idx="177">
                  <c:v>37901</c:v>
                </c:pt>
                <c:pt idx="178">
                  <c:v>37902</c:v>
                </c:pt>
                <c:pt idx="179">
                  <c:v>37903</c:v>
                </c:pt>
                <c:pt idx="180">
                  <c:v>37904</c:v>
                </c:pt>
                <c:pt idx="181">
                  <c:v>37907</c:v>
                </c:pt>
                <c:pt idx="182">
                  <c:v>37908</c:v>
                </c:pt>
                <c:pt idx="183">
                  <c:v>37909</c:v>
                </c:pt>
                <c:pt idx="184">
                  <c:v>37910</c:v>
                </c:pt>
                <c:pt idx="185">
                  <c:v>37911</c:v>
                </c:pt>
                <c:pt idx="186">
                  <c:v>37914</c:v>
                </c:pt>
                <c:pt idx="187">
                  <c:v>37915</c:v>
                </c:pt>
                <c:pt idx="188">
                  <c:v>37916</c:v>
                </c:pt>
                <c:pt idx="189">
                  <c:v>37917</c:v>
                </c:pt>
                <c:pt idx="190">
                  <c:v>37921</c:v>
                </c:pt>
                <c:pt idx="191">
                  <c:v>37922</c:v>
                </c:pt>
                <c:pt idx="192">
                  <c:v>37923</c:v>
                </c:pt>
                <c:pt idx="193">
                  <c:v>37924</c:v>
                </c:pt>
                <c:pt idx="194">
                  <c:v>37925</c:v>
                </c:pt>
                <c:pt idx="195">
                  <c:v>37928</c:v>
                </c:pt>
                <c:pt idx="196">
                  <c:v>37929</c:v>
                </c:pt>
                <c:pt idx="197">
                  <c:v>37930</c:v>
                </c:pt>
                <c:pt idx="198">
                  <c:v>37931</c:v>
                </c:pt>
                <c:pt idx="199">
                  <c:v>37932</c:v>
                </c:pt>
                <c:pt idx="200">
                  <c:v>37935</c:v>
                </c:pt>
                <c:pt idx="201">
                  <c:v>37936</c:v>
                </c:pt>
                <c:pt idx="202">
                  <c:v>37937</c:v>
                </c:pt>
                <c:pt idx="203">
                  <c:v>37938</c:v>
                </c:pt>
                <c:pt idx="204">
                  <c:v>37939</c:v>
                </c:pt>
                <c:pt idx="205">
                  <c:v>37942</c:v>
                </c:pt>
                <c:pt idx="206">
                  <c:v>37943</c:v>
                </c:pt>
                <c:pt idx="207">
                  <c:v>37944</c:v>
                </c:pt>
                <c:pt idx="208">
                  <c:v>37945</c:v>
                </c:pt>
                <c:pt idx="209">
                  <c:v>37946</c:v>
                </c:pt>
                <c:pt idx="210">
                  <c:v>37952</c:v>
                </c:pt>
                <c:pt idx="211">
                  <c:v>37953</c:v>
                </c:pt>
                <c:pt idx="212">
                  <c:v>37956</c:v>
                </c:pt>
                <c:pt idx="213">
                  <c:v>37957</c:v>
                </c:pt>
                <c:pt idx="214">
                  <c:v>37958</c:v>
                </c:pt>
                <c:pt idx="215">
                  <c:v>37959</c:v>
                </c:pt>
                <c:pt idx="216">
                  <c:v>37960</c:v>
                </c:pt>
                <c:pt idx="217">
                  <c:v>37963</c:v>
                </c:pt>
                <c:pt idx="218">
                  <c:v>37964</c:v>
                </c:pt>
                <c:pt idx="219">
                  <c:v>37965</c:v>
                </c:pt>
                <c:pt idx="220">
                  <c:v>37966</c:v>
                </c:pt>
                <c:pt idx="221">
                  <c:v>37967</c:v>
                </c:pt>
                <c:pt idx="222">
                  <c:v>37970</c:v>
                </c:pt>
                <c:pt idx="223">
                  <c:v>37971</c:v>
                </c:pt>
                <c:pt idx="224">
                  <c:v>37972</c:v>
                </c:pt>
                <c:pt idx="225">
                  <c:v>37973</c:v>
                </c:pt>
                <c:pt idx="226">
                  <c:v>37974</c:v>
                </c:pt>
                <c:pt idx="227">
                  <c:v>37977</c:v>
                </c:pt>
                <c:pt idx="228">
                  <c:v>37978</c:v>
                </c:pt>
                <c:pt idx="229">
                  <c:v>37979</c:v>
                </c:pt>
                <c:pt idx="230">
                  <c:v>37981</c:v>
                </c:pt>
                <c:pt idx="231">
                  <c:v>37984</c:v>
                </c:pt>
                <c:pt idx="232">
                  <c:v>37985</c:v>
                </c:pt>
                <c:pt idx="233">
                  <c:v>37986</c:v>
                </c:pt>
                <c:pt idx="234">
                  <c:v>37988</c:v>
                </c:pt>
                <c:pt idx="235">
                  <c:v>37991</c:v>
                </c:pt>
                <c:pt idx="236">
                  <c:v>37992</c:v>
                </c:pt>
                <c:pt idx="237">
                  <c:v>37993</c:v>
                </c:pt>
                <c:pt idx="238">
                  <c:v>37994</c:v>
                </c:pt>
                <c:pt idx="239">
                  <c:v>37995</c:v>
                </c:pt>
                <c:pt idx="240">
                  <c:v>37998</c:v>
                </c:pt>
                <c:pt idx="241">
                  <c:v>37999</c:v>
                </c:pt>
                <c:pt idx="242">
                  <c:v>38000</c:v>
                </c:pt>
              </c:numCache>
            </c:numRef>
          </c:cat>
          <c:val>
            <c:numRef>
              <c:f>[1]FCPO!$AM$5444:$AM$5686</c:f>
              <c:numCache>
                <c:formatCode>General</c:formatCode>
                <c:ptCount val="243"/>
                <c:pt idx="0">
                  <c:v>18297</c:v>
                </c:pt>
                <c:pt idx="1">
                  <c:v>18697</c:v>
                </c:pt>
                <c:pt idx="2">
                  <c:v>18680</c:v>
                </c:pt>
                <c:pt idx="3">
                  <c:v>18727</c:v>
                </c:pt>
                <c:pt idx="4">
                  <c:v>18611</c:v>
                </c:pt>
                <c:pt idx="5">
                  <c:v>18696</c:v>
                </c:pt>
                <c:pt idx="6">
                  <c:v>19139</c:v>
                </c:pt>
                <c:pt idx="7">
                  <c:v>18726</c:v>
                </c:pt>
                <c:pt idx="8">
                  <c:v>19594</c:v>
                </c:pt>
                <c:pt idx="9">
                  <c:v>19492</c:v>
                </c:pt>
                <c:pt idx="10">
                  <c:v>19581</c:v>
                </c:pt>
                <c:pt idx="11">
                  <c:v>19478</c:v>
                </c:pt>
                <c:pt idx="12">
                  <c:v>19637</c:v>
                </c:pt>
                <c:pt idx="13">
                  <c:v>20384</c:v>
                </c:pt>
                <c:pt idx="14">
                  <c:v>20048</c:v>
                </c:pt>
                <c:pt idx="15">
                  <c:v>19989</c:v>
                </c:pt>
                <c:pt idx="16">
                  <c:v>19958</c:v>
                </c:pt>
                <c:pt idx="17">
                  <c:v>20127</c:v>
                </c:pt>
                <c:pt idx="18">
                  <c:v>20048</c:v>
                </c:pt>
                <c:pt idx="19">
                  <c:v>20205</c:v>
                </c:pt>
                <c:pt idx="20">
                  <c:v>20539</c:v>
                </c:pt>
                <c:pt idx="21">
                  <c:v>20641</c:v>
                </c:pt>
                <c:pt idx="22">
                  <c:v>20438</c:v>
                </c:pt>
                <c:pt idx="23">
                  <c:v>20189</c:v>
                </c:pt>
                <c:pt idx="24">
                  <c:v>20294</c:v>
                </c:pt>
                <c:pt idx="25">
                  <c:v>21143</c:v>
                </c:pt>
                <c:pt idx="26">
                  <c:v>20551</c:v>
                </c:pt>
                <c:pt idx="27">
                  <c:v>18054</c:v>
                </c:pt>
                <c:pt idx="28">
                  <c:v>18513</c:v>
                </c:pt>
                <c:pt idx="29">
                  <c:v>19239</c:v>
                </c:pt>
                <c:pt idx="30">
                  <c:v>20387</c:v>
                </c:pt>
                <c:pt idx="31">
                  <c:v>20257</c:v>
                </c:pt>
                <c:pt idx="32">
                  <c:v>20150</c:v>
                </c:pt>
                <c:pt idx="33">
                  <c:v>19919</c:v>
                </c:pt>
                <c:pt idx="34">
                  <c:v>20269</c:v>
                </c:pt>
                <c:pt idx="35">
                  <c:v>19465</c:v>
                </c:pt>
                <c:pt idx="36">
                  <c:v>18585</c:v>
                </c:pt>
                <c:pt idx="37">
                  <c:v>19065</c:v>
                </c:pt>
                <c:pt idx="38">
                  <c:v>18271</c:v>
                </c:pt>
                <c:pt idx="39">
                  <c:v>19135</c:v>
                </c:pt>
                <c:pt idx="40">
                  <c:v>19184</c:v>
                </c:pt>
                <c:pt idx="41">
                  <c:v>18755</c:v>
                </c:pt>
                <c:pt idx="42">
                  <c:v>19408</c:v>
                </c:pt>
                <c:pt idx="43">
                  <c:v>20843</c:v>
                </c:pt>
                <c:pt idx="44">
                  <c:v>20936</c:v>
                </c:pt>
                <c:pt idx="45">
                  <c:v>21499</c:v>
                </c:pt>
                <c:pt idx="46">
                  <c:v>21540</c:v>
                </c:pt>
                <c:pt idx="47">
                  <c:v>21500</c:v>
                </c:pt>
                <c:pt idx="48">
                  <c:v>21378</c:v>
                </c:pt>
                <c:pt idx="49">
                  <c:v>21547</c:v>
                </c:pt>
                <c:pt idx="50">
                  <c:v>22581</c:v>
                </c:pt>
                <c:pt idx="51">
                  <c:v>22282</c:v>
                </c:pt>
                <c:pt idx="52">
                  <c:v>21038</c:v>
                </c:pt>
                <c:pt idx="53">
                  <c:v>21054</c:v>
                </c:pt>
                <c:pt idx="54">
                  <c:v>20908</c:v>
                </c:pt>
                <c:pt idx="55">
                  <c:v>21335</c:v>
                </c:pt>
                <c:pt idx="56">
                  <c:v>21673</c:v>
                </c:pt>
                <c:pt idx="57">
                  <c:v>22076</c:v>
                </c:pt>
                <c:pt idx="58">
                  <c:v>22566</c:v>
                </c:pt>
                <c:pt idx="59">
                  <c:v>23273</c:v>
                </c:pt>
                <c:pt idx="60">
                  <c:v>23663</c:v>
                </c:pt>
                <c:pt idx="61">
                  <c:v>24183</c:v>
                </c:pt>
                <c:pt idx="62">
                  <c:v>24807</c:v>
                </c:pt>
                <c:pt idx="63">
                  <c:v>25378</c:v>
                </c:pt>
                <c:pt idx="64">
                  <c:v>25316</c:v>
                </c:pt>
                <c:pt idx="65">
                  <c:v>25972</c:v>
                </c:pt>
                <c:pt idx="66">
                  <c:v>25705</c:v>
                </c:pt>
                <c:pt idx="67">
                  <c:v>26363</c:v>
                </c:pt>
                <c:pt idx="68">
                  <c:v>20723</c:v>
                </c:pt>
                <c:pt idx="69">
                  <c:v>26012</c:v>
                </c:pt>
                <c:pt idx="70">
                  <c:v>26268</c:v>
                </c:pt>
                <c:pt idx="71">
                  <c:v>26429</c:v>
                </c:pt>
                <c:pt idx="72">
                  <c:v>26902</c:v>
                </c:pt>
                <c:pt idx="73">
                  <c:v>26759</c:v>
                </c:pt>
                <c:pt idx="74">
                  <c:v>26910</c:v>
                </c:pt>
                <c:pt idx="75">
                  <c:v>26743</c:v>
                </c:pt>
                <c:pt idx="76">
                  <c:v>27481</c:v>
                </c:pt>
                <c:pt idx="77">
                  <c:v>27794</c:v>
                </c:pt>
                <c:pt idx="78">
                  <c:v>27312</c:v>
                </c:pt>
                <c:pt idx="79">
                  <c:v>27944</c:v>
                </c:pt>
                <c:pt idx="80">
                  <c:v>28101</c:v>
                </c:pt>
                <c:pt idx="81">
                  <c:v>28792</c:v>
                </c:pt>
                <c:pt idx="82">
                  <c:v>28478</c:v>
                </c:pt>
                <c:pt idx="83">
                  <c:v>27876</c:v>
                </c:pt>
                <c:pt idx="84">
                  <c:v>27039</c:v>
                </c:pt>
                <c:pt idx="85">
                  <c:v>26953</c:v>
                </c:pt>
                <c:pt idx="86">
                  <c:v>26801</c:v>
                </c:pt>
                <c:pt idx="87">
                  <c:v>26728</c:v>
                </c:pt>
                <c:pt idx="88">
                  <c:v>25962</c:v>
                </c:pt>
                <c:pt idx="89">
                  <c:v>26468</c:v>
                </c:pt>
                <c:pt idx="90">
                  <c:v>26715</c:v>
                </c:pt>
                <c:pt idx="91">
                  <c:v>27682</c:v>
                </c:pt>
                <c:pt idx="92">
                  <c:v>27206</c:v>
                </c:pt>
                <c:pt idx="93">
                  <c:v>26998</c:v>
                </c:pt>
                <c:pt idx="94">
                  <c:v>26744</c:v>
                </c:pt>
                <c:pt idx="95">
                  <c:v>25656</c:v>
                </c:pt>
                <c:pt idx="96">
                  <c:v>25636</c:v>
                </c:pt>
                <c:pt idx="97">
                  <c:v>25408</c:v>
                </c:pt>
                <c:pt idx="98">
                  <c:v>25925</c:v>
                </c:pt>
                <c:pt idx="99">
                  <c:v>26690</c:v>
                </c:pt>
                <c:pt idx="100">
                  <c:v>26214</c:v>
                </c:pt>
                <c:pt idx="101">
                  <c:v>26339</c:v>
                </c:pt>
                <c:pt idx="102">
                  <c:v>25514</c:v>
                </c:pt>
                <c:pt idx="103">
                  <c:v>24976</c:v>
                </c:pt>
                <c:pt idx="104">
                  <c:v>25321</c:v>
                </c:pt>
                <c:pt idx="105">
                  <c:v>25320</c:v>
                </c:pt>
                <c:pt idx="106">
                  <c:v>24130</c:v>
                </c:pt>
                <c:pt idx="107">
                  <c:v>24159</c:v>
                </c:pt>
                <c:pt idx="108">
                  <c:v>24369</c:v>
                </c:pt>
                <c:pt idx="109">
                  <c:v>24794</c:v>
                </c:pt>
                <c:pt idx="110">
                  <c:v>24316</c:v>
                </c:pt>
                <c:pt idx="111">
                  <c:v>24660</c:v>
                </c:pt>
                <c:pt idx="112">
                  <c:v>27324</c:v>
                </c:pt>
                <c:pt idx="113">
                  <c:v>24697</c:v>
                </c:pt>
                <c:pt idx="114">
                  <c:v>24450</c:v>
                </c:pt>
                <c:pt idx="115">
                  <c:v>24206</c:v>
                </c:pt>
                <c:pt idx="116">
                  <c:v>24773</c:v>
                </c:pt>
                <c:pt idx="117">
                  <c:v>24625</c:v>
                </c:pt>
                <c:pt idx="118">
                  <c:v>25110</c:v>
                </c:pt>
                <c:pt idx="119">
                  <c:v>25966</c:v>
                </c:pt>
                <c:pt idx="120">
                  <c:v>26605</c:v>
                </c:pt>
                <c:pt idx="121">
                  <c:v>27264</c:v>
                </c:pt>
                <c:pt idx="122">
                  <c:v>27660</c:v>
                </c:pt>
                <c:pt idx="123">
                  <c:v>28104</c:v>
                </c:pt>
                <c:pt idx="124">
                  <c:v>29171</c:v>
                </c:pt>
                <c:pt idx="125">
                  <c:v>29465</c:v>
                </c:pt>
                <c:pt idx="126">
                  <c:v>29733</c:v>
                </c:pt>
                <c:pt idx="127">
                  <c:v>30072</c:v>
                </c:pt>
                <c:pt idx="128">
                  <c:v>30386</c:v>
                </c:pt>
                <c:pt idx="129">
                  <c:v>30193</c:v>
                </c:pt>
                <c:pt idx="130">
                  <c:v>30255</c:v>
                </c:pt>
                <c:pt idx="131">
                  <c:v>30812</c:v>
                </c:pt>
                <c:pt idx="132">
                  <c:v>30770</c:v>
                </c:pt>
                <c:pt idx="133">
                  <c:v>30748</c:v>
                </c:pt>
                <c:pt idx="134">
                  <c:v>30484</c:v>
                </c:pt>
                <c:pt idx="135">
                  <c:v>30268</c:v>
                </c:pt>
                <c:pt idx="136">
                  <c:v>31196</c:v>
                </c:pt>
                <c:pt idx="137">
                  <c:v>31138</c:v>
                </c:pt>
                <c:pt idx="138">
                  <c:v>31500</c:v>
                </c:pt>
                <c:pt idx="139">
                  <c:v>32073</c:v>
                </c:pt>
                <c:pt idx="140">
                  <c:v>32670</c:v>
                </c:pt>
                <c:pt idx="141">
                  <c:v>32436</c:v>
                </c:pt>
                <c:pt idx="142">
                  <c:v>33232</c:v>
                </c:pt>
                <c:pt idx="143">
                  <c:v>32019</c:v>
                </c:pt>
                <c:pt idx="144">
                  <c:v>31540</c:v>
                </c:pt>
                <c:pt idx="145">
                  <c:v>28923</c:v>
                </c:pt>
                <c:pt idx="146">
                  <c:v>28942</c:v>
                </c:pt>
                <c:pt idx="147">
                  <c:v>29469</c:v>
                </c:pt>
                <c:pt idx="148">
                  <c:v>29127</c:v>
                </c:pt>
                <c:pt idx="149">
                  <c:v>29406</c:v>
                </c:pt>
                <c:pt idx="150">
                  <c:v>29095</c:v>
                </c:pt>
                <c:pt idx="151">
                  <c:v>29567</c:v>
                </c:pt>
                <c:pt idx="152">
                  <c:v>29218</c:v>
                </c:pt>
                <c:pt idx="153">
                  <c:v>30511</c:v>
                </c:pt>
                <c:pt idx="154">
                  <c:v>31660</c:v>
                </c:pt>
                <c:pt idx="155">
                  <c:v>31867</c:v>
                </c:pt>
                <c:pt idx="156">
                  <c:v>31535</c:v>
                </c:pt>
                <c:pt idx="157">
                  <c:v>32062</c:v>
                </c:pt>
                <c:pt idx="158">
                  <c:v>32108</c:v>
                </c:pt>
                <c:pt idx="159">
                  <c:v>31283</c:v>
                </c:pt>
                <c:pt idx="160">
                  <c:v>30042</c:v>
                </c:pt>
                <c:pt idx="161">
                  <c:v>29412</c:v>
                </c:pt>
                <c:pt idx="162">
                  <c:v>29011</c:v>
                </c:pt>
                <c:pt idx="163">
                  <c:v>29825</c:v>
                </c:pt>
                <c:pt idx="164">
                  <c:v>28794</c:v>
                </c:pt>
                <c:pt idx="165">
                  <c:v>28384</c:v>
                </c:pt>
                <c:pt idx="166">
                  <c:v>27774</c:v>
                </c:pt>
                <c:pt idx="167">
                  <c:v>27346</c:v>
                </c:pt>
                <c:pt idx="168">
                  <c:v>27172</c:v>
                </c:pt>
                <c:pt idx="169">
                  <c:v>26773</c:v>
                </c:pt>
                <c:pt idx="170">
                  <c:v>26344</c:v>
                </c:pt>
                <c:pt idx="171">
                  <c:v>26464</c:v>
                </c:pt>
                <c:pt idx="172">
                  <c:v>25425</c:v>
                </c:pt>
                <c:pt idx="173">
                  <c:v>25963</c:v>
                </c:pt>
                <c:pt idx="174">
                  <c:v>25986</c:v>
                </c:pt>
                <c:pt idx="175">
                  <c:v>25398</c:v>
                </c:pt>
                <c:pt idx="176">
                  <c:v>25075</c:v>
                </c:pt>
                <c:pt idx="177">
                  <c:v>24635</c:v>
                </c:pt>
                <c:pt idx="178">
                  <c:v>25097</c:v>
                </c:pt>
                <c:pt idx="179">
                  <c:v>24850</c:v>
                </c:pt>
                <c:pt idx="180">
                  <c:v>25015</c:v>
                </c:pt>
                <c:pt idx="181">
                  <c:v>25950</c:v>
                </c:pt>
                <c:pt idx="182">
                  <c:v>24710</c:v>
                </c:pt>
                <c:pt idx="183">
                  <c:v>23827</c:v>
                </c:pt>
                <c:pt idx="184">
                  <c:v>23048</c:v>
                </c:pt>
                <c:pt idx="185">
                  <c:v>23238</c:v>
                </c:pt>
                <c:pt idx="186">
                  <c:v>25195</c:v>
                </c:pt>
                <c:pt idx="187">
                  <c:v>25240</c:v>
                </c:pt>
                <c:pt idx="188">
                  <c:v>25732</c:v>
                </c:pt>
                <c:pt idx="189">
                  <c:v>26624</c:v>
                </c:pt>
                <c:pt idx="190">
                  <c:v>26484</c:v>
                </c:pt>
                <c:pt idx="191">
                  <c:v>26356</c:v>
                </c:pt>
                <c:pt idx="192">
                  <c:v>25660</c:v>
                </c:pt>
                <c:pt idx="193">
                  <c:v>25288</c:v>
                </c:pt>
                <c:pt idx="194">
                  <c:v>25154</c:v>
                </c:pt>
                <c:pt idx="195">
                  <c:v>25352</c:v>
                </c:pt>
                <c:pt idx="196">
                  <c:v>26442</c:v>
                </c:pt>
                <c:pt idx="197">
                  <c:v>25062</c:v>
                </c:pt>
                <c:pt idx="198">
                  <c:v>25875</c:v>
                </c:pt>
                <c:pt idx="199">
                  <c:v>25625</c:v>
                </c:pt>
                <c:pt idx="200">
                  <c:v>24624</c:v>
                </c:pt>
                <c:pt idx="201">
                  <c:v>23331</c:v>
                </c:pt>
                <c:pt idx="202">
                  <c:v>23183</c:v>
                </c:pt>
                <c:pt idx="203">
                  <c:v>23602</c:v>
                </c:pt>
                <c:pt idx="204">
                  <c:v>22636</c:v>
                </c:pt>
                <c:pt idx="205">
                  <c:v>23248</c:v>
                </c:pt>
                <c:pt idx="206">
                  <c:v>23666</c:v>
                </c:pt>
                <c:pt idx="207">
                  <c:v>24290</c:v>
                </c:pt>
                <c:pt idx="208">
                  <c:v>23968</c:v>
                </c:pt>
                <c:pt idx="209">
                  <c:v>23441</c:v>
                </c:pt>
                <c:pt idx="210">
                  <c:v>23434</c:v>
                </c:pt>
                <c:pt idx="211">
                  <c:v>23186</c:v>
                </c:pt>
                <c:pt idx="212">
                  <c:v>23041</c:v>
                </c:pt>
                <c:pt idx="213">
                  <c:v>22302</c:v>
                </c:pt>
                <c:pt idx="214">
                  <c:v>22181</c:v>
                </c:pt>
                <c:pt idx="215">
                  <c:v>21652</c:v>
                </c:pt>
                <c:pt idx="216">
                  <c:v>21568</c:v>
                </c:pt>
                <c:pt idx="217">
                  <c:v>21706</c:v>
                </c:pt>
                <c:pt idx="218">
                  <c:v>21776</c:v>
                </c:pt>
                <c:pt idx="219">
                  <c:v>21939</c:v>
                </c:pt>
                <c:pt idx="220">
                  <c:v>21997</c:v>
                </c:pt>
                <c:pt idx="221">
                  <c:v>21820</c:v>
                </c:pt>
                <c:pt idx="222">
                  <c:v>21598</c:v>
                </c:pt>
                <c:pt idx="223">
                  <c:v>21466</c:v>
                </c:pt>
                <c:pt idx="224">
                  <c:v>21201</c:v>
                </c:pt>
                <c:pt idx="225">
                  <c:v>20893</c:v>
                </c:pt>
                <c:pt idx="226">
                  <c:v>21140</c:v>
                </c:pt>
                <c:pt idx="227">
                  <c:v>21519</c:v>
                </c:pt>
                <c:pt idx="228">
                  <c:v>21550</c:v>
                </c:pt>
                <c:pt idx="229">
                  <c:v>21025</c:v>
                </c:pt>
                <c:pt idx="230">
                  <c:v>21526</c:v>
                </c:pt>
                <c:pt idx="231">
                  <c:v>21373</c:v>
                </c:pt>
                <c:pt idx="232">
                  <c:v>21488</c:v>
                </c:pt>
                <c:pt idx="233">
                  <c:v>21149</c:v>
                </c:pt>
                <c:pt idx="234">
                  <c:v>21216</c:v>
                </c:pt>
                <c:pt idx="235">
                  <c:v>21144</c:v>
                </c:pt>
                <c:pt idx="236">
                  <c:v>21310</c:v>
                </c:pt>
                <c:pt idx="237">
                  <c:v>21019</c:v>
                </c:pt>
                <c:pt idx="238">
                  <c:v>20619</c:v>
                </c:pt>
                <c:pt idx="239">
                  <c:v>21018</c:v>
                </c:pt>
                <c:pt idx="240">
                  <c:v>21118</c:v>
                </c:pt>
                <c:pt idx="241">
                  <c:v>21067</c:v>
                </c:pt>
                <c:pt idx="242">
                  <c:v>21153</c:v>
                </c:pt>
              </c:numCache>
            </c:numRef>
          </c:val>
        </c:ser>
        <c:marker val="1"/>
        <c:axId val="132408448"/>
        <c:axId val="132409984"/>
      </c:lineChart>
      <c:catAx>
        <c:axId val="132396928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98464"/>
        <c:crosses val="autoZero"/>
        <c:lblAlgn val="ctr"/>
        <c:lblOffset val="100"/>
        <c:tickLblSkip val="10"/>
        <c:tickMarkSkip val="1"/>
      </c:catAx>
      <c:valAx>
        <c:axId val="132398464"/>
        <c:scaling>
          <c:orientation val="minMax"/>
          <c:max val="160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96928"/>
        <c:crosses val="autoZero"/>
        <c:crossBetween val="between"/>
        <c:majorUnit val="2000"/>
      </c:valAx>
      <c:catAx>
        <c:axId val="132408448"/>
        <c:scaling>
          <c:orientation val="minMax"/>
        </c:scaling>
        <c:delete val="1"/>
        <c:axPos val="b"/>
        <c:numFmt formatCode="General" sourceLinked="1"/>
        <c:tickLblPos val="nextTo"/>
        <c:crossAx val="132409984"/>
        <c:crosses val="autoZero"/>
        <c:lblAlgn val="ctr"/>
        <c:lblOffset val="100"/>
      </c:catAx>
      <c:valAx>
        <c:axId val="132409984"/>
        <c:scaling>
          <c:orientation val="minMax"/>
          <c:max val="36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08448"/>
        <c:crosses val="max"/>
        <c:crossBetween val="between"/>
        <c:majorUnit val="3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877232072083511"/>
          <c:y val="0.92177176927803894"/>
          <c:w val="0.38134614664011002"/>
          <c:h val="6.122469316237896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CPO Third-month Futures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2"/>
          <c:order val="0"/>
          <c:tx>
            <c:strRef>
              <c:f>[4]FCPO!$K$2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[4]FCPO!$A$5048:$A$5292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1323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[4]FCPO!$K$5048:$K$5292</c:f>
              <c:numCache>
                <c:formatCode>General</c:formatCode>
                <c:ptCount val="245"/>
                <c:pt idx="0">
                  <c:v>820</c:v>
                </c:pt>
                <c:pt idx="1">
                  <c:v>823</c:v>
                </c:pt>
                <c:pt idx="2">
                  <c:v>813</c:v>
                </c:pt>
                <c:pt idx="3">
                  <c:v>806</c:v>
                </c:pt>
                <c:pt idx="4">
                  <c:v>821</c:v>
                </c:pt>
                <c:pt idx="5">
                  <c:v>815</c:v>
                </c:pt>
                <c:pt idx="6">
                  <c:v>814</c:v>
                </c:pt>
                <c:pt idx="7">
                  <c:v>824</c:v>
                </c:pt>
                <c:pt idx="8">
                  <c:v>831</c:v>
                </c:pt>
                <c:pt idx="9">
                  <c:v>838</c:v>
                </c:pt>
                <c:pt idx="10">
                  <c:v>854</c:v>
                </c:pt>
                <c:pt idx="11">
                  <c:v>851</c:v>
                </c:pt>
                <c:pt idx="12">
                  <c:v>865</c:v>
                </c:pt>
                <c:pt idx="13">
                  <c:v>873</c:v>
                </c:pt>
                <c:pt idx="14">
                  <c:v>869</c:v>
                </c:pt>
                <c:pt idx="15">
                  <c:v>884</c:v>
                </c:pt>
                <c:pt idx="16">
                  <c:v>902</c:v>
                </c:pt>
                <c:pt idx="17">
                  <c:v>916</c:v>
                </c:pt>
                <c:pt idx="18">
                  <c:v>920</c:v>
                </c:pt>
                <c:pt idx="19">
                  <c:v>959</c:v>
                </c:pt>
                <c:pt idx="20">
                  <c:v>976</c:v>
                </c:pt>
                <c:pt idx="21">
                  <c:v>1076</c:v>
                </c:pt>
                <c:pt idx="22">
                  <c:v>1078</c:v>
                </c:pt>
                <c:pt idx="23">
                  <c:v>1114</c:v>
                </c:pt>
                <c:pt idx="24">
                  <c:v>1214</c:v>
                </c:pt>
                <c:pt idx="25">
                  <c:v>1157</c:v>
                </c:pt>
                <c:pt idx="26">
                  <c:v>1188</c:v>
                </c:pt>
                <c:pt idx="27">
                  <c:v>1147</c:v>
                </c:pt>
                <c:pt idx="28">
                  <c:v>1142</c:v>
                </c:pt>
                <c:pt idx="29">
                  <c:v>1156</c:v>
                </c:pt>
                <c:pt idx="30">
                  <c:v>1130</c:v>
                </c:pt>
                <c:pt idx="31">
                  <c:v>1156</c:v>
                </c:pt>
                <c:pt idx="32">
                  <c:v>1190</c:v>
                </c:pt>
                <c:pt idx="33">
                  <c:v>1257</c:v>
                </c:pt>
                <c:pt idx="34">
                  <c:v>1236</c:v>
                </c:pt>
                <c:pt idx="35">
                  <c:v>1268</c:v>
                </c:pt>
                <c:pt idx="36">
                  <c:v>1290</c:v>
                </c:pt>
                <c:pt idx="37">
                  <c:v>1292</c:v>
                </c:pt>
                <c:pt idx="38">
                  <c:v>1271</c:v>
                </c:pt>
                <c:pt idx="39">
                  <c:v>1291</c:v>
                </c:pt>
                <c:pt idx="40">
                  <c:v>1282</c:v>
                </c:pt>
                <c:pt idx="41">
                  <c:v>1255</c:v>
                </c:pt>
                <c:pt idx="42">
                  <c:v>1249</c:v>
                </c:pt>
                <c:pt idx="43">
                  <c:v>1231</c:v>
                </c:pt>
                <c:pt idx="44">
                  <c:v>1263</c:v>
                </c:pt>
                <c:pt idx="45">
                  <c:v>1211</c:v>
                </c:pt>
                <c:pt idx="46">
                  <c:v>1174</c:v>
                </c:pt>
                <c:pt idx="47">
                  <c:v>1186</c:v>
                </c:pt>
                <c:pt idx="48">
                  <c:v>1115</c:v>
                </c:pt>
                <c:pt idx="49">
                  <c:v>1130</c:v>
                </c:pt>
                <c:pt idx="50">
                  <c:v>1121</c:v>
                </c:pt>
                <c:pt idx="51">
                  <c:v>1098</c:v>
                </c:pt>
                <c:pt idx="52">
                  <c:v>1118</c:v>
                </c:pt>
                <c:pt idx="53">
                  <c:v>1096</c:v>
                </c:pt>
                <c:pt idx="54">
                  <c:v>1073</c:v>
                </c:pt>
                <c:pt idx="55">
                  <c:v>1071</c:v>
                </c:pt>
                <c:pt idx="56">
                  <c:v>1069</c:v>
                </c:pt>
                <c:pt idx="57">
                  <c:v>1038</c:v>
                </c:pt>
                <c:pt idx="58">
                  <c:v>1042</c:v>
                </c:pt>
                <c:pt idx="59">
                  <c:v>1061</c:v>
                </c:pt>
                <c:pt idx="60">
                  <c:v>1075</c:v>
                </c:pt>
                <c:pt idx="61">
                  <c:v>1046</c:v>
                </c:pt>
                <c:pt idx="62">
                  <c:v>1012</c:v>
                </c:pt>
                <c:pt idx="63">
                  <c:v>1014</c:v>
                </c:pt>
                <c:pt idx="64">
                  <c:v>999</c:v>
                </c:pt>
                <c:pt idx="65">
                  <c:v>987</c:v>
                </c:pt>
                <c:pt idx="66">
                  <c:v>915</c:v>
                </c:pt>
                <c:pt idx="67">
                  <c:v>926</c:v>
                </c:pt>
                <c:pt idx="68">
                  <c:v>928</c:v>
                </c:pt>
                <c:pt idx="69">
                  <c:v>929</c:v>
                </c:pt>
                <c:pt idx="70">
                  <c:v>993</c:v>
                </c:pt>
                <c:pt idx="71">
                  <c:v>1015</c:v>
                </c:pt>
                <c:pt idx="72">
                  <c:v>975</c:v>
                </c:pt>
                <c:pt idx="73">
                  <c:v>967</c:v>
                </c:pt>
                <c:pt idx="74">
                  <c:v>938</c:v>
                </c:pt>
                <c:pt idx="75">
                  <c:v>940</c:v>
                </c:pt>
                <c:pt idx="76">
                  <c:v>908</c:v>
                </c:pt>
                <c:pt idx="77">
                  <c:v>880</c:v>
                </c:pt>
                <c:pt idx="78">
                  <c:v>905</c:v>
                </c:pt>
                <c:pt idx="79">
                  <c:v>920</c:v>
                </c:pt>
                <c:pt idx="80">
                  <c:v>895</c:v>
                </c:pt>
                <c:pt idx="81">
                  <c:v>880</c:v>
                </c:pt>
                <c:pt idx="82">
                  <c:v>917</c:v>
                </c:pt>
                <c:pt idx="83">
                  <c:v>973</c:v>
                </c:pt>
                <c:pt idx="84">
                  <c:v>942</c:v>
                </c:pt>
                <c:pt idx="85">
                  <c:v>928</c:v>
                </c:pt>
                <c:pt idx="86">
                  <c:v>899</c:v>
                </c:pt>
                <c:pt idx="87">
                  <c:v>910</c:v>
                </c:pt>
                <c:pt idx="88">
                  <c:v>940</c:v>
                </c:pt>
                <c:pt idx="89">
                  <c:v>950</c:v>
                </c:pt>
                <c:pt idx="90">
                  <c:v>920</c:v>
                </c:pt>
                <c:pt idx="91">
                  <c:v>916</c:v>
                </c:pt>
                <c:pt idx="92">
                  <c:v>933</c:v>
                </c:pt>
                <c:pt idx="93">
                  <c:v>930</c:v>
                </c:pt>
                <c:pt idx="94">
                  <c:v>950</c:v>
                </c:pt>
                <c:pt idx="95">
                  <c:v>968</c:v>
                </c:pt>
                <c:pt idx="96">
                  <c:v>984</c:v>
                </c:pt>
                <c:pt idx="97">
                  <c:v>995</c:v>
                </c:pt>
                <c:pt idx="98">
                  <c:v>990</c:v>
                </c:pt>
                <c:pt idx="99">
                  <c:v>1006</c:v>
                </c:pt>
                <c:pt idx="100">
                  <c:v>1030</c:v>
                </c:pt>
                <c:pt idx="101">
                  <c:v>1074</c:v>
                </c:pt>
                <c:pt idx="102">
                  <c:v>1086</c:v>
                </c:pt>
                <c:pt idx="103">
                  <c:v>1126</c:v>
                </c:pt>
                <c:pt idx="104">
                  <c:v>1101</c:v>
                </c:pt>
                <c:pt idx="105">
                  <c:v>1120</c:v>
                </c:pt>
                <c:pt idx="106">
                  <c:v>1160</c:v>
                </c:pt>
                <c:pt idx="107">
                  <c:v>1151</c:v>
                </c:pt>
                <c:pt idx="108">
                  <c:v>1106</c:v>
                </c:pt>
                <c:pt idx="109">
                  <c:v>1096</c:v>
                </c:pt>
                <c:pt idx="110">
                  <c:v>1124</c:v>
                </c:pt>
                <c:pt idx="111">
                  <c:v>1143</c:v>
                </c:pt>
                <c:pt idx="112">
                  <c:v>1157</c:v>
                </c:pt>
                <c:pt idx="113">
                  <c:v>1181</c:v>
                </c:pt>
                <c:pt idx="114">
                  <c:v>1143</c:v>
                </c:pt>
                <c:pt idx="115">
                  <c:v>1142</c:v>
                </c:pt>
                <c:pt idx="116">
                  <c:v>1096</c:v>
                </c:pt>
                <c:pt idx="117">
                  <c:v>1103</c:v>
                </c:pt>
                <c:pt idx="118">
                  <c:v>1097</c:v>
                </c:pt>
                <c:pt idx="119">
                  <c:v>1152</c:v>
                </c:pt>
                <c:pt idx="120">
                  <c:v>1163</c:v>
                </c:pt>
                <c:pt idx="121">
                  <c:v>1142</c:v>
                </c:pt>
                <c:pt idx="122">
                  <c:v>1188</c:v>
                </c:pt>
                <c:pt idx="123">
                  <c:v>1169</c:v>
                </c:pt>
                <c:pt idx="124">
                  <c:v>1181</c:v>
                </c:pt>
                <c:pt idx="125">
                  <c:v>1188</c:v>
                </c:pt>
                <c:pt idx="126">
                  <c:v>1169</c:v>
                </c:pt>
                <c:pt idx="127">
                  <c:v>1170</c:v>
                </c:pt>
                <c:pt idx="128">
                  <c:v>1182</c:v>
                </c:pt>
                <c:pt idx="129">
                  <c:v>1160</c:v>
                </c:pt>
                <c:pt idx="130">
                  <c:v>1134</c:v>
                </c:pt>
                <c:pt idx="131">
                  <c:v>1146</c:v>
                </c:pt>
                <c:pt idx="132">
                  <c:v>1170</c:v>
                </c:pt>
                <c:pt idx="133">
                  <c:v>1157</c:v>
                </c:pt>
                <c:pt idx="134">
                  <c:v>1166</c:v>
                </c:pt>
                <c:pt idx="135">
                  <c:v>1146</c:v>
                </c:pt>
                <c:pt idx="136">
                  <c:v>1160</c:v>
                </c:pt>
                <c:pt idx="137">
                  <c:v>1160</c:v>
                </c:pt>
                <c:pt idx="138">
                  <c:v>1196</c:v>
                </c:pt>
                <c:pt idx="139">
                  <c:v>1234</c:v>
                </c:pt>
                <c:pt idx="140">
                  <c:v>1247</c:v>
                </c:pt>
                <c:pt idx="141">
                  <c:v>1231</c:v>
                </c:pt>
                <c:pt idx="142">
                  <c:v>1218</c:v>
                </c:pt>
                <c:pt idx="143">
                  <c:v>1225</c:v>
                </c:pt>
                <c:pt idx="144">
                  <c:v>1191</c:v>
                </c:pt>
                <c:pt idx="145">
                  <c:v>1186</c:v>
                </c:pt>
                <c:pt idx="146">
                  <c:v>1219</c:v>
                </c:pt>
                <c:pt idx="147">
                  <c:v>1196</c:v>
                </c:pt>
                <c:pt idx="148">
                  <c:v>1197</c:v>
                </c:pt>
                <c:pt idx="149">
                  <c:v>1208</c:v>
                </c:pt>
                <c:pt idx="150">
                  <c:v>1237</c:v>
                </c:pt>
                <c:pt idx="151">
                  <c:v>1218</c:v>
                </c:pt>
                <c:pt idx="152">
                  <c:v>1223</c:v>
                </c:pt>
                <c:pt idx="153">
                  <c:v>1222</c:v>
                </c:pt>
                <c:pt idx="154">
                  <c:v>1205</c:v>
                </c:pt>
                <c:pt idx="155">
                  <c:v>1185</c:v>
                </c:pt>
                <c:pt idx="156">
                  <c:v>1160</c:v>
                </c:pt>
                <c:pt idx="157">
                  <c:v>1155</c:v>
                </c:pt>
                <c:pt idx="158">
                  <c:v>1157</c:v>
                </c:pt>
                <c:pt idx="159">
                  <c:v>1167</c:v>
                </c:pt>
                <c:pt idx="160">
                  <c:v>1146</c:v>
                </c:pt>
                <c:pt idx="161">
                  <c:v>1128</c:v>
                </c:pt>
                <c:pt idx="162">
                  <c:v>1137</c:v>
                </c:pt>
                <c:pt idx="163">
                  <c:v>1125</c:v>
                </c:pt>
                <c:pt idx="164">
                  <c:v>1119</c:v>
                </c:pt>
                <c:pt idx="165">
                  <c:v>1162</c:v>
                </c:pt>
                <c:pt idx="166">
                  <c:v>1160</c:v>
                </c:pt>
                <c:pt idx="167">
                  <c:v>1165</c:v>
                </c:pt>
                <c:pt idx="168">
                  <c:v>1164</c:v>
                </c:pt>
                <c:pt idx="169">
                  <c:v>1184</c:v>
                </c:pt>
                <c:pt idx="170">
                  <c:v>1175</c:v>
                </c:pt>
                <c:pt idx="171">
                  <c:v>1177</c:v>
                </c:pt>
                <c:pt idx="172">
                  <c:v>1181</c:v>
                </c:pt>
                <c:pt idx="173">
                  <c:v>1150</c:v>
                </c:pt>
                <c:pt idx="174">
                  <c:v>1162</c:v>
                </c:pt>
                <c:pt idx="175">
                  <c:v>1169</c:v>
                </c:pt>
                <c:pt idx="176">
                  <c:v>1165</c:v>
                </c:pt>
                <c:pt idx="177">
                  <c:v>1166</c:v>
                </c:pt>
                <c:pt idx="178">
                  <c:v>1170</c:v>
                </c:pt>
                <c:pt idx="179">
                  <c:v>1165</c:v>
                </c:pt>
                <c:pt idx="180">
                  <c:v>1154</c:v>
                </c:pt>
                <c:pt idx="181">
                  <c:v>1155</c:v>
                </c:pt>
                <c:pt idx="182">
                  <c:v>1165</c:v>
                </c:pt>
                <c:pt idx="183">
                  <c:v>1181</c:v>
                </c:pt>
                <c:pt idx="184">
                  <c:v>1180</c:v>
                </c:pt>
                <c:pt idx="185">
                  <c:v>1169</c:v>
                </c:pt>
                <c:pt idx="186">
                  <c:v>1172</c:v>
                </c:pt>
                <c:pt idx="187">
                  <c:v>1168</c:v>
                </c:pt>
                <c:pt idx="188">
                  <c:v>1156</c:v>
                </c:pt>
                <c:pt idx="189">
                  <c:v>1137</c:v>
                </c:pt>
                <c:pt idx="190">
                  <c:v>1137</c:v>
                </c:pt>
                <c:pt idx="191">
                  <c:v>1131</c:v>
                </c:pt>
                <c:pt idx="192">
                  <c:v>1148</c:v>
                </c:pt>
                <c:pt idx="193">
                  <c:v>1152</c:v>
                </c:pt>
                <c:pt idx="194">
                  <c:v>1154</c:v>
                </c:pt>
                <c:pt idx="195">
                  <c:v>1151</c:v>
                </c:pt>
                <c:pt idx="196">
                  <c:v>1157</c:v>
                </c:pt>
                <c:pt idx="197">
                  <c:v>1155</c:v>
                </c:pt>
                <c:pt idx="198">
                  <c:v>1161</c:v>
                </c:pt>
                <c:pt idx="199">
                  <c:v>1170</c:v>
                </c:pt>
                <c:pt idx="200">
                  <c:v>1160</c:v>
                </c:pt>
                <c:pt idx="201">
                  <c:v>1176</c:v>
                </c:pt>
                <c:pt idx="202">
                  <c:v>1172</c:v>
                </c:pt>
                <c:pt idx="203">
                  <c:v>1177</c:v>
                </c:pt>
                <c:pt idx="204">
                  <c:v>1189</c:v>
                </c:pt>
                <c:pt idx="205">
                  <c:v>1182</c:v>
                </c:pt>
                <c:pt idx="206">
                  <c:v>1182</c:v>
                </c:pt>
                <c:pt idx="207">
                  <c:v>1189</c:v>
                </c:pt>
                <c:pt idx="208">
                  <c:v>1201</c:v>
                </c:pt>
                <c:pt idx="209">
                  <c:v>1236</c:v>
                </c:pt>
                <c:pt idx="210">
                  <c:v>1221</c:v>
                </c:pt>
                <c:pt idx="211">
                  <c:v>1245</c:v>
                </c:pt>
                <c:pt idx="212">
                  <c:v>1227</c:v>
                </c:pt>
                <c:pt idx="213">
                  <c:v>1206</c:v>
                </c:pt>
                <c:pt idx="214">
                  <c:v>1204</c:v>
                </c:pt>
                <c:pt idx="215">
                  <c:v>1219</c:v>
                </c:pt>
                <c:pt idx="216">
                  <c:v>1205</c:v>
                </c:pt>
                <c:pt idx="217">
                  <c:v>1192</c:v>
                </c:pt>
                <c:pt idx="218">
                  <c:v>1207</c:v>
                </c:pt>
                <c:pt idx="219">
                  <c:v>1222</c:v>
                </c:pt>
                <c:pt idx="220">
                  <c:v>1237</c:v>
                </c:pt>
                <c:pt idx="221">
                  <c:v>1253</c:v>
                </c:pt>
                <c:pt idx="222">
                  <c:v>1248</c:v>
                </c:pt>
                <c:pt idx="223">
                  <c:v>1258</c:v>
                </c:pt>
                <c:pt idx="224">
                  <c:v>1243</c:v>
                </c:pt>
                <c:pt idx="225">
                  <c:v>1260</c:v>
                </c:pt>
                <c:pt idx="226">
                  <c:v>1261</c:v>
                </c:pt>
                <c:pt idx="227">
                  <c:v>1298</c:v>
                </c:pt>
                <c:pt idx="228">
                  <c:v>1280</c:v>
                </c:pt>
                <c:pt idx="229">
                  <c:v>1314</c:v>
                </c:pt>
                <c:pt idx="230">
                  <c:v>1332</c:v>
                </c:pt>
                <c:pt idx="231">
                  <c:v>1335</c:v>
                </c:pt>
                <c:pt idx="232">
                  <c:v>1377</c:v>
                </c:pt>
                <c:pt idx="233">
                  <c:v>1390</c:v>
                </c:pt>
                <c:pt idx="234">
                  <c:v>1399</c:v>
                </c:pt>
                <c:pt idx="235">
                  <c:v>1426</c:v>
                </c:pt>
                <c:pt idx="236">
                  <c:v>1437</c:v>
                </c:pt>
                <c:pt idx="237">
                  <c:v>1448</c:v>
                </c:pt>
                <c:pt idx="238">
                  <c:v>1464</c:v>
                </c:pt>
                <c:pt idx="239">
                  <c:v>1490</c:v>
                </c:pt>
                <c:pt idx="240">
                  <c:v>1488</c:v>
                </c:pt>
                <c:pt idx="241">
                  <c:v>1407</c:v>
                </c:pt>
                <c:pt idx="242">
                  <c:v>1445</c:v>
                </c:pt>
                <c:pt idx="243">
                  <c:v>1437</c:v>
                </c:pt>
                <c:pt idx="244">
                  <c:v>1394</c:v>
                </c:pt>
              </c:numCache>
            </c:numRef>
          </c:val>
        </c:ser>
        <c:marker val="1"/>
        <c:axId val="136331648"/>
        <c:axId val="136333184"/>
      </c:lineChart>
      <c:catAx>
        <c:axId val="136331648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33184"/>
        <c:crossesAt val="44"/>
        <c:lblAlgn val="ctr"/>
        <c:lblOffset val="100"/>
        <c:tickLblSkip val="10"/>
        <c:tickMarkSkip val="1"/>
      </c:catAx>
      <c:valAx>
        <c:axId val="136333184"/>
        <c:scaling>
          <c:orientation val="minMax"/>
          <c:max val="1550"/>
          <c:min val="7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31648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FKB3 Third Quarterly Month Futures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2"/>
          <c:order val="0"/>
          <c:tx>
            <c:strRef>
              <c:f>[4]FKB3!$H$2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[4]FKB3!$A$233:$A$477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[4]FKB3!$H$233:$H$477</c:f>
              <c:numCache>
                <c:formatCode>General</c:formatCode>
                <c:ptCount val="245"/>
                <c:pt idx="0">
                  <c:v>96.46</c:v>
                </c:pt>
                <c:pt idx="1">
                  <c:v>96.44</c:v>
                </c:pt>
                <c:pt idx="2">
                  <c:v>96.45</c:v>
                </c:pt>
                <c:pt idx="3">
                  <c:v>96.47</c:v>
                </c:pt>
                <c:pt idx="4">
                  <c:v>96.48</c:v>
                </c:pt>
                <c:pt idx="5">
                  <c:v>96.48</c:v>
                </c:pt>
                <c:pt idx="6">
                  <c:v>96.28</c:v>
                </c:pt>
                <c:pt idx="7">
                  <c:v>96.3</c:v>
                </c:pt>
                <c:pt idx="8">
                  <c:v>96.3</c:v>
                </c:pt>
                <c:pt idx="9">
                  <c:v>96.23</c:v>
                </c:pt>
                <c:pt idx="10">
                  <c:v>96.28</c:v>
                </c:pt>
                <c:pt idx="11">
                  <c:v>96.26</c:v>
                </c:pt>
                <c:pt idx="12">
                  <c:v>96.24</c:v>
                </c:pt>
                <c:pt idx="13">
                  <c:v>96.26</c:v>
                </c:pt>
                <c:pt idx="14">
                  <c:v>96.26</c:v>
                </c:pt>
                <c:pt idx="15">
                  <c:v>96.27</c:v>
                </c:pt>
                <c:pt idx="16">
                  <c:v>96.28</c:v>
                </c:pt>
                <c:pt idx="17">
                  <c:v>96.3</c:v>
                </c:pt>
                <c:pt idx="18">
                  <c:v>96.32</c:v>
                </c:pt>
                <c:pt idx="19">
                  <c:v>96.32</c:v>
                </c:pt>
                <c:pt idx="20">
                  <c:v>96.32</c:v>
                </c:pt>
                <c:pt idx="21">
                  <c:v>96.31</c:v>
                </c:pt>
                <c:pt idx="22">
                  <c:v>96.31</c:v>
                </c:pt>
                <c:pt idx="23">
                  <c:v>96.27</c:v>
                </c:pt>
                <c:pt idx="24">
                  <c:v>96.27</c:v>
                </c:pt>
                <c:pt idx="25">
                  <c:v>96.27</c:v>
                </c:pt>
                <c:pt idx="26">
                  <c:v>96.28</c:v>
                </c:pt>
                <c:pt idx="27">
                  <c:v>96.31</c:v>
                </c:pt>
                <c:pt idx="28">
                  <c:v>96.36</c:v>
                </c:pt>
                <c:pt idx="29">
                  <c:v>96.37</c:v>
                </c:pt>
                <c:pt idx="30">
                  <c:v>96.38</c:v>
                </c:pt>
                <c:pt idx="31">
                  <c:v>96.38</c:v>
                </c:pt>
                <c:pt idx="32">
                  <c:v>96.39</c:v>
                </c:pt>
                <c:pt idx="33">
                  <c:v>96.41</c:v>
                </c:pt>
                <c:pt idx="34">
                  <c:v>96.43</c:v>
                </c:pt>
                <c:pt idx="35">
                  <c:v>96.43</c:v>
                </c:pt>
                <c:pt idx="36">
                  <c:v>96.43</c:v>
                </c:pt>
                <c:pt idx="37">
                  <c:v>96.44</c:v>
                </c:pt>
                <c:pt idx="38">
                  <c:v>96.43</c:v>
                </c:pt>
                <c:pt idx="39">
                  <c:v>96.44</c:v>
                </c:pt>
                <c:pt idx="40">
                  <c:v>96.44</c:v>
                </c:pt>
                <c:pt idx="41">
                  <c:v>96.45</c:v>
                </c:pt>
                <c:pt idx="42">
                  <c:v>96.46</c:v>
                </c:pt>
                <c:pt idx="43">
                  <c:v>96.49</c:v>
                </c:pt>
                <c:pt idx="44">
                  <c:v>96.54</c:v>
                </c:pt>
                <c:pt idx="45">
                  <c:v>96.51</c:v>
                </c:pt>
                <c:pt idx="46">
                  <c:v>96.55</c:v>
                </c:pt>
                <c:pt idx="47">
                  <c:v>96.55</c:v>
                </c:pt>
                <c:pt idx="48">
                  <c:v>96.56</c:v>
                </c:pt>
                <c:pt idx="49">
                  <c:v>96.61</c:v>
                </c:pt>
                <c:pt idx="50">
                  <c:v>96.61</c:v>
                </c:pt>
                <c:pt idx="51">
                  <c:v>96.57</c:v>
                </c:pt>
                <c:pt idx="52">
                  <c:v>96.57</c:v>
                </c:pt>
                <c:pt idx="53">
                  <c:v>96.57</c:v>
                </c:pt>
                <c:pt idx="54">
                  <c:v>96.62</c:v>
                </c:pt>
                <c:pt idx="55">
                  <c:v>96.62</c:v>
                </c:pt>
                <c:pt idx="56">
                  <c:v>96.62</c:v>
                </c:pt>
                <c:pt idx="57">
                  <c:v>96.62</c:v>
                </c:pt>
                <c:pt idx="58">
                  <c:v>96.61</c:v>
                </c:pt>
                <c:pt idx="59">
                  <c:v>96.57</c:v>
                </c:pt>
                <c:pt idx="60">
                  <c:v>96.58</c:v>
                </c:pt>
                <c:pt idx="61">
                  <c:v>96.58</c:v>
                </c:pt>
                <c:pt idx="62">
                  <c:v>96.58</c:v>
                </c:pt>
                <c:pt idx="63">
                  <c:v>96.58</c:v>
                </c:pt>
                <c:pt idx="64">
                  <c:v>96.6</c:v>
                </c:pt>
                <c:pt idx="65">
                  <c:v>96.6</c:v>
                </c:pt>
                <c:pt idx="66">
                  <c:v>96.64</c:v>
                </c:pt>
                <c:pt idx="67">
                  <c:v>96.65</c:v>
                </c:pt>
                <c:pt idx="68">
                  <c:v>96.7</c:v>
                </c:pt>
                <c:pt idx="69">
                  <c:v>96.62</c:v>
                </c:pt>
                <c:pt idx="70">
                  <c:v>96.75</c:v>
                </c:pt>
                <c:pt idx="71">
                  <c:v>96.74</c:v>
                </c:pt>
                <c:pt idx="72">
                  <c:v>96.71</c:v>
                </c:pt>
                <c:pt idx="73">
                  <c:v>96.71</c:v>
                </c:pt>
                <c:pt idx="74">
                  <c:v>96.68</c:v>
                </c:pt>
                <c:pt idx="75">
                  <c:v>96.71</c:v>
                </c:pt>
                <c:pt idx="76">
                  <c:v>96.74</c:v>
                </c:pt>
                <c:pt idx="77">
                  <c:v>96.78</c:v>
                </c:pt>
                <c:pt idx="78">
                  <c:v>96.85</c:v>
                </c:pt>
                <c:pt idx="79">
                  <c:v>96.76</c:v>
                </c:pt>
                <c:pt idx="80">
                  <c:v>96.77</c:v>
                </c:pt>
                <c:pt idx="81">
                  <c:v>96.77</c:v>
                </c:pt>
                <c:pt idx="82">
                  <c:v>96.77</c:v>
                </c:pt>
                <c:pt idx="83">
                  <c:v>96.76</c:v>
                </c:pt>
                <c:pt idx="84">
                  <c:v>96.74</c:v>
                </c:pt>
                <c:pt idx="85">
                  <c:v>96.75</c:v>
                </c:pt>
                <c:pt idx="86">
                  <c:v>96.78</c:v>
                </c:pt>
                <c:pt idx="87">
                  <c:v>96.77</c:v>
                </c:pt>
                <c:pt idx="88">
                  <c:v>96.77</c:v>
                </c:pt>
                <c:pt idx="89">
                  <c:v>96.76</c:v>
                </c:pt>
                <c:pt idx="90">
                  <c:v>96.75</c:v>
                </c:pt>
                <c:pt idx="91">
                  <c:v>96.73</c:v>
                </c:pt>
                <c:pt idx="92">
                  <c:v>96.73</c:v>
                </c:pt>
                <c:pt idx="93">
                  <c:v>96.73</c:v>
                </c:pt>
                <c:pt idx="94">
                  <c:v>96.73</c:v>
                </c:pt>
                <c:pt idx="95">
                  <c:v>96.73</c:v>
                </c:pt>
                <c:pt idx="96">
                  <c:v>96.73</c:v>
                </c:pt>
                <c:pt idx="97">
                  <c:v>96.73</c:v>
                </c:pt>
                <c:pt idx="98">
                  <c:v>96.71</c:v>
                </c:pt>
                <c:pt idx="99">
                  <c:v>96.71</c:v>
                </c:pt>
                <c:pt idx="100">
                  <c:v>96.71</c:v>
                </c:pt>
                <c:pt idx="101">
                  <c:v>96.7</c:v>
                </c:pt>
                <c:pt idx="102">
                  <c:v>96.72</c:v>
                </c:pt>
                <c:pt idx="103">
                  <c:v>96.72</c:v>
                </c:pt>
                <c:pt idx="104">
                  <c:v>96.72</c:v>
                </c:pt>
                <c:pt idx="105">
                  <c:v>96.74</c:v>
                </c:pt>
                <c:pt idx="106">
                  <c:v>96.75</c:v>
                </c:pt>
                <c:pt idx="107">
                  <c:v>96.74</c:v>
                </c:pt>
                <c:pt idx="108">
                  <c:v>96.74</c:v>
                </c:pt>
                <c:pt idx="109">
                  <c:v>96.74</c:v>
                </c:pt>
                <c:pt idx="110">
                  <c:v>96.7</c:v>
                </c:pt>
                <c:pt idx="111">
                  <c:v>96.69</c:v>
                </c:pt>
                <c:pt idx="112">
                  <c:v>96.7</c:v>
                </c:pt>
                <c:pt idx="113">
                  <c:v>96.64</c:v>
                </c:pt>
                <c:pt idx="114">
                  <c:v>96.67</c:v>
                </c:pt>
                <c:pt idx="115">
                  <c:v>96.67</c:v>
                </c:pt>
                <c:pt idx="116">
                  <c:v>96.6</c:v>
                </c:pt>
                <c:pt idx="117">
                  <c:v>96.61</c:v>
                </c:pt>
                <c:pt idx="118">
                  <c:v>96.65</c:v>
                </c:pt>
                <c:pt idx="119">
                  <c:v>96.66</c:v>
                </c:pt>
                <c:pt idx="120">
                  <c:v>96.64</c:v>
                </c:pt>
                <c:pt idx="121">
                  <c:v>96.6</c:v>
                </c:pt>
                <c:pt idx="122">
                  <c:v>96.55</c:v>
                </c:pt>
                <c:pt idx="123">
                  <c:v>96.6</c:v>
                </c:pt>
                <c:pt idx="124">
                  <c:v>96.6</c:v>
                </c:pt>
                <c:pt idx="125">
                  <c:v>96.6</c:v>
                </c:pt>
                <c:pt idx="126">
                  <c:v>96.6</c:v>
                </c:pt>
                <c:pt idx="127">
                  <c:v>96.6</c:v>
                </c:pt>
                <c:pt idx="128">
                  <c:v>96.6</c:v>
                </c:pt>
                <c:pt idx="129">
                  <c:v>96.59</c:v>
                </c:pt>
                <c:pt idx="130">
                  <c:v>96.58</c:v>
                </c:pt>
                <c:pt idx="131">
                  <c:v>96.58</c:v>
                </c:pt>
                <c:pt idx="132">
                  <c:v>96.61</c:v>
                </c:pt>
                <c:pt idx="133">
                  <c:v>96.6</c:v>
                </c:pt>
                <c:pt idx="134">
                  <c:v>96.58</c:v>
                </c:pt>
                <c:pt idx="135">
                  <c:v>96.58</c:v>
                </c:pt>
                <c:pt idx="136">
                  <c:v>96.64</c:v>
                </c:pt>
                <c:pt idx="137">
                  <c:v>96.61</c:v>
                </c:pt>
                <c:pt idx="138">
                  <c:v>96.61</c:v>
                </c:pt>
                <c:pt idx="139">
                  <c:v>96.64</c:v>
                </c:pt>
                <c:pt idx="140">
                  <c:v>96.6</c:v>
                </c:pt>
                <c:pt idx="141">
                  <c:v>96.5</c:v>
                </c:pt>
                <c:pt idx="142">
                  <c:v>96.45</c:v>
                </c:pt>
                <c:pt idx="143">
                  <c:v>96.4</c:v>
                </c:pt>
                <c:pt idx="144">
                  <c:v>96.51</c:v>
                </c:pt>
                <c:pt idx="145">
                  <c:v>96.51</c:v>
                </c:pt>
                <c:pt idx="146">
                  <c:v>96.53</c:v>
                </c:pt>
                <c:pt idx="147">
                  <c:v>96.62</c:v>
                </c:pt>
                <c:pt idx="148">
                  <c:v>96.52</c:v>
                </c:pt>
                <c:pt idx="149">
                  <c:v>96.55</c:v>
                </c:pt>
                <c:pt idx="150">
                  <c:v>96.57</c:v>
                </c:pt>
                <c:pt idx="151">
                  <c:v>96.54</c:v>
                </c:pt>
                <c:pt idx="152">
                  <c:v>96.55</c:v>
                </c:pt>
                <c:pt idx="153">
                  <c:v>96.52</c:v>
                </c:pt>
                <c:pt idx="154">
                  <c:v>96.63</c:v>
                </c:pt>
                <c:pt idx="155">
                  <c:v>96.63</c:v>
                </c:pt>
                <c:pt idx="156">
                  <c:v>96.65</c:v>
                </c:pt>
                <c:pt idx="157">
                  <c:v>96.65</c:v>
                </c:pt>
                <c:pt idx="158">
                  <c:v>96.68</c:v>
                </c:pt>
                <c:pt idx="159">
                  <c:v>96.65</c:v>
                </c:pt>
                <c:pt idx="160">
                  <c:v>96.64</c:v>
                </c:pt>
                <c:pt idx="161">
                  <c:v>96.64</c:v>
                </c:pt>
                <c:pt idx="162">
                  <c:v>96.66</c:v>
                </c:pt>
                <c:pt idx="163">
                  <c:v>96.66</c:v>
                </c:pt>
                <c:pt idx="164">
                  <c:v>96.66</c:v>
                </c:pt>
                <c:pt idx="165">
                  <c:v>96.68</c:v>
                </c:pt>
                <c:pt idx="166">
                  <c:v>96.65</c:v>
                </c:pt>
                <c:pt idx="167">
                  <c:v>96.65</c:v>
                </c:pt>
                <c:pt idx="168">
                  <c:v>96.64</c:v>
                </c:pt>
                <c:pt idx="169">
                  <c:v>96.65</c:v>
                </c:pt>
                <c:pt idx="170">
                  <c:v>96.68</c:v>
                </c:pt>
                <c:pt idx="171">
                  <c:v>96.67</c:v>
                </c:pt>
                <c:pt idx="172">
                  <c:v>96.66</c:v>
                </c:pt>
                <c:pt idx="173">
                  <c:v>96.66</c:v>
                </c:pt>
                <c:pt idx="174">
                  <c:v>96.66</c:v>
                </c:pt>
                <c:pt idx="175">
                  <c:v>96.65</c:v>
                </c:pt>
                <c:pt idx="176">
                  <c:v>96.6</c:v>
                </c:pt>
                <c:pt idx="177">
                  <c:v>96.6</c:v>
                </c:pt>
                <c:pt idx="178">
                  <c:v>96.6</c:v>
                </c:pt>
                <c:pt idx="179">
                  <c:v>96.57</c:v>
                </c:pt>
                <c:pt idx="180">
                  <c:v>96.54</c:v>
                </c:pt>
                <c:pt idx="181">
                  <c:v>96.52</c:v>
                </c:pt>
                <c:pt idx="182">
                  <c:v>96.52</c:v>
                </c:pt>
                <c:pt idx="183">
                  <c:v>96.54</c:v>
                </c:pt>
                <c:pt idx="184">
                  <c:v>96.52</c:v>
                </c:pt>
                <c:pt idx="185">
                  <c:v>96.5</c:v>
                </c:pt>
                <c:pt idx="186">
                  <c:v>96.56</c:v>
                </c:pt>
                <c:pt idx="187">
                  <c:v>96.52</c:v>
                </c:pt>
                <c:pt idx="188">
                  <c:v>96.57</c:v>
                </c:pt>
                <c:pt idx="189">
                  <c:v>96.66</c:v>
                </c:pt>
                <c:pt idx="190">
                  <c:v>96.67</c:v>
                </c:pt>
                <c:pt idx="191">
                  <c:v>96.62</c:v>
                </c:pt>
                <c:pt idx="192">
                  <c:v>96.63</c:v>
                </c:pt>
                <c:pt idx="193">
                  <c:v>96.71</c:v>
                </c:pt>
                <c:pt idx="194">
                  <c:v>96.71</c:v>
                </c:pt>
                <c:pt idx="195">
                  <c:v>96.69</c:v>
                </c:pt>
                <c:pt idx="196">
                  <c:v>96.71</c:v>
                </c:pt>
                <c:pt idx="197">
                  <c:v>96.7</c:v>
                </c:pt>
                <c:pt idx="198">
                  <c:v>96.71</c:v>
                </c:pt>
                <c:pt idx="199">
                  <c:v>96.71</c:v>
                </c:pt>
                <c:pt idx="200">
                  <c:v>96.72</c:v>
                </c:pt>
                <c:pt idx="201">
                  <c:v>96.73</c:v>
                </c:pt>
                <c:pt idx="202">
                  <c:v>96.74</c:v>
                </c:pt>
                <c:pt idx="203">
                  <c:v>96.73</c:v>
                </c:pt>
                <c:pt idx="204">
                  <c:v>96.73</c:v>
                </c:pt>
                <c:pt idx="205">
                  <c:v>96.73</c:v>
                </c:pt>
                <c:pt idx="206">
                  <c:v>96.68</c:v>
                </c:pt>
                <c:pt idx="207">
                  <c:v>96.66</c:v>
                </c:pt>
                <c:pt idx="208">
                  <c:v>96.7</c:v>
                </c:pt>
                <c:pt idx="209">
                  <c:v>96.7</c:v>
                </c:pt>
                <c:pt idx="210">
                  <c:v>96.7</c:v>
                </c:pt>
                <c:pt idx="211">
                  <c:v>96.7</c:v>
                </c:pt>
                <c:pt idx="212">
                  <c:v>96.69</c:v>
                </c:pt>
                <c:pt idx="213">
                  <c:v>96.69</c:v>
                </c:pt>
                <c:pt idx="214">
                  <c:v>96.72</c:v>
                </c:pt>
                <c:pt idx="215">
                  <c:v>96.71</c:v>
                </c:pt>
                <c:pt idx="216">
                  <c:v>96.71</c:v>
                </c:pt>
                <c:pt idx="217">
                  <c:v>96.69</c:v>
                </c:pt>
                <c:pt idx="218">
                  <c:v>96.69</c:v>
                </c:pt>
                <c:pt idx="219">
                  <c:v>96.74</c:v>
                </c:pt>
                <c:pt idx="220">
                  <c:v>96.74</c:v>
                </c:pt>
                <c:pt idx="221">
                  <c:v>96.72</c:v>
                </c:pt>
                <c:pt idx="222">
                  <c:v>96.72</c:v>
                </c:pt>
                <c:pt idx="223">
                  <c:v>96.72</c:v>
                </c:pt>
                <c:pt idx="224">
                  <c:v>96.7</c:v>
                </c:pt>
                <c:pt idx="225">
                  <c:v>96.7</c:v>
                </c:pt>
                <c:pt idx="226">
                  <c:v>96.71</c:v>
                </c:pt>
                <c:pt idx="227">
                  <c:v>96.71</c:v>
                </c:pt>
                <c:pt idx="228">
                  <c:v>96.7</c:v>
                </c:pt>
                <c:pt idx="229">
                  <c:v>96.69</c:v>
                </c:pt>
                <c:pt idx="230">
                  <c:v>96.72</c:v>
                </c:pt>
                <c:pt idx="231">
                  <c:v>96.74</c:v>
                </c:pt>
                <c:pt idx="232">
                  <c:v>96.74</c:v>
                </c:pt>
                <c:pt idx="233">
                  <c:v>96.72</c:v>
                </c:pt>
                <c:pt idx="234">
                  <c:v>96.72</c:v>
                </c:pt>
                <c:pt idx="235">
                  <c:v>96.77</c:v>
                </c:pt>
                <c:pt idx="236">
                  <c:v>96.75</c:v>
                </c:pt>
                <c:pt idx="237">
                  <c:v>96.75</c:v>
                </c:pt>
                <c:pt idx="238">
                  <c:v>96.75</c:v>
                </c:pt>
                <c:pt idx="239">
                  <c:v>96.75</c:v>
                </c:pt>
                <c:pt idx="240">
                  <c:v>96.72</c:v>
                </c:pt>
                <c:pt idx="241">
                  <c:v>96.75</c:v>
                </c:pt>
                <c:pt idx="242">
                  <c:v>96.73</c:v>
                </c:pt>
                <c:pt idx="243">
                  <c:v>96.75</c:v>
                </c:pt>
                <c:pt idx="244">
                  <c:v>96.76</c:v>
                </c:pt>
              </c:numCache>
            </c:numRef>
          </c:val>
        </c:ser>
        <c:marker val="1"/>
        <c:axId val="136377856"/>
        <c:axId val="136379392"/>
      </c:lineChart>
      <c:catAx>
        <c:axId val="136377856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79392"/>
        <c:crossesAt val="96"/>
        <c:lblAlgn val="ctr"/>
        <c:lblOffset val="100"/>
        <c:tickLblSkip val="11"/>
        <c:tickMarkSkip val="1"/>
      </c:catAx>
      <c:valAx>
        <c:axId val="136379392"/>
        <c:scaling>
          <c:orientation val="minMax"/>
          <c:max val="97"/>
          <c:min val="96"/>
        </c:scaling>
        <c:axPos val="l"/>
        <c:numFmt formatCode="#,##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377856"/>
        <c:crosses val="autoZero"/>
        <c:crossBetween val="midCat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[4]FKB3!$BJ$2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[4]FKB3!$A$233:$A$477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[4]FKB3!$BJ$233:$BJ$477</c:f>
              <c:numCache>
                <c:formatCode>General</c:formatCode>
                <c:ptCount val="245"/>
                <c:pt idx="0">
                  <c:v>285</c:v>
                </c:pt>
                <c:pt idx="1">
                  <c:v>675</c:v>
                </c:pt>
                <c:pt idx="2">
                  <c:v>57</c:v>
                </c:pt>
                <c:pt idx="3">
                  <c:v>10</c:v>
                </c:pt>
                <c:pt idx="4">
                  <c:v>15</c:v>
                </c:pt>
                <c:pt idx="5">
                  <c:v>515</c:v>
                </c:pt>
                <c:pt idx="6">
                  <c:v>268</c:v>
                </c:pt>
                <c:pt idx="7">
                  <c:v>210</c:v>
                </c:pt>
                <c:pt idx="8">
                  <c:v>10</c:v>
                </c:pt>
                <c:pt idx="9">
                  <c:v>200</c:v>
                </c:pt>
                <c:pt idx="10">
                  <c:v>22</c:v>
                </c:pt>
                <c:pt idx="11">
                  <c:v>690</c:v>
                </c:pt>
                <c:pt idx="12">
                  <c:v>860</c:v>
                </c:pt>
                <c:pt idx="13">
                  <c:v>513</c:v>
                </c:pt>
                <c:pt idx="14">
                  <c:v>90</c:v>
                </c:pt>
                <c:pt idx="15">
                  <c:v>540</c:v>
                </c:pt>
                <c:pt idx="16">
                  <c:v>85</c:v>
                </c:pt>
                <c:pt idx="17">
                  <c:v>339</c:v>
                </c:pt>
                <c:pt idx="18">
                  <c:v>195</c:v>
                </c:pt>
                <c:pt idx="19">
                  <c:v>155</c:v>
                </c:pt>
                <c:pt idx="20">
                  <c:v>0</c:v>
                </c:pt>
                <c:pt idx="21">
                  <c:v>1090</c:v>
                </c:pt>
                <c:pt idx="22">
                  <c:v>0</c:v>
                </c:pt>
                <c:pt idx="23">
                  <c:v>40</c:v>
                </c:pt>
                <c:pt idx="24">
                  <c:v>30</c:v>
                </c:pt>
                <c:pt idx="25">
                  <c:v>100</c:v>
                </c:pt>
                <c:pt idx="26">
                  <c:v>140</c:v>
                </c:pt>
                <c:pt idx="27">
                  <c:v>150</c:v>
                </c:pt>
                <c:pt idx="28">
                  <c:v>234</c:v>
                </c:pt>
                <c:pt idx="29">
                  <c:v>30</c:v>
                </c:pt>
                <c:pt idx="30">
                  <c:v>100</c:v>
                </c:pt>
                <c:pt idx="31">
                  <c:v>25</c:v>
                </c:pt>
                <c:pt idx="32">
                  <c:v>655</c:v>
                </c:pt>
                <c:pt idx="33">
                  <c:v>90</c:v>
                </c:pt>
                <c:pt idx="34">
                  <c:v>25</c:v>
                </c:pt>
                <c:pt idx="35">
                  <c:v>83</c:v>
                </c:pt>
                <c:pt idx="36">
                  <c:v>0</c:v>
                </c:pt>
                <c:pt idx="37">
                  <c:v>70</c:v>
                </c:pt>
                <c:pt idx="38">
                  <c:v>10</c:v>
                </c:pt>
                <c:pt idx="39">
                  <c:v>180</c:v>
                </c:pt>
                <c:pt idx="40">
                  <c:v>25</c:v>
                </c:pt>
                <c:pt idx="41">
                  <c:v>62</c:v>
                </c:pt>
                <c:pt idx="42">
                  <c:v>312</c:v>
                </c:pt>
                <c:pt idx="43">
                  <c:v>346</c:v>
                </c:pt>
                <c:pt idx="44">
                  <c:v>163</c:v>
                </c:pt>
                <c:pt idx="45">
                  <c:v>100</c:v>
                </c:pt>
                <c:pt idx="46">
                  <c:v>1214</c:v>
                </c:pt>
                <c:pt idx="47">
                  <c:v>910</c:v>
                </c:pt>
                <c:pt idx="48">
                  <c:v>90</c:v>
                </c:pt>
                <c:pt idx="49">
                  <c:v>36</c:v>
                </c:pt>
                <c:pt idx="50">
                  <c:v>0</c:v>
                </c:pt>
                <c:pt idx="51">
                  <c:v>180</c:v>
                </c:pt>
                <c:pt idx="52">
                  <c:v>55</c:v>
                </c:pt>
                <c:pt idx="53">
                  <c:v>0</c:v>
                </c:pt>
                <c:pt idx="54">
                  <c:v>24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20</c:v>
                </c:pt>
                <c:pt idx="59">
                  <c:v>120</c:v>
                </c:pt>
                <c:pt idx="60">
                  <c:v>10</c:v>
                </c:pt>
                <c:pt idx="61">
                  <c:v>45</c:v>
                </c:pt>
                <c:pt idx="62">
                  <c:v>0</c:v>
                </c:pt>
                <c:pt idx="63">
                  <c:v>170</c:v>
                </c:pt>
                <c:pt idx="64">
                  <c:v>410</c:v>
                </c:pt>
                <c:pt idx="65">
                  <c:v>0</c:v>
                </c:pt>
                <c:pt idx="66">
                  <c:v>0</c:v>
                </c:pt>
                <c:pt idx="67">
                  <c:v>320</c:v>
                </c:pt>
                <c:pt idx="68">
                  <c:v>75</c:v>
                </c:pt>
                <c:pt idx="69">
                  <c:v>329</c:v>
                </c:pt>
                <c:pt idx="70">
                  <c:v>415</c:v>
                </c:pt>
                <c:pt idx="71">
                  <c:v>240</c:v>
                </c:pt>
                <c:pt idx="72">
                  <c:v>80</c:v>
                </c:pt>
                <c:pt idx="73">
                  <c:v>240</c:v>
                </c:pt>
                <c:pt idx="74">
                  <c:v>953</c:v>
                </c:pt>
                <c:pt idx="75">
                  <c:v>200</c:v>
                </c:pt>
                <c:pt idx="76">
                  <c:v>140</c:v>
                </c:pt>
                <c:pt idx="77">
                  <c:v>385</c:v>
                </c:pt>
                <c:pt idx="78">
                  <c:v>283</c:v>
                </c:pt>
                <c:pt idx="79">
                  <c:v>265</c:v>
                </c:pt>
                <c:pt idx="80">
                  <c:v>705</c:v>
                </c:pt>
                <c:pt idx="81">
                  <c:v>500</c:v>
                </c:pt>
                <c:pt idx="82">
                  <c:v>0</c:v>
                </c:pt>
                <c:pt idx="83">
                  <c:v>665</c:v>
                </c:pt>
                <c:pt idx="84">
                  <c:v>530</c:v>
                </c:pt>
                <c:pt idx="85">
                  <c:v>947</c:v>
                </c:pt>
                <c:pt idx="86">
                  <c:v>536</c:v>
                </c:pt>
                <c:pt idx="87">
                  <c:v>50</c:v>
                </c:pt>
                <c:pt idx="88">
                  <c:v>65</c:v>
                </c:pt>
                <c:pt idx="89">
                  <c:v>20</c:v>
                </c:pt>
                <c:pt idx="90">
                  <c:v>35</c:v>
                </c:pt>
                <c:pt idx="91">
                  <c:v>700</c:v>
                </c:pt>
                <c:pt idx="92">
                  <c:v>100</c:v>
                </c:pt>
                <c:pt idx="93">
                  <c:v>590</c:v>
                </c:pt>
                <c:pt idx="94">
                  <c:v>30</c:v>
                </c:pt>
                <c:pt idx="95">
                  <c:v>195</c:v>
                </c:pt>
                <c:pt idx="96">
                  <c:v>0</c:v>
                </c:pt>
                <c:pt idx="97">
                  <c:v>0</c:v>
                </c:pt>
                <c:pt idx="98">
                  <c:v>250</c:v>
                </c:pt>
                <c:pt idx="99">
                  <c:v>40</c:v>
                </c:pt>
                <c:pt idx="100">
                  <c:v>270</c:v>
                </c:pt>
                <c:pt idx="101">
                  <c:v>165</c:v>
                </c:pt>
                <c:pt idx="102">
                  <c:v>85</c:v>
                </c:pt>
                <c:pt idx="103">
                  <c:v>280</c:v>
                </c:pt>
                <c:pt idx="104">
                  <c:v>170</c:v>
                </c:pt>
                <c:pt idx="105">
                  <c:v>75</c:v>
                </c:pt>
                <c:pt idx="106">
                  <c:v>140</c:v>
                </c:pt>
                <c:pt idx="107">
                  <c:v>50</c:v>
                </c:pt>
                <c:pt idx="108">
                  <c:v>350</c:v>
                </c:pt>
                <c:pt idx="109">
                  <c:v>0</c:v>
                </c:pt>
                <c:pt idx="110">
                  <c:v>225</c:v>
                </c:pt>
                <c:pt idx="111">
                  <c:v>102</c:v>
                </c:pt>
                <c:pt idx="112">
                  <c:v>307</c:v>
                </c:pt>
                <c:pt idx="113">
                  <c:v>299</c:v>
                </c:pt>
                <c:pt idx="114">
                  <c:v>0</c:v>
                </c:pt>
                <c:pt idx="115">
                  <c:v>0</c:v>
                </c:pt>
                <c:pt idx="116">
                  <c:v>25</c:v>
                </c:pt>
                <c:pt idx="117">
                  <c:v>0</c:v>
                </c:pt>
                <c:pt idx="118">
                  <c:v>231</c:v>
                </c:pt>
                <c:pt idx="119">
                  <c:v>180</c:v>
                </c:pt>
                <c:pt idx="120">
                  <c:v>195</c:v>
                </c:pt>
                <c:pt idx="121">
                  <c:v>10</c:v>
                </c:pt>
                <c:pt idx="122">
                  <c:v>25</c:v>
                </c:pt>
                <c:pt idx="123">
                  <c:v>165</c:v>
                </c:pt>
                <c:pt idx="124">
                  <c:v>0</c:v>
                </c:pt>
                <c:pt idx="125">
                  <c:v>0</c:v>
                </c:pt>
                <c:pt idx="126">
                  <c:v>305</c:v>
                </c:pt>
                <c:pt idx="127">
                  <c:v>75</c:v>
                </c:pt>
                <c:pt idx="128">
                  <c:v>0</c:v>
                </c:pt>
                <c:pt idx="129">
                  <c:v>167</c:v>
                </c:pt>
                <c:pt idx="130">
                  <c:v>25</c:v>
                </c:pt>
                <c:pt idx="131">
                  <c:v>0</c:v>
                </c:pt>
                <c:pt idx="132">
                  <c:v>40</c:v>
                </c:pt>
                <c:pt idx="133">
                  <c:v>547</c:v>
                </c:pt>
                <c:pt idx="134">
                  <c:v>231</c:v>
                </c:pt>
                <c:pt idx="135">
                  <c:v>0</c:v>
                </c:pt>
                <c:pt idx="136">
                  <c:v>280</c:v>
                </c:pt>
                <c:pt idx="137">
                  <c:v>300</c:v>
                </c:pt>
                <c:pt idx="138">
                  <c:v>490</c:v>
                </c:pt>
                <c:pt idx="139">
                  <c:v>100</c:v>
                </c:pt>
                <c:pt idx="140">
                  <c:v>195</c:v>
                </c:pt>
                <c:pt idx="141">
                  <c:v>175</c:v>
                </c:pt>
                <c:pt idx="142">
                  <c:v>445</c:v>
                </c:pt>
                <c:pt idx="143">
                  <c:v>565</c:v>
                </c:pt>
                <c:pt idx="144">
                  <c:v>104</c:v>
                </c:pt>
                <c:pt idx="145">
                  <c:v>1017</c:v>
                </c:pt>
                <c:pt idx="146">
                  <c:v>330</c:v>
                </c:pt>
                <c:pt idx="147">
                  <c:v>360</c:v>
                </c:pt>
                <c:pt idx="148">
                  <c:v>20</c:v>
                </c:pt>
                <c:pt idx="149">
                  <c:v>87</c:v>
                </c:pt>
                <c:pt idx="150">
                  <c:v>120</c:v>
                </c:pt>
                <c:pt idx="151">
                  <c:v>80</c:v>
                </c:pt>
                <c:pt idx="152">
                  <c:v>442</c:v>
                </c:pt>
                <c:pt idx="153">
                  <c:v>240</c:v>
                </c:pt>
                <c:pt idx="154">
                  <c:v>955</c:v>
                </c:pt>
                <c:pt idx="155">
                  <c:v>542</c:v>
                </c:pt>
                <c:pt idx="156">
                  <c:v>375</c:v>
                </c:pt>
                <c:pt idx="157">
                  <c:v>550</c:v>
                </c:pt>
                <c:pt idx="158">
                  <c:v>85</c:v>
                </c:pt>
                <c:pt idx="159">
                  <c:v>253</c:v>
                </c:pt>
                <c:pt idx="160">
                  <c:v>380</c:v>
                </c:pt>
                <c:pt idx="161">
                  <c:v>635</c:v>
                </c:pt>
                <c:pt idx="162">
                  <c:v>360</c:v>
                </c:pt>
                <c:pt idx="163">
                  <c:v>0</c:v>
                </c:pt>
                <c:pt idx="164">
                  <c:v>0</c:v>
                </c:pt>
                <c:pt idx="165">
                  <c:v>10</c:v>
                </c:pt>
                <c:pt idx="166">
                  <c:v>180</c:v>
                </c:pt>
                <c:pt idx="167">
                  <c:v>0</c:v>
                </c:pt>
                <c:pt idx="168">
                  <c:v>155</c:v>
                </c:pt>
                <c:pt idx="169">
                  <c:v>50</c:v>
                </c:pt>
                <c:pt idx="170">
                  <c:v>450</c:v>
                </c:pt>
                <c:pt idx="171">
                  <c:v>146</c:v>
                </c:pt>
                <c:pt idx="172">
                  <c:v>30</c:v>
                </c:pt>
                <c:pt idx="173">
                  <c:v>40</c:v>
                </c:pt>
                <c:pt idx="174">
                  <c:v>130</c:v>
                </c:pt>
                <c:pt idx="175">
                  <c:v>30</c:v>
                </c:pt>
                <c:pt idx="176">
                  <c:v>350</c:v>
                </c:pt>
                <c:pt idx="177">
                  <c:v>335</c:v>
                </c:pt>
                <c:pt idx="178">
                  <c:v>70</c:v>
                </c:pt>
                <c:pt idx="179">
                  <c:v>60</c:v>
                </c:pt>
                <c:pt idx="180">
                  <c:v>59</c:v>
                </c:pt>
                <c:pt idx="181">
                  <c:v>165</c:v>
                </c:pt>
                <c:pt idx="182">
                  <c:v>900</c:v>
                </c:pt>
                <c:pt idx="183">
                  <c:v>35</c:v>
                </c:pt>
                <c:pt idx="184">
                  <c:v>30</c:v>
                </c:pt>
                <c:pt idx="185">
                  <c:v>5</c:v>
                </c:pt>
                <c:pt idx="186">
                  <c:v>60</c:v>
                </c:pt>
                <c:pt idx="187">
                  <c:v>603</c:v>
                </c:pt>
                <c:pt idx="188">
                  <c:v>505</c:v>
                </c:pt>
                <c:pt idx="189">
                  <c:v>615</c:v>
                </c:pt>
                <c:pt idx="190">
                  <c:v>43</c:v>
                </c:pt>
                <c:pt idx="191">
                  <c:v>50</c:v>
                </c:pt>
                <c:pt idx="192">
                  <c:v>25</c:v>
                </c:pt>
                <c:pt idx="193">
                  <c:v>440</c:v>
                </c:pt>
                <c:pt idx="194">
                  <c:v>240</c:v>
                </c:pt>
                <c:pt idx="195">
                  <c:v>198</c:v>
                </c:pt>
                <c:pt idx="196">
                  <c:v>175</c:v>
                </c:pt>
                <c:pt idx="197">
                  <c:v>230</c:v>
                </c:pt>
                <c:pt idx="198">
                  <c:v>20</c:v>
                </c:pt>
                <c:pt idx="199">
                  <c:v>335</c:v>
                </c:pt>
                <c:pt idx="200">
                  <c:v>170</c:v>
                </c:pt>
                <c:pt idx="201">
                  <c:v>2420</c:v>
                </c:pt>
                <c:pt idx="202">
                  <c:v>80</c:v>
                </c:pt>
                <c:pt idx="203">
                  <c:v>620</c:v>
                </c:pt>
                <c:pt idx="204">
                  <c:v>200</c:v>
                </c:pt>
                <c:pt idx="205">
                  <c:v>20</c:v>
                </c:pt>
                <c:pt idx="206">
                  <c:v>545</c:v>
                </c:pt>
                <c:pt idx="207">
                  <c:v>300</c:v>
                </c:pt>
                <c:pt idx="208">
                  <c:v>595</c:v>
                </c:pt>
                <c:pt idx="209">
                  <c:v>0</c:v>
                </c:pt>
                <c:pt idx="210">
                  <c:v>405</c:v>
                </c:pt>
                <c:pt idx="211">
                  <c:v>435</c:v>
                </c:pt>
                <c:pt idx="212">
                  <c:v>260</c:v>
                </c:pt>
                <c:pt idx="213">
                  <c:v>0</c:v>
                </c:pt>
                <c:pt idx="214">
                  <c:v>200</c:v>
                </c:pt>
                <c:pt idx="215">
                  <c:v>1060</c:v>
                </c:pt>
                <c:pt idx="216">
                  <c:v>0</c:v>
                </c:pt>
                <c:pt idx="217">
                  <c:v>585</c:v>
                </c:pt>
                <c:pt idx="218">
                  <c:v>300</c:v>
                </c:pt>
                <c:pt idx="219">
                  <c:v>825</c:v>
                </c:pt>
                <c:pt idx="220">
                  <c:v>0</c:v>
                </c:pt>
                <c:pt idx="221">
                  <c:v>40</c:v>
                </c:pt>
                <c:pt idx="222">
                  <c:v>55</c:v>
                </c:pt>
                <c:pt idx="223">
                  <c:v>50</c:v>
                </c:pt>
                <c:pt idx="224">
                  <c:v>15</c:v>
                </c:pt>
                <c:pt idx="225">
                  <c:v>425</c:v>
                </c:pt>
                <c:pt idx="226">
                  <c:v>840</c:v>
                </c:pt>
                <c:pt idx="227">
                  <c:v>0</c:v>
                </c:pt>
                <c:pt idx="228">
                  <c:v>120</c:v>
                </c:pt>
                <c:pt idx="229">
                  <c:v>1230</c:v>
                </c:pt>
                <c:pt idx="230">
                  <c:v>31</c:v>
                </c:pt>
                <c:pt idx="231">
                  <c:v>110</c:v>
                </c:pt>
                <c:pt idx="232">
                  <c:v>30</c:v>
                </c:pt>
                <c:pt idx="233">
                  <c:v>23</c:v>
                </c:pt>
                <c:pt idx="234">
                  <c:v>340</c:v>
                </c:pt>
                <c:pt idx="235">
                  <c:v>130</c:v>
                </c:pt>
                <c:pt idx="236">
                  <c:v>180</c:v>
                </c:pt>
                <c:pt idx="237">
                  <c:v>20</c:v>
                </c:pt>
                <c:pt idx="238">
                  <c:v>320</c:v>
                </c:pt>
                <c:pt idx="239">
                  <c:v>377</c:v>
                </c:pt>
                <c:pt idx="240">
                  <c:v>45</c:v>
                </c:pt>
                <c:pt idx="241">
                  <c:v>215</c:v>
                </c:pt>
                <c:pt idx="242">
                  <c:v>735</c:v>
                </c:pt>
                <c:pt idx="243">
                  <c:v>210</c:v>
                </c:pt>
                <c:pt idx="244">
                  <c:v>20</c:v>
                </c:pt>
              </c:numCache>
            </c:numRef>
          </c:val>
        </c:ser>
        <c:gapWidth val="0"/>
        <c:axId val="136413952"/>
        <c:axId val="136415488"/>
      </c:barChart>
      <c:lineChart>
        <c:grouping val="standard"/>
        <c:ser>
          <c:idx val="3"/>
          <c:order val="1"/>
          <c:tx>
            <c:strRef>
              <c:f>[4]FKB3!$BK$2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[4]FKB3!$A$233:$A$477</c:f>
              <c:numCache>
                <c:formatCode>General</c:formatCode>
                <c:ptCount val="245"/>
                <c:pt idx="0">
                  <c:v>37055</c:v>
                </c:pt>
                <c:pt idx="1">
                  <c:v>37056</c:v>
                </c:pt>
                <c:pt idx="2">
                  <c:v>37057</c:v>
                </c:pt>
                <c:pt idx="3">
                  <c:v>37060</c:v>
                </c:pt>
                <c:pt idx="4">
                  <c:v>37061</c:v>
                </c:pt>
                <c:pt idx="5">
                  <c:v>37062</c:v>
                </c:pt>
                <c:pt idx="6">
                  <c:v>37063</c:v>
                </c:pt>
                <c:pt idx="7">
                  <c:v>37064</c:v>
                </c:pt>
                <c:pt idx="8">
                  <c:v>37067</c:v>
                </c:pt>
                <c:pt idx="9">
                  <c:v>37068</c:v>
                </c:pt>
                <c:pt idx="10">
                  <c:v>37069</c:v>
                </c:pt>
                <c:pt idx="11">
                  <c:v>37070</c:v>
                </c:pt>
                <c:pt idx="12">
                  <c:v>37071</c:v>
                </c:pt>
                <c:pt idx="13">
                  <c:v>37074</c:v>
                </c:pt>
                <c:pt idx="14">
                  <c:v>37075</c:v>
                </c:pt>
                <c:pt idx="15">
                  <c:v>37076</c:v>
                </c:pt>
                <c:pt idx="16">
                  <c:v>37077</c:v>
                </c:pt>
                <c:pt idx="17">
                  <c:v>37078</c:v>
                </c:pt>
                <c:pt idx="18">
                  <c:v>37081</c:v>
                </c:pt>
                <c:pt idx="19">
                  <c:v>37082</c:v>
                </c:pt>
                <c:pt idx="20">
                  <c:v>37083</c:v>
                </c:pt>
                <c:pt idx="21">
                  <c:v>37084</c:v>
                </c:pt>
                <c:pt idx="22">
                  <c:v>37085</c:v>
                </c:pt>
                <c:pt idx="23">
                  <c:v>37088</c:v>
                </c:pt>
                <c:pt idx="24">
                  <c:v>37089</c:v>
                </c:pt>
                <c:pt idx="25">
                  <c:v>37090</c:v>
                </c:pt>
                <c:pt idx="26">
                  <c:v>37091</c:v>
                </c:pt>
                <c:pt idx="27">
                  <c:v>37092</c:v>
                </c:pt>
                <c:pt idx="28">
                  <c:v>37095</c:v>
                </c:pt>
                <c:pt idx="29">
                  <c:v>37096</c:v>
                </c:pt>
                <c:pt idx="30">
                  <c:v>37097</c:v>
                </c:pt>
                <c:pt idx="31">
                  <c:v>37098</c:v>
                </c:pt>
                <c:pt idx="32">
                  <c:v>37099</c:v>
                </c:pt>
                <c:pt idx="33">
                  <c:v>37102</c:v>
                </c:pt>
                <c:pt idx="34">
                  <c:v>37103</c:v>
                </c:pt>
                <c:pt idx="35">
                  <c:v>37104</c:v>
                </c:pt>
                <c:pt idx="36">
                  <c:v>37105</c:v>
                </c:pt>
                <c:pt idx="37">
                  <c:v>37106</c:v>
                </c:pt>
                <c:pt idx="38">
                  <c:v>37109</c:v>
                </c:pt>
                <c:pt idx="39">
                  <c:v>37110</c:v>
                </c:pt>
                <c:pt idx="40">
                  <c:v>37111</c:v>
                </c:pt>
                <c:pt idx="41">
                  <c:v>37112</c:v>
                </c:pt>
                <c:pt idx="42">
                  <c:v>37113</c:v>
                </c:pt>
                <c:pt idx="43">
                  <c:v>37116</c:v>
                </c:pt>
                <c:pt idx="44">
                  <c:v>37117</c:v>
                </c:pt>
                <c:pt idx="45">
                  <c:v>37118</c:v>
                </c:pt>
                <c:pt idx="46">
                  <c:v>37119</c:v>
                </c:pt>
                <c:pt idx="47">
                  <c:v>37120</c:v>
                </c:pt>
                <c:pt idx="48">
                  <c:v>37123</c:v>
                </c:pt>
                <c:pt idx="49">
                  <c:v>37124</c:v>
                </c:pt>
                <c:pt idx="50">
                  <c:v>37125</c:v>
                </c:pt>
                <c:pt idx="51">
                  <c:v>37126</c:v>
                </c:pt>
                <c:pt idx="52">
                  <c:v>37127</c:v>
                </c:pt>
                <c:pt idx="53">
                  <c:v>37130</c:v>
                </c:pt>
                <c:pt idx="54">
                  <c:v>37131</c:v>
                </c:pt>
                <c:pt idx="55">
                  <c:v>37132</c:v>
                </c:pt>
                <c:pt idx="56">
                  <c:v>37133</c:v>
                </c:pt>
                <c:pt idx="57">
                  <c:v>37137</c:v>
                </c:pt>
                <c:pt idx="58">
                  <c:v>37138</c:v>
                </c:pt>
                <c:pt idx="59">
                  <c:v>37139</c:v>
                </c:pt>
                <c:pt idx="60">
                  <c:v>37140</c:v>
                </c:pt>
                <c:pt idx="61">
                  <c:v>37141</c:v>
                </c:pt>
                <c:pt idx="62">
                  <c:v>37144</c:v>
                </c:pt>
                <c:pt idx="63">
                  <c:v>37145</c:v>
                </c:pt>
                <c:pt idx="64">
                  <c:v>37147</c:v>
                </c:pt>
                <c:pt idx="65">
                  <c:v>37148</c:v>
                </c:pt>
                <c:pt idx="66">
                  <c:v>37151</c:v>
                </c:pt>
                <c:pt idx="67">
                  <c:v>37152</c:v>
                </c:pt>
                <c:pt idx="68">
                  <c:v>37153</c:v>
                </c:pt>
                <c:pt idx="69">
                  <c:v>37154</c:v>
                </c:pt>
                <c:pt idx="70">
                  <c:v>37155</c:v>
                </c:pt>
                <c:pt idx="71">
                  <c:v>37158</c:v>
                </c:pt>
                <c:pt idx="72">
                  <c:v>37159</c:v>
                </c:pt>
                <c:pt idx="73">
                  <c:v>37160</c:v>
                </c:pt>
                <c:pt idx="74">
                  <c:v>37161</c:v>
                </c:pt>
                <c:pt idx="75">
                  <c:v>37162</c:v>
                </c:pt>
                <c:pt idx="76">
                  <c:v>37165</c:v>
                </c:pt>
                <c:pt idx="77">
                  <c:v>37166</c:v>
                </c:pt>
                <c:pt idx="78">
                  <c:v>37167</c:v>
                </c:pt>
                <c:pt idx="79">
                  <c:v>37168</c:v>
                </c:pt>
                <c:pt idx="80">
                  <c:v>37169</c:v>
                </c:pt>
                <c:pt idx="81">
                  <c:v>37172</c:v>
                </c:pt>
                <c:pt idx="82">
                  <c:v>37173</c:v>
                </c:pt>
                <c:pt idx="83">
                  <c:v>37174</c:v>
                </c:pt>
                <c:pt idx="84">
                  <c:v>37175</c:v>
                </c:pt>
                <c:pt idx="85">
                  <c:v>37176</c:v>
                </c:pt>
                <c:pt idx="86">
                  <c:v>37179</c:v>
                </c:pt>
                <c:pt idx="87">
                  <c:v>37180</c:v>
                </c:pt>
                <c:pt idx="88">
                  <c:v>37181</c:v>
                </c:pt>
                <c:pt idx="89">
                  <c:v>37182</c:v>
                </c:pt>
                <c:pt idx="90">
                  <c:v>37183</c:v>
                </c:pt>
                <c:pt idx="91">
                  <c:v>37186</c:v>
                </c:pt>
                <c:pt idx="92">
                  <c:v>37187</c:v>
                </c:pt>
                <c:pt idx="93">
                  <c:v>37188</c:v>
                </c:pt>
                <c:pt idx="94">
                  <c:v>37189</c:v>
                </c:pt>
                <c:pt idx="95">
                  <c:v>37190</c:v>
                </c:pt>
                <c:pt idx="96">
                  <c:v>37193</c:v>
                </c:pt>
                <c:pt idx="97">
                  <c:v>37194</c:v>
                </c:pt>
                <c:pt idx="98">
                  <c:v>37195</c:v>
                </c:pt>
                <c:pt idx="99">
                  <c:v>37196</c:v>
                </c:pt>
                <c:pt idx="100">
                  <c:v>37197</c:v>
                </c:pt>
                <c:pt idx="101">
                  <c:v>37200</c:v>
                </c:pt>
                <c:pt idx="102">
                  <c:v>37201</c:v>
                </c:pt>
                <c:pt idx="103">
                  <c:v>37202</c:v>
                </c:pt>
                <c:pt idx="104">
                  <c:v>37203</c:v>
                </c:pt>
                <c:pt idx="105">
                  <c:v>37204</c:v>
                </c:pt>
                <c:pt idx="106">
                  <c:v>37207</c:v>
                </c:pt>
                <c:pt idx="107">
                  <c:v>37208</c:v>
                </c:pt>
                <c:pt idx="108">
                  <c:v>37210</c:v>
                </c:pt>
                <c:pt idx="109">
                  <c:v>37211</c:v>
                </c:pt>
                <c:pt idx="110">
                  <c:v>37214</c:v>
                </c:pt>
                <c:pt idx="111">
                  <c:v>37215</c:v>
                </c:pt>
                <c:pt idx="112">
                  <c:v>37216</c:v>
                </c:pt>
                <c:pt idx="113">
                  <c:v>37218</c:v>
                </c:pt>
                <c:pt idx="114">
                  <c:v>37221</c:v>
                </c:pt>
                <c:pt idx="115">
                  <c:v>37222</c:v>
                </c:pt>
                <c:pt idx="116">
                  <c:v>37223</c:v>
                </c:pt>
                <c:pt idx="117">
                  <c:v>37224</c:v>
                </c:pt>
                <c:pt idx="118">
                  <c:v>37225</c:v>
                </c:pt>
                <c:pt idx="119">
                  <c:v>37228</c:v>
                </c:pt>
                <c:pt idx="120">
                  <c:v>37229</c:v>
                </c:pt>
                <c:pt idx="121">
                  <c:v>37230</c:v>
                </c:pt>
                <c:pt idx="122">
                  <c:v>37231</c:v>
                </c:pt>
                <c:pt idx="123">
                  <c:v>37232</c:v>
                </c:pt>
                <c:pt idx="124">
                  <c:v>37235</c:v>
                </c:pt>
                <c:pt idx="125">
                  <c:v>37236</c:v>
                </c:pt>
                <c:pt idx="126">
                  <c:v>37237</c:v>
                </c:pt>
                <c:pt idx="127">
                  <c:v>37238</c:v>
                </c:pt>
                <c:pt idx="128">
                  <c:v>37239</c:v>
                </c:pt>
                <c:pt idx="129">
                  <c:v>37245</c:v>
                </c:pt>
                <c:pt idx="130">
                  <c:v>37246</c:v>
                </c:pt>
                <c:pt idx="131">
                  <c:v>37249</c:v>
                </c:pt>
                <c:pt idx="132">
                  <c:v>37251</c:v>
                </c:pt>
                <c:pt idx="133">
                  <c:v>37252</c:v>
                </c:pt>
                <c:pt idx="134">
                  <c:v>37253</c:v>
                </c:pt>
                <c:pt idx="135">
                  <c:v>37256</c:v>
                </c:pt>
                <c:pt idx="136">
                  <c:v>37258</c:v>
                </c:pt>
                <c:pt idx="137">
                  <c:v>37259</c:v>
                </c:pt>
                <c:pt idx="138">
                  <c:v>37260</c:v>
                </c:pt>
                <c:pt idx="139">
                  <c:v>37263</c:v>
                </c:pt>
                <c:pt idx="140">
                  <c:v>37264</c:v>
                </c:pt>
                <c:pt idx="141">
                  <c:v>37265</c:v>
                </c:pt>
                <c:pt idx="142">
                  <c:v>37266</c:v>
                </c:pt>
                <c:pt idx="143">
                  <c:v>37267</c:v>
                </c:pt>
                <c:pt idx="144">
                  <c:v>37270</c:v>
                </c:pt>
                <c:pt idx="145">
                  <c:v>37271</c:v>
                </c:pt>
                <c:pt idx="146">
                  <c:v>37272</c:v>
                </c:pt>
                <c:pt idx="147">
                  <c:v>37273</c:v>
                </c:pt>
                <c:pt idx="148">
                  <c:v>37274</c:v>
                </c:pt>
                <c:pt idx="149">
                  <c:v>37277</c:v>
                </c:pt>
                <c:pt idx="150">
                  <c:v>37278</c:v>
                </c:pt>
                <c:pt idx="151">
                  <c:v>37279</c:v>
                </c:pt>
                <c:pt idx="152">
                  <c:v>37280</c:v>
                </c:pt>
                <c:pt idx="153">
                  <c:v>37281</c:v>
                </c:pt>
                <c:pt idx="154">
                  <c:v>37284</c:v>
                </c:pt>
                <c:pt idx="155">
                  <c:v>37285</c:v>
                </c:pt>
                <c:pt idx="156">
                  <c:v>37286</c:v>
                </c:pt>
                <c:pt idx="157">
                  <c:v>37287</c:v>
                </c:pt>
                <c:pt idx="158">
                  <c:v>37291</c:v>
                </c:pt>
                <c:pt idx="159">
                  <c:v>37292</c:v>
                </c:pt>
                <c:pt idx="160">
                  <c:v>37293</c:v>
                </c:pt>
                <c:pt idx="161">
                  <c:v>37294</c:v>
                </c:pt>
                <c:pt idx="162">
                  <c:v>37295</c:v>
                </c:pt>
                <c:pt idx="163">
                  <c:v>37301</c:v>
                </c:pt>
                <c:pt idx="164">
                  <c:v>37302</c:v>
                </c:pt>
                <c:pt idx="165">
                  <c:v>37305</c:v>
                </c:pt>
                <c:pt idx="166">
                  <c:v>37306</c:v>
                </c:pt>
                <c:pt idx="167">
                  <c:v>37307</c:v>
                </c:pt>
                <c:pt idx="168">
                  <c:v>37308</c:v>
                </c:pt>
                <c:pt idx="169">
                  <c:v>37309</c:v>
                </c:pt>
                <c:pt idx="170">
                  <c:v>37312</c:v>
                </c:pt>
                <c:pt idx="171">
                  <c:v>37313</c:v>
                </c:pt>
                <c:pt idx="172">
                  <c:v>37314</c:v>
                </c:pt>
                <c:pt idx="173">
                  <c:v>37315</c:v>
                </c:pt>
                <c:pt idx="174">
                  <c:v>37316</c:v>
                </c:pt>
                <c:pt idx="175">
                  <c:v>37319</c:v>
                </c:pt>
                <c:pt idx="176">
                  <c:v>37320</c:v>
                </c:pt>
                <c:pt idx="177">
                  <c:v>37321</c:v>
                </c:pt>
                <c:pt idx="178">
                  <c:v>37322</c:v>
                </c:pt>
                <c:pt idx="179">
                  <c:v>37323</c:v>
                </c:pt>
                <c:pt idx="180">
                  <c:v>37326</c:v>
                </c:pt>
                <c:pt idx="181">
                  <c:v>37327</c:v>
                </c:pt>
                <c:pt idx="182">
                  <c:v>37328</c:v>
                </c:pt>
                <c:pt idx="183">
                  <c:v>37329</c:v>
                </c:pt>
                <c:pt idx="184">
                  <c:v>37333</c:v>
                </c:pt>
                <c:pt idx="185">
                  <c:v>37334</c:v>
                </c:pt>
                <c:pt idx="186">
                  <c:v>37335</c:v>
                </c:pt>
                <c:pt idx="187">
                  <c:v>37336</c:v>
                </c:pt>
                <c:pt idx="188">
                  <c:v>37337</c:v>
                </c:pt>
                <c:pt idx="189">
                  <c:v>37340</c:v>
                </c:pt>
                <c:pt idx="190">
                  <c:v>37341</c:v>
                </c:pt>
                <c:pt idx="191">
                  <c:v>37342</c:v>
                </c:pt>
                <c:pt idx="192">
                  <c:v>37343</c:v>
                </c:pt>
                <c:pt idx="193">
                  <c:v>37344</c:v>
                </c:pt>
                <c:pt idx="194">
                  <c:v>37347</c:v>
                </c:pt>
                <c:pt idx="195">
                  <c:v>37348</c:v>
                </c:pt>
                <c:pt idx="196">
                  <c:v>37349</c:v>
                </c:pt>
                <c:pt idx="197">
                  <c:v>37350</c:v>
                </c:pt>
                <c:pt idx="198">
                  <c:v>37351</c:v>
                </c:pt>
                <c:pt idx="199">
                  <c:v>37354</c:v>
                </c:pt>
                <c:pt idx="200">
                  <c:v>37355</c:v>
                </c:pt>
                <c:pt idx="201">
                  <c:v>37356</c:v>
                </c:pt>
                <c:pt idx="202">
                  <c:v>37357</c:v>
                </c:pt>
                <c:pt idx="203">
                  <c:v>37358</c:v>
                </c:pt>
                <c:pt idx="204">
                  <c:v>37361</c:v>
                </c:pt>
                <c:pt idx="205">
                  <c:v>37362</c:v>
                </c:pt>
                <c:pt idx="206">
                  <c:v>37363</c:v>
                </c:pt>
                <c:pt idx="207">
                  <c:v>37364</c:v>
                </c:pt>
                <c:pt idx="208">
                  <c:v>37365</c:v>
                </c:pt>
                <c:pt idx="209">
                  <c:v>37368</c:v>
                </c:pt>
                <c:pt idx="210">
                  <c:v>37369</c:v>
                </c:pt>
                <c:pt idx="211">
                  <c:v>37370</c:v>
                </c:pt>
                <c:pt idx="212">
                  <c:v>37372</c:v>
                </c:pt>
                <c:pt idx="213">
                  <c:v>37375</c:v>
                </c:pt>
                <c:pt idx="214">
                  <c:v>37376</c:v>
                </c:pt>
                <c:pt idx="215">
                  <c:v>37378</c:v>
                </c:pt>
                <c:pt idx="216">
                  <c:v>37379</c:v>
                </c:pt>
                <c:pt idx="217">
                  <c:v>37382</c:v>
                </c:pt>
                <c:pt idx="218">
                  <c:v>37383</c:v>
                </c:pt>
                <c:pt idx="219">
                  <c:v>37384</c:v>
                </c:pt>
                <c:pt idx="220">
                  <c:v>37385</c:v>
                </c:pt>
                <c:pt idx="221">
                  <c:v>37386</c:v>
                </c:pt>
                <c:pt idx="222">
                  <c:v>37389</c:v>
                </c:pt>
                <c:pt idx="223">
                  <c:v>37390</c:v>
                </c:pt>
                <c:pt idx="224">
                  <c:v>37391</c:v>
                </c:pt>
                <c:pt idx="225">
                  <c:v>37392</c:v>
                </c:pt>
                <c:pt idx="226">
                  <c:v>37393</c:v>
                </c:pt>
                <c:pt idx="227">
                  <c:v>37396</c:v>
                </c:pt>
                <c:pt idx="228">
                  <c:v>37397</c:v>
                </c:pt>
                <c:pt idx="229">
                  <c:v>37398</c:v>
                </c:pt>
                <c:pt idx="230">
                  <c:v>37399</c:v>
                </c:pt>
                <c:pt idx="231">
                  <c:v>37400</c:v>
                </c:pt>
                <c:pt idx="232">
                  <c:v>37404</c:v>
                </c:pt>
                <c:pt idx="233">
                  <c:v>37405</c:v>
                </c:pt>
                <c:pt idx="234">
                  <c:v>37406</c:v>
                </c:pt>
                <c:pt idx="235">
                  <c:v>37407</c:v>
                </c:pt>
                <c:pt idx="236">
                  <c:v>37410</c:v>
                </c:pt>
                <c:pt idx="237">
                  <c:v>37411</c:v>
                </c:pt>
                <c:pt idx="238">
                  <c:v>37412</c:v>
                </c:pt>
                <c:pt idx="239">
                  <c:v>37413</c:v>
                </c:pt>
                <c:pt idx="240">
                  <c:v>37414</c:v>
                </c:pt>
                <c:pt idx="241">
                  <c:v>37417</c:v>
                </c:pt>
                <c:pt idx="242">
                  <c:v>37418</c:v>
                </c:pt>
                <c:pt idx="243">
                  <c:v>37419</c:v>
                </c:pt>
                <c:pt idx="244">
                  <c:v>37420</c:v>
                </c:pt>
              </c:numCache>
            </c:numRef>
          </c:cat>
          <c:val>
            <c:numRef>
              <c:f>[4]FKB3!$BK$233:$BK$477</c:f>
              <c:numCache>
                <c:formatCode>General</c:formatCode>
                <c:ptCount val="245"/>
                <c:pt idx="0">
                  <c:v>10194</c:v>
                </c:pt>
                <c:pt idx="1">
                  <c:v>10371</c:v>
                </c:pt>
                <c:pt idx="2">
                  <c:v>10912</c:v>
                </c:pt>
                <c:pt idx="3">
                  <c:v>10881</c:v>
                </c:pt>
                <c:pt idx="4">
                  <c:v>10881</c:v>
                </c:pt>
                <c:pt idx="5">
                  <c:v>10886</c:v>
                </c:pt>
                <c:pt idx="6">
                  <c:v>10152</c:v>
                </c:pt>
                <c:pt idx="7">
                  <c:v>10182</c:v>
                </c:pt>
                <c:pt idx="8">
                  <c:v>10337</c:v>
                </c:pt>
                <c:pt idx="9">
                  <c:v>10347</c:v>
                </c:pt>
                <c:pt idx="10">
                  <c:v>10402</c:v>
                </c:pt>
                <c:pt idx="11">
                  <c:v>10412</c:v>
                </c:pt>
                <c:pt idx="12">
                  <c:v>10640</c:v>
                </c:pt>
                <c:pt idx="13">
                  <c:v>10878</c:v>
                </c:pt>
                <c:pt idx="14">
                  <c:v>10950</c:v>
                </c:pt>
                <c:pt idx="15">
                  <c:v>10931</c:v>
                </c:pt>
                <c:pt idx="16">
                  <c:v>10918</c:v>
                </c:pt>
                <c:pt idx="17">
                  <c:v>10990</c:v>
                </c:pt>
                <c:pt idx="18">
                  <c:v>11145</c:v>
                </c:pt>
                <c:pt idx="19">
                  <c:v>11180</c:v>
                </c:pt>
                <c:pt idx="20">
                  <c:v>11175</c:v>
                </c:pt>
                <c:pt idx="21">
                  <c:v>11638</c:v>
                </c:pt>
                <c:pt idx="22">
                  <c:v>11638</c:v>
                </c:pt>
                <c:pt idx="23">
                  <c:v>11665</c:v>
                </c:pt>
                <c:pt idx="24">
                  <c:v>11653</c:v>
                </c:pt>
                <c:pt idx="25">
                  <c:v>11719</c:v>
                </c:pt>
                <c:pt idx="26">
                  <c:v>11839</c:v>
                </c:pt>
                <c:pt idx="27">
                  <c:v>11966</c:v>
                </c:pt>
                <c:pt idx="28">
                  <c:v>11990</c:v>
                </c:pt>
                <c:pt idx="29">
                  <c:v>11997</c:v>
                </c:pt>
                <c:pt idx="30">
                  <c:v>12002</c:v>
                </c:pt>
                <c:pt idx="31">
                  <c:v>11993</c:v>
                </c:pt>
                <c:pt idx="32">
                  <c:v>11708</c:v>
                </c:pt>
                <c:pt idx="33">
                  <c:v>11680</c:v>
                </c:pt>
                <c:pt idx="34">
                  <c:v>11665</c:v>
                </c:pt>
                <c:pt idx="35">
                  <c:v>11705</c:v>
                </c:pt>
                <c:pt idx="36">
                  <c:v>11705</c:v>
                </c:pt>
                <c:pt idx="37">
                  <c:v>11753</c:v>
                </c:pt>
                <c:pt idx="38">
                  <c:v>11750</c:v>
                </c:pt>
                <c:pt idx="39">
                  <c:v>11850</c:v>
                </c:pt>
                <c:pt idx="40">
                  <c:v>11850</c:v>
                </c:pt>
                <c:pt idx="41">
                  <c:v>11835</c:v>
                </c:pt>
                <c:pt idx="42">
                  <c:v>11852</c:v>
                </c:pt>
                <c:pt idx="43">
                  <c:v>11882</c:v>
                </c:pt>
                <c:pt idx="44">
                  <c:v>11844</c:v>
                </c:pt>
                <c:pt idx="45">
                  <c:v>11901</c:v>
                </c:pt>
                <c:pt idx="46">
                  <c:v>12782</c:v>
                </c:pt>
                <c:pt idx="47">
                  <c:v>13032</c:v>
                </c:pt>
                <c:pt idx="48">
                  <c:v>12972</c:v>
                </c:pt>
                <c:pt idx="49">
                  <c:v>12975</c:v>
                </c:pt>
                <c:pt idx="50">
                  <c:v>12975</c:v>
                </c:pt>
                <c:pt idx="51">
                  <c:v>13005</c:v>
                </c:pt>
                <c:pt idx="52">
                  <c:v>13026</c:v>
                </c:pt>
                <c:pt idx="53">
                  <c:v>13026</c:v>
                </c:pt>
                <c:pt idx="54">
                  <c:v>13023</c:v>
                </c:pt>
                <c:pt idx="55">
                  <c:v>13023</c:v>
                </c:pt>
                <c:pt idx="56">
                  <c:v>13023</c:v>
                </c:pt>
                <c:pt idx="57">
                  <c:v>13023</c:v>
                </c:pt>
                <c:pt idx="58">
                  <c:v>13008</c:v>
                </c:pt>
                <c:pt idx="59">
                  <c:v>13033</c:v>
                </c:pt>
                <c:pt idx="60">
                  <c:v>13033</c:v>
                </c:pt>
                <c:pt idx="61">
                  <c:v>12993</c:v>
                </c:pt>
                <c:pt idx="62">
                  <c:v>12993</c:v>
                </c:pt>
                <c:pt idx="63">
                  <c:v>13046</c:v>
                </c:pt>
                <c:pt idx="64">
                  <c:v>13216</c:v>
                </c:pt>
                <c:pt idx="65">
                  <c:v>13216</c:v>
                </c:pt>
                <c:pt idx="66">
                  <c:v>13216</c:v>
                </c:pt>
                <c:pt idx="67">
                  <c:v>13416</c:v>
                </c:pt>
                <c:pt idx="68">
                  <c:v>11817</c:v>
                </c:pt>
                <c:pt idx="69">
                  <c:v>11899</c:v>
                </c:pt>
                <c:pt idx="70">
                  <c:v>12209</c:v>
                </c:pt>
                <c:pt idx="71">
                  <c:v>11969</c:v>
                </c:pt>
                <c:pt idx="72">
                  <c:v>11969</c:v>
                </c:pt>
                <c:pt idx="73">
                  <c:v>11704</c:v>
                </c:pt>
                <c:pt idx="74">
                  <c:v>11889</c:v>
                </c:pt>
                <c:pt idx="75">
                  <c:v>12069</c:v>
                </c:pt>
                <c:pt idx="76">
                  <c:v>12159</c:v>
                </c:pt>
                <c:pt idx="77">
                  <c:v>12434</c:v>
                </c:pt>
                <c:pt idx="78">
                  <c:v>12474</c:v>
                </c:pt>
                <c:pt idx="79">
                  <c:v>12432</c:v>
                </c:pt>
                <c:pt idx="80">
                  <c:v>12825</c:v>
                </c:pt>
                <c:pt idx="81">
                  <c:v>12919</c:v>
                </c:pt>
                <c:pt idx="82">
                  <c:v>12919</c:v>
                </c:pt>
                <c:pt idx="83">
                  <c:v>13159</c:v>
                </c:pt>
                <c:pt idx="84">
                  <c:v>13470</c:v>
                </c:pt>
                <c:pt idx="85">
                  <c:v>12303</c:v>
                </c:pt>
                <c:pt idx="86">
                  <c:v>12204</c:v>
                </c:pt>
                <c:pt idx="87">
                  <c:v>12239</c:v>
                </c:pt>
                <c:pt idx="88">
                  <c:v>12174</c:v>
                </c:pt>
                <c:pt idx="89">
                  <c:v>12164</c:v>
                </c:pt>
                <c:pt idx="90">
                  <c:v>12154</c:v>
                </c:pt>
                <c:pt idx="91">
                  <c:v>11841</c:v>
                </c:pt>
                <c:pt idx="92">
                  <c:v>11821</c:v>
                </c:pt>
                <c:pt idx="93">
                  <c:v>11876</c:v>
                </c:pt>
                <c:pt idx="94">
                  <c:v>11876</c:v>
                </c:pt>
                <c:pt idx="95">
                  <c:v>11921</c:v>
                </c:pt>
                <c:pt idx="96">
                  <c:v>11921</c:v>
                </c:pt>
                <c:pt idx="97">
                  <c:v>11921</c:v>
                </c:pt>
                <c:pt idx="98">
                  <c:v>11821</c:v>
                </c:pt>
                <c:pt idx="99">
                  <c:v>11826</c:v>
                </c:pt>
                <c:pt idx="100">
                  <c:v>11686</c:v>
                </c:pt>
                <c:pt idx="101">
                  <c:v>11675</c:v>
                </c:pt>
                <c:pt idx="102">
                  <c:v>11745</c:v>
                </c:pt>
                <c:pt idx="103">
                  <c:v>11970</c:v>
                </c:pt>
                <c:pt idx="104">
                  <c:v>12020</c:v>
                </c:pt>
                <c:pt idx="105">
                  <c:v>12060</c:v>
                </c:pt>
                <c:pt idx="106">
                  <c:v>12080</c:v>
                </c:pt>
                <c:pt idx="107">
                  <c:v>12110</c:v>
                </c:pt>
                <c:pt idx="108">
                  <c:v>11930</c:v>
                </c:pt>
                <c:pt idx="109">
                  <c:v>11930</c:v>
                </c:pt>
                <c:pt idx="110">
                  <c:v>11910</c:v>
                </c:pt>
                <c:pt idx="111">
                  <c:v>11918</c:v>
                </c:pt>
                <c:pt idx="112">
                  <c:v>11933</c:v>
                </c:pt>
                <c:pt idx="113">
                  <c:v>11930</c:v>
                </c:pt>
                <c:pt idx="114">
                  <c:v>11930</c:v>
                </c:pt>
                <c:pt idx="115">
                  <c:v>11930</c:v>
                </c:pt>
                <c:pt idx="116">
                  <c:v>11915</c:v>
                </c:pt>
                <c:pt idx="117">
                  <c:v>11915</c:v>
                </c:pt>
                <c:pt idx="118">
                  <c:v>11863</c:v>
                </c:pt>
                <c:pt idx="119">
                  <c:v>11958</c:v>
                </c:pt>
                <c:pt idx="120">
                  <c:v>12113</c:v>
                </c:pt>
                <c:pt idx="121">
                  <c:v>12113</c:v>
                </c:pt>
                <c:pt idx="122">
                  <c:v>12118</c:v>
                </c:pt>
                <c:pt idx="123">
                  <c:v>12203</c:v>
                </c:pt>
                <c:pt idx="124">
                  <c:v>12203</c:v>
                </c:pt>
                <c:pt idx="125">
                  <c:v>12203</c:v>
                </c:pt>
                <c:pt idx="126">
                  <c:v>12248</c:v>
                </c:pt>
                <c:pt idx="127">
                  <c:v>12230</c:v>
                </c:pt>
                <c:pt idx="128">
                  <c:v>12230</c:v>
                </c:pt>
                <c:pt idx="129">
                  <c:v>10470</c:v>
                </c:pt>
                <c:pt idx="130">
                  <c:v>10470</c:v>
                </c:pt>
                <c:pt idx="131">
                  <c:v>10470</c:v>
                </c:pt>
                <c:pt idx="132">
                  <c:v>10510</c:v>
                </c:pt>
                <c:pt idx="133">
                  <c:v>10685</c:v>
                </c:pt>
                <c:pt idx="134">
                  <c:v>10751</c:v>
                </c:pt>
                <c:pt idx="135">
                  <c:v>10751</c:v>
                </c:pt>
                <c:pt idx="136">
                  <c:v>10871</c:v>
                </c:pt>
                <c:pt idx="137">
                  <c:v>10866</c:v>
                </c:pt>
                <c:pt idx="138">
                  <c:v>10646</c:v>
                </c:pt>
                <c:pt idx="139">
                  <c:v>10646</c:v>
                </c:pt>
                <c:pt idx="140">
                  <c:v>10659</c:v>
                </c:pt>
                <c:pt idx="141">
                  <c:v>10672</c:v>
                </c:pt>
                <c:pt idx="142">
                  <c:v>10687</c:v>
                </c:pt>
                <c:pt idx="143">
                  <c:v>10994</c:v>
                </c:pt>
                <c:pt idx="144">
                  <c:v>11001</c:v>
                </c:pt>
                <c:pt idx="145">
                  <c:v>11169</c:v>
                </c:pt>
                <c:pt idx="146">
                  <c:v>11322</c:v>
                </c:pt>
                <c:pt idx="147">
                  <c:v>11507</c:v>
                </c:pt>
                <c:pt idx="148">
                  <c:v>11517</c:v>
                </c:pt>
                <c:pt idx="149">
                  <c:v>11521</c:v>
                </c:pt>
                <c:pt idx="150">
                  <c:v>11546</c:v>
                </c:pt>
                <c:pt idx="151">
                  <c:v>11566</c:v>
                </c:pt>
                <c:pt idx="152">
                  <c:v>11659</c:v>
                </c:pt>
                <c:pt idx="153">
                  <c:v>11771</c:v>
                </c:pt>
                <c:pt idx="154">
                  <c:v>11936</c:v>
                </c:pt>
                <c:pt idx="155">
                  <c:v>11839</c:v>
                </c:pt>
                <c:pt idx="156">
                  <c:v>11879</c:v>
                </c:pt>
                <c:pt idx="157">
                  <c:v>12049</c:v>
                </c:pt>
                <c:pt idx="158">
                  <c:v>12024</c:v>
                </c:pt>
                <c:pt idx="159">
                  <c:v>12059</c:v>
                </c:pt>
                <c:pt idx="160">
                  <c:v>12099</c:v>
                </c:pt>
                <c:pt idx="161">
                  <c:v>12376</c:v>
                </c:pt>
                <c:pt idx="162">
                  <c:v>12429</c:v>
                </c:pt>
                <c:pt idx="163">
                  <c:v>12429</c:v>
                </c:pt>
                <c:pt idx="164">
                  <c:v>12429</c:v>
                </c:pt>
                <c:pt idx="165">
                  <c:v>12429</c:v>
                </c:pt>
                <c:pt idx="166">
                  <c:v>12564</c:v>
                </c:pt>
                <c:pt idx="167">
                  <c:v>12564</c:v>
                </c:pt>
                <c:pt idx="168">
                  <c:v>12594</c:v>
                </c:pt>
                <c:pt idx="169">
                  <c:v>12599</c:v>
                </c:pt>
                <c:pt idx="170">
                  <c:v>12694</c:v>
                </c:pt>
                <c:pt idx="171">
                  <c:v>12765</c:v>
                </c:pt>
                <c:pt idx="172">
                  <c:v>12790</c:v>
                </c:pt>
                <c:pt idx="173">
                  <c:v>12820</c:v>
                </c:pt>
                <c:pt idx="174">
                  <c:v>12820</c:v>
                </c:pt>
                <c:pt idx="175">
                  <c:v>12850</c:v>
                </c:pt>
                <c:pt idx="176">
                  <c:v>12955</c:v>
                </c:pt>
                <c:pt idx="177">
                  <c:v>13045</c:v>
                </c:pt>
                <c:pt idx="178">
                  <c:v>13105</c:v>
                </c:pt>
                <c:pt idx="179">
                  <c:v>13155</c:v>
                </c:pt>
                <c:pt idx="180">
                  <c:v>13169</c:v>
                </c:pt>
                <c:pt idx="181">
                  <c:v>13289</c:v>
                </c:pt>
                <c:pt idx="182">
                  <c:v>13947</c:v>
                </c:pt>
                <c:pt idx="183">
                  <c:v>13937</c:v>
                </c:pt>
                <c:pt idx="184">
                  <c:v>13937</c:v>
                </c:pt>
                <c:pt idx="185">
                  <c:v>13937</c:v>
                </c:pt>
                <c:pt idx="186">
                  <c:v>12174</c:v>
                </c:pt>
                <c:pt idx="187">
                  <c:v>12292</c:v>
                </c:pt>
                <c:pt idx="188">
                  <c:v>12405</c:v>
                </c:pt>
                <c:pt idx="189">
                  <c:v>12369</c:v>
                </c:pt>
                <c:pt idx="190">
                  <c:v>12359</c:v>
                </c:pt>
                <c:pt idx="191">
                  <c:v>12362</c:v>
                </c:pt>
                <c:pt idx="192">
                  <c:v>12372</c:v>
                </c:pt>
                <c:pt idx="193">
                  <c:v>12627</c:v>
                </c:pt>
                <c:pt idx="194">
                  <c:v>12647</c:v>
                </c:pt>
                <c:pt idx="195">
                  <c:v>12774</c:v>
                </c:pt>
                <c:pt idx="196">
                  <c:v>12839</c:v>
                </c:pt>
                <c:pt idx="197">
                  <c:v>12889</c:v>
                </c:pt>
                <c:pt idx="198">
                  <c:v>12894</c:v>
                </c:pt>
                <c:pt idx="199">
                  <c:v>13129</c:v>
                </c:pt>
                <c:pt idx="200">
                  <c:v>13077</c:v>
                </c:pt>
                <c:pt idx="201">
                  <c:v>13248</c:v>
                </c:pt>
                <c:pt idx="202">
                  <c:v>13293</c:v>
                </c:pt>
                <c:pt idx="203">
                  <c:v>13683</c:v>
                </c:pt>
                <c:pt idx="204">
                  <c:v>13803</c:v>
                </c:pt>
                <c:pt idx="205">
                  <c:v>13808</c:v>
                </c:pt>
                <c:pt idx="206">
                  <c:v>14050</c:v>
                </c:pt>
                <c:pt idx="207">
                  <c:v>14255</c:v>
                </c:pt>
                <c:pt idx="208">
                  <c:v>14535</c:v>
                </c:pt>
                <c:pt idx="209">
                  <c:v>14535</c:v>
                </c:pt>
                <c:pt idx="210">
                  <c:v>14630</c:v>
                </c:pt>
                <c:pt idx="211">
                  <c:v>14930</c:v>
                </c:pt>
                <c:pt idx="212">
                  <c:v>15165</c:v>
                </c:pt>
                <c:pt idx="213">
                  <c:v>15165</c:v>
                </c:pt>
                <c:pt idx="214">
                  <c:v>15287</c:v>
                </c:pt>
                <c:pt idx="215">
                  <c:v>15707</c:v>
                </c:pt>
                <c:pt idx="216">
                  <c:v>15707</c:v>
                </c:pt>
                <c:pt idx="217">
                  <c:v>15932</c:v>
                </c:pt>
                <c:pt idx="218">
                  <c:v>15922</c:v>
                </c:pt>
                <c:pt idx="219">
                  <c:v>16242</c:v>
                </c:pt>
                <c:pt idx="220">
                  <c:v>16242</c:v>
                </c:pt>
                <c:pt idx="221">
                  <c:v>16282</c:v>
                </c:pt>
                <c:pt idx="222">
                  <c:v>16287</c:v>
                </c:pt>
                <c:pt idx="223">
                  <c:v>16302</c:v>
                </c:pt>
                <c:pt idx="224">
                  <c:v>16292</c:v>
                </c:pt>
                <c:pt idx="225">
                  <c:v>16367</c:v>
                </c:pt>
                <c:pt idx="226">
                  <c:v>16609</c:v>
                </c:pt>
                <c:pt idx="227">
                  <c:v>16391</c:v>
                </c:pt>
                <c:pt idx="228">
                  <c:v>16399</c:v>
                </c:pt>
                <c:pt idx="229">
                  <c:v>16362</c:v>
                </c:pt>
                <c:pt idx="230">
                  <c:v>16381</c:v>
                </c:pt>
                <c:pt idx="231">
                  <c:v>16461</c:v>
                </c:pt>
                <c:pt idx="232">
                  <c:v>16446</c:v>
                </c:pt>
                <c:pt idx="233">
                  <c:v>16446</c:v>
                </c:pt>
                <c:pt idx="234">
                  <c:v>16706</c:v>
                </c:pt>
                <c:pt idx="235">
                  <c:v>16821</c:v>
                </c:pt>
                <c:pt idx="236">
                  <c:v>16901</c:v>
                </c:pt>
                <c:pt idx="237">
                  <c:v>16901</c:v>
                </c:pt>
                <c:pt idx="238">
                  <c:v>16833</c:v>
                </c:pt>
                <c:pt idx="239">
                  <c:v>16862</c:v>
                </c:pt>
                <c:pt idx="240">
                  <c:v>16862</c:v>
                </c:pt>
                <c:pt idx="241">
                  <c:v>16766</c:v>
                </c:pt>
                <c:pt idx="242">
                  <c:v>16806</c:v>
                </c:pt>
                <c:pt idx="243">
                  <c:v>16806</c:v>
                </c:pt>
                <c:pt idx="244">
                  <c:v>16826</c:v>
                </c:pt>
              </c:numCache>
            </c:numRef>
          </c:val>
        </c:ser>
        <c:marker val="1"/>
        <c:axId val="136433664"/>
        <c:axId val="136435200"/>
      </c:lineChart>
      <c:catAx>
        <c:axId val="136413952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15488"/>
        <c:crosses val="autoZero"/>
        <c:lblAlgn val="ctr"/>
        <c:lblOffset val="100"/>
        <c:tickLblSkip val="10"/>
        <c:tickMarkSkip val="1"/>
      </c:catAx>
      <c:valAx>
        <c:axId val="136415488"/>
        <c:scaling>
          <c:orientation val="minMax"/>
          <c:max val="2800"/>
          <c:min val="0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13952"/>
        <c:crosses val="autoZero"/>
        <c:crossBetween val="between"/>
        <c:majorUnit val="200"/>
        <c:minorUnit val="200"/>
      </c:valAx>
      <c:catAx>
        <c:axId val="136433664"/>
        <c:scaling>
          <c:orientation val="minMax"/>
        </c:scaling>
        <c:delete val="1"/>
        <c:axPos val="b"/>
        <c:numFmt formatCode="General" sourceLinked="1"/>
        <c:tickLblPos val="nextTo"/>
        <c:crossAx val="136435200"/>
        <c:crosses val="autoZero"/>
        <c:lblAlgn val="ctr"/>
        <c:lblOffset val="100"/>
      </c:catAx>
      <c:valAx>
        <c:axId val="136435200"/>
        <c:scaling>
          <c:orientation val="minMax"/>
          <c:max val="18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433664"/>
        <c:crosses val="max"/>
        <c:crossBetween val="between"/>
        <c:majorUnit val="2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[4]FMG5!$N$2</c:f>
              <c:strCache>
                <c:ptCount val="1"/>
                <c:pt idx="0">
                  <c:v>Volume 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[4]FMG5!$A$3:$A$54</c:f>
              <c:numCache>
                <c:formatCode>General</c:formatCode>
                <c:ptCount val="52"/>
                <c:pt idx="0">
                  <c:v>37344</c:v>
                </c:pt>
                <c:pt idx="1">
                  <c:v>37347</c:v>
                </c:pt>
                <c:pt idx="2">
                  <c:v>37348</c:v>
                </c:pt>
                <c:pt idx="3">
                  <c:v>37349</c:v>
                </c:pt>
                <c:pt idx="4">
                  <c:v>37350</c:v>
                </c:pt>
                <c:pt idx="5">
                  <c:v>37351</c:v>
                </c:pt>
                <c:pt idx="6">
                  <c:v>37354</c:v>
                </c:pt>
                <c:pt idx="7">
                  <c:v>37355</c:v>
                </c:pt>
                <c:pt idx="8">
                  <c:v>37356</c:v>
                </c:pt>
                <c:pt idx="9">
                  <c:v>37357</c:v>
                </c:pt>
                <c:pt idx="10">
                  <c:v>37358</c:v>
                </c:pt>
                <c:pt idx="11">
                  <c:v>37361</c:v>
                </c:pt>
                <c:pt idx="12">
                  <c:v>37362</c:v>
                </c:pt>
                <c:pt idx="13">
                  <c:v>37363</c:v>
                </c:pt>
                <c:pt idx="14">
                  <c:v>37364</c:v>
                </c:pt>
                <c:pt idx="15">
                  <c:v>37365</c:v>
                </c:pt>
                <c:pt idx="16">
                  <c:v>37368</c:v>
                </c:pt>
                <c:pt idx="17">
                  <c:v>37369</c:v>
                </c:pt>
                <c:pt idx="18">
                  <c:v>37370</c:v>
                </c:pt>
                <c:pt idx="19">
                  <c:v>37372</c:v>
                </c:pt>
                <c:pt idx="20">
                  <c:v>37375</c:v>
                </c:pt>
                <c:pt idx="21">
                  <c:v>37376</c:v>
                </c:pt>
                <c:pt idx="22">
                  <c:v>37378</c:v>
                </c:pt>
                <c:pt idx="23">
                  <c:v>37379</c:v>
                </c:pt>
                <c:pt idx="24">
                  <c:v>37382</c:v>
                </c:pt>
                <c:pt idx="25">
                  <c:v>37383</c:v>
                </c:pt>
                <c:pt idx="26">
                  <c:v>37384</c:v>
                </c:pt>
                <c:pt idx="27">
                  <c:v>37385</c:v>
                </c:pt>
                <c:pt idx="28">
                  <c:v>37386</c:v>
                </c:pt>
                <c:pt idx="29">
                  <c:v>37389</c:v>
                </c:pt>
                <c:pt idx="30">
                  <c:v>37390</c:v>
                </c:pt>
                <c:pt idx="31">
                  <c:v>37391</c:v>
                </c:pt>
                <c:pt idx="32">
                  <c:v>37392</c:v>
                </c:pt>
                <c:pt idx="33">
                  <c:v>37393</c:v>
                </c:pt>
                <c:pt idx="34">
                  <c:v>37396</c:v>
                </c:pt>
                <c:pt idx="35">
                  <c:v>37397</c:v>
                </c:pt>
                <c:pt idx="36">
                  <c:v>37398</c:v>
                </c:pt>
                <c:pt idx="37">
                  <c:v>37399</c:v>
                </c:pt>
                <c:pt idx="38">
                  <c:v>37400</c:v>
                </c:pt>
                <c:pt idx="39">
                  <c:v>37404</c:v>
                </c:pt>
                <c:pt idx="40">
                  <c:v>37405</c:v>
                </c:pt>
                <c:pt idx="41">
                  <c:v>37406</c:v>
                </c:pt>
                <c:pt idx="42">
                  <c:v>37407</c:v>
                </c:pt>
                <c:pt idx="43">
                  <c:v>37410</c:v>
                </c:pt>
                <c:pt idx="44">
                  <c:v>37411</c:v>
                </c:pt>
                <c:pt idx="45">
                  <c:v>37412</c:v>
                </c:pt>
                <c:pt idx="46">
                  <c:v>37413</c:v>
                </c:pt>
                <c:pt idx="47">
                  <c:v>37414</c:v>
                </c:pt>
                <c:pt idx="48">
                  <c:v>37417</c:v>
                </c:pt>
                <c:pt idx="49">
                  <c:v>37418</c:v>
                </c:pt>
                <c:pt idx="50">
                  <c:v>37419</c:v>
                </c:pt>
                <c:pt idx="51">
                  <c:v>37420</c:v>
                </c:pt>
              </c:numCache>
            </c:numRef>
          </c:cat>
          <c:val>
            <c:numRef>
              <c:f>[4]FMG5!$N$3:$N$54</c:f>
              <c:numCache>
                <c:formatCode>General</c:formatCode>
                <c:ptCount val="52"/>
                <c:pt idx="0">
                  <c:v>686</c:v>
                </c:pt>
                <c:pt idx="1">
                  <c:v>521</c:v>
                </c:pt>
                <c:pt idx="2">
                  <c:v>375</c:v>
                </c:pt>
                <c:pt idx="3">
                  <c:v>166</c:v>
                </c:pt>
                <c:pt idx="4">
                  <c:v>540</c:v>
                </c:pt>
                <c:pt idx="5">
                  <c:v>1269</c:v>
                </c:pt>
                <c:pt idx="6">
                  <c:v>773</c:v>
                </c:pt>
                <c:pt idx="7">
                  <c:v>449</c:v>
                </c:pt>
                <c:pt idx="8">
                  <c:v>440</c:v>
                </c:pt>
                <c:pt idx="9">
                  <c:v>754</c:v>
                </c:pt>
                <c:pt idx="10">
                  <c:v>124</c:v>
                </c:pt>
                <c:pt idx="11">
                  <c:v>371</c:v>
                </c:pt>
                <c:pt idx="12">
                  <c:v>546</c:v>
                </c:pt>
                <c:pt idx="13">
                  <c:v>963</c:v>
                </c:pt>
                <c:pt idx="14">
                  <c:v>300</c:v>
                </c:pt>
                <c:pt idx="15">
                  <c:v>170</c:v>
                </c:pt>
                <c:pt idx="16">
                  <c:v>15</c:v>
                </c:pt>
                <c:pt idx="17">
                  <c:v>60</c:v>
                </c:pt>
                <c:pt idx="18">
                  <c:v>10</c:v>
                </c:pt>
                <c:pt idx="19">
                  <c:v>100</c:v>
                </c:pt>
                <c:pt idx="20">
                  <c:v>80</c:v>
                </c:pt>
                <c:pt idx="21">
                  <c:v>120</c:v>
                </c:pt>
                <c:pt idx="22">
                  <c:v>635</c:v>
                </c:pt>
                <c:pt idx="23">
                  <c:v>0</c:v>
                </c:pt>
                <c:pt idx="24">
                  <c:v>63</c:v>
                </c:pt>
                <c:pt idx="25">
                  <c:v>489</c:v>
                </c:pt>
                <c:pt idx="26">
                  <c:v>760</c:v>
                </c:pt>
                <c:pt idx="27">
                  <c:v>170</c:v>
                </c:pt>
                <c:pt idx="28">
                  <c:v>807</c:v>
                </c:pt>
                <c:pt idx="29">
                  <c:v>770</c:v>
                </c:pt>
                <c:pt idx="30">
                  <c:v>420</c:v>
                </c:pt>
                <c:pt idx="31">
                  <c:v>365</c:v>
                </c:pt>
                <c:pt idx="32">
                  <c:v>705</c:v>
                </c:pt>
                <c:pt idx="33">
                  <c:v>690</c:v>
                </c:pt>
                <c:pt idx="34">
                  <c:v>110</c:v>
                </c:pt>
                <c:pt idx="35">
                  <c:v>125</c:v>
                </c:pt>
                <c:pt idx="36">
                  <c:v>170</c:v>
                </c:pt>
                <c:pt idx="37">
                  <c:v>330</c:v>
                </c:pt>
                <c:pt idx="38">
                  <c:v>310</c:v>
                </c:pt>
                <c:pt idx="39">
                  <c:v>175</c:v>
                </c:pt>
                <c:pt idx="40">
                  <c:v>386</c:v>
                </c:pt>
                <c:pt idx="41">
                  <c:v>0</c:v>
                </c:pt>
                <c:pt idx="42">
                  <c:v>15</c:v>
                </c:pt>
                <c:pt idx="43">
                  <c:v>0</c:v>
                </c:pt>
                <c:pt idx="44">
                  <c:v>490</c:v>
                </c:pt>
                <c:pt idx="45">
                  <c:v>220</c:v>
                </c:pt>
                <c:pt idx="46">
                  <c:v>170</c:v>
                </c:pt>
                <c:pt idx="47">
                  <c:v>611</c:v>
                </c:pt>
                <c:pt idx="48">
                  <c:v>205</c:v>
                </c:pt>
                <c:pt idx="49">
                  <c:v>130</c:v>
                </c:pt>
                <c:pt idx="50">
                  <c:v>119</c:v>
                </c:pt>
                <c:pt idx="51">
                  <c:v>82</c:v>
                </c:pt>
              </c:numCache>
            </c:numRef>
          </c:val>
        </c:ser>
        <c:gapWidth val="0"/>
        <c:axId val="136518656"/>
        <c:axId val="136524544"/>
      </c:barChart>
      <c:lineChart>
        <c:grouping val="standard"/>
        <c:ser>
          <c:idx val="3"/>
          <c:order val="1"/>
          <c:tx>
            <c:strRef>
              <c:f>[4]FMG5!$O$2</c:f>
              <c:strCache>
                <c:ptCount val="1"/>
                <c:pt idx="0">
                  <c:v>Open Position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[4]FMG5!$A$3:$A$54</c:f>
              <c:numCache>
                <c:formatCode>General</c:formatCode>
                <c:ptCount val="52"/>
                <c:pt idx="0">
                  <c:v>37344</c:v>
                </c:pt>
                <c:pt idx="1">
                  <c:v>37347</c:v>
                </c:pt>
                <c:pt idx="2">
                  <c:v>37348</c:v>
                </c:pt>
                <c:pt idx="3">
                  <c:v>37349</c:v>
                </c:pt>
                <c:pt idx="4">
                  <c:v>37350</c:v>
                </c:pt>
                <c:pt idx="5">
                  <c:v>37351</c:v>
                </c:pt>
                <c:pt idx="6">
                  <c:v>37354</c:v>
                </c:pt>
                <c:pt idx="7">
                  <c:v>37355</c:v>
                </c:pt>
                <c:pt idx="8">
                  <c:v>37356</c:v>
                </c:pt>
                <c:pt idx="9">
                  <c:v>37357</c:v>
                </c:pt>
                <c:pt idx="10">
                  <c:v>37358</c:v>
                </c:pt>
                <c:pt idx="11">
                  <c:v>37361</c:v>
                </c:pt>
                <c:pt idx="12">
                  <c:v>37362</c:v>
                </c:pt>
                <c:pt idx="13">
                  <c:v>37363</c:v>
                </c:pt>
                <c:pt idx="14">
                  <c:v>37364</c:v>
                </c:pt>
                <c:pt idx="15">
                  <c:v>37365</c:v>
                </c:pt>
                <c:pt idx="16">
                  <c:v>37368</c:v>
                </c:pt>
                <c:pt idx="17">
                  <c:v>37369</c:v>
                </c:pt>
                <c:pt idx="18">
                  <c:v>37370</c:v>
                </c:pt>
                <c:pt idx="19">
                  <c:v>37372</c:v>
                </c:pt>
                <c:pt idx="20">
                  <c:v>37375</c:v>
                </c:pt>
                <c:pt idx="21">
                  <c:v>37376</c:v>
                </c:pt>
                <c:pt idx="22">
                  <c:v>37378</c:v>
                </c:pt>
                <c:pt idx="23">
                  <c:v>37379</c:v>
                </c:pt>
                <c:pt idx="24">
                  <c:v>37382</c:v>
                </c:pt>
                <c:pt idx="25">
                  <c:v>37383</c:v>
                </c:pt>
                <c:pt idx="26">
                  <c:v>37384</c:v>
                </c:pt>
                <c:pt idx="27">
                  <c:v>37385</c:v>
                </c:pt>
                <c:pt idx="28">
                  <c:v>37386</c:v>
                </c:pt>
                <c:pt idx="29">
                  <c:v>37389</c:v>
                </c:pt>
                <c:pt idx="30">
                  <c:v>37390</c:v>
                </c:pt>
                <c:pt idx="31">
                  <c:v>37391</c:v>
                </c:pt>
                <c:pt idx="32">
                  <c:v>37392</c:v>
                </c:pt>
                <c:pt idx="33">
                  <c:v>37393</c:v>
                </c:pt>
                <c:pt idx="34">
                  <c:v>37396</c:v>
                </c:pt>
                <c:pt idx="35">
                  <c:v>37397</c:v>
                </c:pt>
                <c:pt idx="36">
                  <c:v>37398</c:v>
                </c:pt>
                <c:pt idx="37">
                  <c:v>37399</c:v>
                </c:pt>
                <c:pt idx="38">
                  <c:v>37400</c:v>
                </c:pt>
                <c:pt idx="39">
                  <c:v>37404</c:v>
                </c:pt>
                <c:pt idx="40">
                  <c:v>37405</c:v>
                </c:pt>
                <c:pt idx="41">
                  <c:v>37406</c:v>
                </c:pt>
                <c:pt idx="42">
                  <c:v>37407</c:v>
                </c:pt>
                <c:pt idx="43">
                  <c:v>37410</c:v>
                </c:pt>
                <c:pt idx="44">
                  <c:v>37411</c:v>
                </c:pt>
                <c:pt idx="45">
                  <c:v>37412</c:v>
                </c:pt>
                <c:pt idx="46">
                  <c:v>37413</c:v>
                </c:pt>
                <c:pt idx="47">
                  <c:v>37414</c:v>
                </c:pt>
                <c:pt idx="48">
                  <c:v>37417</c:v>
                </c:pt>
                <c:pt idx="49">
                  <c:v>37418</c:v>
                </c:pt>
                <c:pt idx="50">
                  <c:v>37419</c:v>
                </c:pt>
                <c:pt idx="51">
                  <c:v>37420</c:v>
                </c:pt>
              </c:numCache>
            </c:numRef>
          </c:cat>
          <c:val>
            <c:numRef>
              <c:f>[4]FMG5!$O$3:$O$54</c:f>
              <c:numCache>
                <c:formatCode>General</c:formatCode>
                <c:ptCount val="52"/>
                <c:pt idx="0">
                  <c:v>436</c:v>
                </c:pt>
                <c:pt idx="1">
                  <c:v>622</c:v>
                </c:pt>
                <c:pt idx="2">
                  <c:v>700</c:v>
                </c:pt>
                <c:pt idx="3">
                  <c:v>749</c:v>
                </c:pt>
                <c:pt idx="4">
                  <c:v>997</c:v>
                </c:pt>
                <c:pt idx="5">
                  <c:v>1373</c:v>
                </c:pt>
                <c:pt idx="6">
                  <c:v>1461</c:v>
                </c:pt>
                <c:pt idx="7">
                  <c:v>1639</c:v>
                </c:pt>
                <c:pt idx="8">
                  <c:v>1729</c:v>
                </c:pt>
                <c:pt idx="9">
                  <c:v>2066</c:v>
                </c:pt>
                <c:pt idx="10">
                  <c:v>2076</c:v>
                </c:pt>
                <c:pt idx="11">
                  <c:v>1939</c:v>
                </c:pt>
                <c:pt idx="12">
                  <c:v>1979</c:v>
                </c:pt>
                <c:pt idx="13">
                  <c:v>2484</c:v>
                </c:pt>
                <c:pt idx="14">
                  <c:v>2138</c:v>
                </c:pt>
                <c:pt idx="15">
                  <c:v>2138</c:v>
                </c:pt>
                <c:pt idx="16">
                  <c:v>2153</c:v>
                </c:pt>
                <c:pt idx="17">
                  <c:v>2213</c:v>
                </c:pt>
                <c:pt idx="18">
                  <c:v>2213</c:v>
                </c:pt>
                <c:pt idx="19">
                  <c:v>2173</c:v>
                </c:pt>
                <c:pt idx="20">
                  <c:v>2193</c:v>
                </c:pt>
                <c:pt idx="21">
                  <c:v>2193</c:v>
                </c:pt>
                <c:pt idx="22">
                  <c:v>2200</c:v>
                </c:pt>
                <c:pt idx="23">
                  <c:v>2200</c:v>
                </c:pt>
                <c:pt idx="24">
                  <c:v>2210</c:v>
                </c:pt>
                <c:pt idx="25">
                  <c:v>2479</c:v>
                </c:pt>
                <c:pt idx="26">
                  <c:v>2680</c:v>
                </c:pt>
                <c:pt idx="27">
                  <c:v>2660</c:v>
                </c:pt>
                <c:pt idx="28">
                  <c:v>2330</c:v>
                </c:pt>
                <c:pt idx="29">
                  <c:v>2405</c:v>
                </c:pt>
                <c:pt idx="30">
                  <c:v>2400</c:v>
                </c:pt>
                <c:pt idx="31">
                  <c:v>2505</c:v>
                </c:pt>
                <c:pt idx="32">
                  <c:v>2384</c:v>
                </c:pt>
                <c:pt idx="33">
                  <c:v>2299</c:v>
                </c:pt>
                <c:pt idx="34">
                  <c:v>2224</c:v>
                </c:pt>
                <c:pt idx="35">
                  <c:v>2244</c:v>
                </c:pt>
                <c:pt idx="36">
                  <c:v>2234</c:v>
                </c:pt>
                <c:pt idx="37">
                  <c:v>2274</c:v>
                </c:pt>
                <c:pt idx="38">
                  <c:v>2169</c:v>
                </c:pt>
                <c:pt idx="39">
                  <c:v>2214</c:v>
                </c:pt>
                <c:pt idx="40">
                  <c:v>2336</c:v>
                </c:pt>
                <c:pt idx="41">
                  <c:v>2336</c:v>
                </c:pt>
                <c:pt idx="42">
                  <c:v>2331</c:v>
                </c:pt>
                <c:pt idx="43">
                  <c:v>2331</c:v>
                </c:pt>
                <c:pt idx="44">
                  <c:v>2396</c:v>
                </c:pt>
                <c:pt idx="45">
                  <c:v>2266</c:v>
                </c:pt>
                <c:pt idx="46">
                  <c:v>2306</c:v>
                </c:pt>
                <c:pt idx="47">
                  <c:v>2356</c:v>
                </c:pt>
                <c:pt idx="48">
                  <c:v>2376</c:v>
                </c:pt>
                <c:pt idx="49">
                  <c:v>2506</c:v>
                </c:pt>
                <c:pt idx="50">
                  <c:v>2501</c:v>
                </c:pt>
                <c:pt idx="51">
                  <c:v>2541</c:v>
                </c:pt>
              </c:numCache>
            </c:numRef>
          </c:val>
        </c:ser>
        <c:marker val="1"/>
        <c:axId val="136526080"/>
        <c:axId val="136531968"/>
      </c:lineChart>
      <c:catAx>
        <c:axId val="136518656"/>
        <c:scaling>
          <c:orientation val="minMax"/>
        </c:scaling>
        <c:axPos val="b"/>
        <c:numFmt formatCode="mm/dd/yy" sourceLinked="0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24544"/>
        <c:crosses val="autoZero"/>
        <c:lblAlgn val="ctr"/>
        <c:lblOffset val="100"/>
        <c:tickLblSkip val="2"/>
        <c:tickMarkSkip val="1"/>
      </c:catAx>
      <c:valAx>
        <c:axId val="136524544"/>
        <c:scaling>
          <c:orientation val="minMax"/>
          <c:max val="1600"/>
          <c:min val="0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18656"/>
        <c:crosses val="autoZero"/>
        <c:crossBetween val="between"/>
        <c:majorUnit val="200"/>
        <c:minorUnit val="100"/>
      </c:valAx>
      <c:catAx>
        <c:axId val="136526080"/>
        <c:scaling>
          <c:orientation val="minMax"/>
        </c:scaling>
        <c:delete val="1"/>
        <c:axPos val="b"/>
        <c:numFmt formatCode="General" sourceLinked="1"/>
        <c:tickLblPos val="nextTo"/>
        <c:crossAx val="136531968"/>
        <c:crosses val="autoZero"/>
        <c:lblAlgn val="ctr"/>
        <c:lblOffset val="100"/>
      </c:catAx>
      <c:valAx>
        <c:axId val="136531968"/>
        <c:scaling>
          <c:orientation val="minMax"/>
          <c:max val="3000"/>
          <c:min val="0"/>
        </c:scaling>
        <c:axPos val="r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26080"/>
        <c:crosses val="max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FMG5 1st Quarterly Contract Month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2"/>
          <c:order val="0"/>
          <c:tx>
            <c:strRef>
              <c:f>[4]FMG5!$B$2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[4]FMG5!$A$3:$A$54</c:f>
              <c:numCache>
                <c:formatCode>General</c:formatCode>
                <c:ptCount val="52"/>
                <c:pt idx="0">
                  <c:v>37344</c:v>
                </c:pt>
                <c:pt idx="1">
                  <c:v>37347</c:v>
                </c:pt>
                <c:pt idx="2">
                  <c:v>37348</c:v>
                </c:pt>
                <c:pt idx="3">
                  <c:v>37349</c:v>
                </c:pt>
                <c:pt idx="4">
                  <c:v>37350</c:v>
                </c:pt>
                <c:pt idx="5">
                  <c:v>37351</c:v>
                </c:pt>
                <c:pt idx="6">
                  <c:v>37354</c:v>
                </c:pt>
                <c:pt idx="7">
                  <c:v>37355</c:v>
                </c:pt>
                <c:pt idx="8">
                  <c:v>37356</c:v>
                </c:pt>
                <c:pt idx="9">
                  <c:v>37357</c:v>
                </c:pt>
                <c:pt idx="10">
                  <c:v>37358</c:v>
                </c:pt>
                <c:pt idx="11">
                  <c:v>37361</c:v>
                </c:pt>
                <c:pt idx="12">
                  <c:v>37362</c:v>
                </c:pt>
                <c:pt idx="13">
                  <c:v>37363</c:v>
                </c:pt>
                <c:pt idx="14">
                  <c:v>37364</c:v>
                </c:pt>
                <c:pt idx="15">
                  <c:v>37365</c:v>
                </c:pt>
                <c:pt idx="16">
                  <c:v>37368</c:v>
                </c:pt>
                <c:pt idx="17">
                  <c:v>37369</c:v>
                </c:pt>
                <c:pt idx="18">
                  <c:v>37370</c:v>
                </c:pt>
                <c:pt idx="19">
                  <c:v>37372</c:v>
                </c:pt>
                <c:pt idx="20">
                  <c:v>37375</c:v>
                </c:pt>
                <c:pt idx="21">
                  <c:v>37376</c:v>
                </c:pt>
                <c:pt idx="22">
                  <c:v>37378</c:v>
                </c:pt>
                <c:pt idx="23">
                  <c:v>37379</c:v>
                </c:pt>
                <c:pt idx="24">
                  <c:v>37382</c:v>
                </c:pt>
                <c:pt idx="25">
                  <c:v>37383</c:v>
                </c:pt>
                <c:pt idx="26">
                  <c:v>37384</c:v>
                </c:pt>
                <c:pt idx="27">
                  <c:v>37385</c:v>
                </c:pt>
                <c:pt idx="28">
                  <c:v>37386</c:v>
                </c:pt>
                <c:pt idx="29">
                  <c:v>37389</c:v>
                </c:pt>
                <c:pt idx="30">
                  <c:v>37390</c:v>
                </c:pt>
                <c:pt idx="31">
                  <c:v>37391</c:v>
                </c:pt>
                <c:pt idx="32">
                  <c:v>37392</c:v>
                </c:pt>
                <c:pt idx="33">
                  <c:v>37393</c:v>
                </c:pt>
                <c:pt idx="34">
                  <c:v>37396</c:v>
                </c:pt>
                <c:pt idx="35">
                  <c:v>37397</c:v>
                </c:pt>
                <c:pt idx="36">
                  <c:v>37398</c:v>
                </c:pt>
                <c:pt idx="37">
                  <c:v>37399</c:v>
                </c:pt>
                <c:pt idx="38">
                  <c:v>37400</c:v>
                </c:pt>
                <c:pt idx="39">
                  <c:v>37404</c:v>
                </c:pt>
                <c:pt idx="40">
                  <c:v>37405</c:v>
                </c:pt>
                <c:pt idx="41">
                  <c:v>37406</c:v>
                </c:pt>
                <c:pt idx="42">
                  <c:v>37407</c:v>
                </c:pt>
                <c:pt idx="43">
                  <c:v>37410</c:v>
                </c:pt>
                <c:pt idx="44">
                  <c:v>37411</c:v>
                </c:pt>
                <c:pt idx="45">
                  <c:v>37412</c:v>
                </c:pt>
                <c:pt idx="46">
                  <c:v>37413</c:v>
                </c:pt>
                <c:pt idx="47">
                  <c:v>37414</c:v>
                </c:pt>
                <c:pt idx="48">
                  <c:v>37417</c:v>
                </c:pt>
                <c:pt idx="49">
                  <c:v>37418</c:v>
                </c:pt>
                <c:pt idx="50">
                  <c:v>37419</c:v>
                </c:pt>
                <c:pt idx="51">
                  <c:v>37420</c:v>
                </c:pt>
              </c:numCache>
            </c:numRef>
          </c:cat>
          <c:val>
            <c:numRef>
              <c:f>[4]FMG5!$B$3:$B$54</c:f>
              <c:numCache>
                <c:formatCode>General</c:formatCode>
                <c:ptCount val="52"/>
                <c:pt idx="0">
                  <c:v>108.85</c:v>
                </c:pt>
                <c:pt idx="1">
                  <c:v>108.7</c:v>
                </c:pt>
                <c:pt idx="2">
                  <c:v>108.57</c:v>
                </c:pt>
                <c:pt idx="3">
                  <c:v>108.56</c:v>
                </c:pt>
                <c:pt idx="4">
                  <c:v>108.58</c:v>
                </c:pt>
                <c:pt idx="5">
                  <c:v>108.64</c:v>
                </c:pt>
                <c:pt idx="6">
                  <c:v>108.78</c:v>
                </c:pt>
                <c:pt idx="7">
                  <c:v>108.82</c:v>
                </c:pt>
                <c:pt idx="8">
                  <c:v>108.85</c:v>
                </c:pt>
                <c:pt idx="9">
                  <c:v>108.89</c:v>
                </c:pt>
                <c:pt idx="10">
                  <c:v>108.91</c:v>
                </c:pt>
                <c:pt idx="11">
                  <c:v>108.97</c:v>
                </c:pt>
                <c:pt idx="12">
                  <c:v>108.98</c:v>
                </c:pt>
                <c:pt idx="13">
                  <c:v>108.83</c:v>
                </c:pt>
                <c:pt idx="14">
                  <c:v>108.87</c:v>
                </c:pt>
                <c:pt idx="15">
                  <c:v>108.9</c:v>
                </c:pt>
                <c:pt idx="16">
                  <c:v>108.86</c:v>
                </c:pt>
                <c:pt idx="17">
                  <c:v>108.87</c:v>
                </c:pt>
                <c:pt idx="18">
                  <c:v>108.88</c:v>
                </c:pt>
                <c:pt idx="19">
                  <c:v>108.92</c:v>
                </c:pt>
                <c:pt idx="20">
                  <c:v>108.93</c:v>
                </c:pt>
                <c:pt idx="21">
                  <c:v>108.96</c:v>
                </c:pt>
                <c:pt idx="22">
                  <c:v>109.12</c:v>
                </c:pt>
                <c:pt idx="23">
                  <c:v>109.12</c:v>
                </c:pt>
                <c:pt idx="24">
                  <c:v>109.21</c:v>
                </c:pt>
                <c:pt idx="25">
                  <c:v>109.26</c:v>
                </c:pt>
                <c:pt idx="26">
                  <c:v>109.4</c:v>
                </c:pt>
                <c:pt idx="27">
                  <c:v>109.39</c:v>
                </c:pt>
                <c:pt idx="28">
                  <c:v>109.6</c:v>
                </c:pt>
                <c:pt idx="29">
                  <c:v>109.63</c:v>
                </c:pt>
                <c:pt idx="30">
                  <c:v>109.8</c:v>
                </c:pt>
                <c:pt idx="31">
                  <c:v>109.85</c:v>
                </c:pt>
                <c:pt idx="32">
                  <c:v>110.08</c:v>
                </c:pt>
                <c:pt idx="33">
                  <c:v>109.98</c:v>
                </c:pt>
                <c:pt idx="34">
                  <c:v>109.96</c:v>
                </c:pt>
                <c:pt idx="35">
                  <c:v>110</c:v>
                </c:pt>
                <c:pt idx="36">
                  <c:v>110.05</c:v>
                </c:pt>
                <c:pt idx="37">
                  <c:v>110.12</c:v>
                </c:pt>
                <c:pt idx="38">
                  <c:v>110.17</c:v>
                </c:pt>
                <c:pt idx="39">
                  <c:v>110.18</c:v>
                </c:pt>
                <c:pt idx="40">
                  <c:v>110.37</c:v>
                </c:pt>
                <c:pt idx="41">
                  <c:v>110.36</c:v>
                </c:pt>
                <c:pt idx="42">
                  <c:v>110.46</c:v>
                </c:pt>
                <c:pt idx="43">
                  <c:v>110.46</c:v>
                </c:pt>
                <c:pt idx="44">
                  <c:v>110.65</c:v>
                </c:pt>
                <c:pt idx="45">
                  <c:v>110.88</c:v>
                </c:pt>
                <c:pt idx="46">
                  <c:v>111.3</c:v>
                </c:pt>
                <c:pt idx="47">
                  <c:v>111.2</c:v>
                </c:pt>
                <c:pt idx="48">
                  <c:v>111.25</c:v>
                </c:pt>
                <c:pt idx="49">
                  <c:v>111.33</c:v>
                </c:pt>
                <c:pt idx="50">
                  <c:v>111.48</c:v>
                </c:pt>
                <c:pt idx="51">
                  <c:v>111.63</c:v>
                </c:pt>
              </c:numCache>
            </c:numRef>
          </c:val>
        </c:ser>
        <c:marker val="1"/>
        <c:axId val="136560000"/>
        <c:axId val="136569984"/>
      </c:lineChart>
      <c:catAx>
        <c:axId val="136560000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69984"/>
        <c:crossesAt val="96"/>
        <c:lblAlgn val="ctr"/>
        <c:lblOffset val="100"/>
        <c:tickLblSkip val="2"/>
        <c:tickMarkSkip val="1"/>
      </c:catAx>
      <c:valAx>
        <c:axId val="136569984"/>
        <c:scaling>
          <c:orientation val="minMax"/>
          <c:max val="112.1"/>
          <c:min val="108.5"/>
        </c:scaling>
        <c:axPos val="l"/>
        <c:numFmt formatCode="#,##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60000"/>
        <c:crosses val="autoZero"/>
        <c:crossBetween val="midCat"/>
        <c:majorUnit val="0.4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Volume and Open Interest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3"/>
          <c:order val="1"/>
          <c:tx>
            <c:strRef>
              <c:f>[2]DATA!$C$3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[2]DATA!$C$489:$C$734</c:f>
              <c:numCache>
                <c:formatCode>General</c:formatCode>
                <c:ptCount val="246"/>
                <c:pt idx="0">
                  <c:v>2747</c:v>
                </c:pt>
                <c:pt idx="1">
                  <c:v>1980</c:v>
                </c:pt>
                <c:pt idx="2">
                  <c:v>3054</c:v>
                </c:pt>
                <c:pt idx="3">
                  <c:v>3972</c:v>
                </c:pt>
                <c:pt idx="4">
                  <c:v>4505</c:v>
                </c:pt>
                <c:pt idx="5">
                  <c:v>1931</c:v>
                </c:pt>
                <c:pt idx="6">
                  <c:v>1832</c:v>
                </c:pt>
                <c:pt idx="7">
                  <c:v>3393</c:v>
                </c:pt>
                <c:pt idx="8">
                  <c:v>3346</c:v>
                </c:pt>
                <c:pt idx="9">
                  <c:v>2291</c:v>
                </c:pt>
                <c:pt idx="10">
                  <c:v>3128</c:v>
                </c:pt>
                <c:pt idx="11">
                  <c:v>3031</c:v>
                </c:pt>
                <c:pt idx="12">
                  <c:v>3905</c:v>
                </c:pt>
                <c:pt idx="13">
                  <c:v>2213</c:v>
                </c:pt>
                <c:pt idx="14">
                  <c:v>1879</c:v>
                </c:pt>
                <c:pt idx="15">
                  <c:v>2358</c:v>
                </c:pt>
                <c:pt idx="16">
                  <c:v>1526</c:v>
                </c:pt>
                <c:pt idx="17">
                  <c:v>647</c:v>
                </c:pt>
                <c:pt idx="18">
                  <c:v>1757</c:v>
                </c:pt>
                <c:pt idx="19">
                  <c:v>1047</c:v>
                </c:pt>
                <c:pt idx="20">
                  <c:v>1030</c:v>
                </c:pt>
                <c:pt idx="21">
                  <c:v>738</c:v>
                </c:pt>
                <c:pt idx="22">
                  <c:v>869</c:v>
                </c:pt>
                <c:pt idx="23">
                  <c:v>1082</c:v>
                </c:pt>
                <c:pt idx="24">
                  <c:v>2688</c:v>
                </c:pt>
                <c:pt idx="25">
                  <c:v>2892</c:v>
                </c:pt>
                <c:pt idx="26">
                  <c:v>2452</c:v>
                </c:pt>
                <c:pt idx="27">
                  <c:v>1669</c:v>
                </c:pt>
                <c:pt idx="28">
                  <c:v>2550</c:v>
                </c:pt>
                <c:pt idx="29">
                  <c:v>3564</c:v>
                </c:pt>
                <c:pt idx="30">
                  <c:v>3382</c:v>
                </c:pt>
                <c:pt idx="31">
                  <c:v>2343</c:v>
                </c:pt>
                <c:pt idx="32">
                  <c:v>3555</c:v>
                </c:pt>
                <c:pt idx="33">
                  <c:v>3037</c:v>
                </c:pt>
                <c:pt idx="34">
                  <c:v>4549</c:v>
                </c:pt>
                <c:pt idx="35">
                  <c:v>5362</c:v>
                </c:pt>
                <c:pt idx="36">
                  <c:v>4571</c:v>
                </c:pt>
                <c:pt idx="37">
                  <c:v>3464</c:v>
                </c:pt>
                <c:pt idx="38">
                  <c:v>5981</c:v>
                </c:pt>
                <c:pt idx="39">
                  <c:v>3429</c:v>
                </c:pt>
                <c:pt idx="40">
                  <c:v>2328</c:v>
                </c:pt>
                <c:pt idx="41">
                  <c:v>3598</c:v>
                </c:pt>
                <c:pt idx="42">
                  <c:v>2946</c:v>
                </c:pt>
                <c:pt idx="43">
                  <c:v>3009</c:v>
                </c:pt>
                <c:pt idx="44">
                  <c:v>3500</c:v>
                </c:pt>
                <c:pt idx="45">
                  <c:v>3046</c:v>
                </c:pt>
                <c:pt idx="46">
                  <c:v>3756</c:v>
                </c:pt>
                <c:pt idx="47">
                  <c:v>2410</c:v>
                </c:pt>
                <c:pt idx="48">
                  <c:v>2172</c:v>
                </c:pt>
                <c:pt idx="49">
                  <c:v>3080</c:v>
                </c:pt>
                <c:pt idx="50">
                  <c:v>3040</c:v>
                </c:pt>
                <c:pt idx="51">
                  <c:v>4497</c:v>
                </c:pt>
                <c:pt idx="52">
                  <c:v>4836</c:v>
                </c:pt>
                <c:pt idx="53">
                  <c:v>5755</c:v>
                </c:pt>
                <c:pt idx="54">
                  <c:v>4660</c:v>
                </c:pt>
                <c:pt idx="55">
                  <c:v>4127</c:v>
                </c:pt>
                <c:pt idx="56">
                  <c:v>3942</c:v>
                </c:pt>
                <c:pt idx="57">
                  <c:v>1571</c:v>
                </c:pt>
                <c:pt idx="58">
                  <c:v>2206</c:v>
                </c:pt>
                <c:pt idx="59">
                  <c:v>2711</c:v>
                </c:pt>
                <c:pt idx="60">
                  <c:v>3275</c:v>
                </c:pt>
                <c:pt idx="61">
                  <c:v>2048</c:v>
                </c:pt>
                <c:pt idx="62">
                  <c:v>1350</c:v>
                </c:pt>
                <c:pt idx="63">
                  <c:v>2837</c:v>
                </c:pt>
                <c:pt idx="64">
                  <c:v>2259</c:v>
                </c:pt>
                <c:pt idx="65">
                  <c:v>1703</c:v>
                </c:pt>
                <c:pt idx="66">
                  <c:v>1847</c:v>
                </c:pt>
                <c:pt idx="67">
                  <c:v>1185</c:v>
                </c:pt>
                <c:pt idx="68">
                  <c:v>1486</c:v>
                </c:pt>
                <c:pt idx="69">
                  <c:v>1731</c:v>
                </c:pt>
                <c:pt idx="70">
                  <c:v>2970</c:v>
                </c:pt>
                <c:pt idx="71">
                  <c:v>2853</c:v>
                </c:pt>
                <c:pt idx="72">
                  <c:v>3861</c:v>
                </c:pt>
                <c:pt idx="73">
                  <c:v>4224</c:v>
                </c:pt>
                <c:pt idx="74">
                  <c:v>4978</c:v>
                </c:pt>
                <c:pt idx="75">
                  <c:v>3580</c:v>
                </c:pt>
                <c:pt idx="76">
                  <c:v>3326</c:v>
                </c:pt>
                <c:pt idx="77">
                  <c:v>2728</c:v>
                </c:pt>
                <c:pt idx="78">
                  <c:v>3263</c:v>
                </c:pt>
                <c:pt idx="79">
                  <c:v>2089</c:v>
                </c:pt>
                <c:pt idx="80">
                  <c:v>2605</c:v>
                </c:pt>
                <c:pt idx="81">
                  <c:v>4380</c:v>
                </c:pt>
                <c:pt idx="82">
                  <c:v>1483</c:v>
                </c:pt>
                <c:pt idx="83">
                  <c:v>7509</c:v>
                </c:pt>
                <c:pt idx="84">
                  <c:v>3532</c:v>
                </c:pt>
                <c:pt idx="85">
                  <c:v>1542</c:v>
                </c:pt>
                <c:pt idx="86">
                  <c:v>725</c:v>
                </c:pt>
                <c:pt idx="87">
                  <c:v>2005</c:v>
                </c:pt>
                <c:pt idx="88">
                  <c:v>5564</c:v>
                </c:pt>
                <c:pt idx="89">
                  <c:v>4664</c:v>
                </c:pt>
                <c:pt idx="90">
                  <c:v>5475</c:v>
                </c:pt>
                <c:pt idx="91">
                  <c:v>5135</c:v>
                </c:pt>
                <c:pt idx="92">
                  <c:v>4504</c:v>
                </c:pt>
                <c:pt idx="93">
                  <c:v>7464</c:v>
                </c:pt>
                <c:pt idx="94">
                  <c:v>5523</c:v>
                </c:pt>
                <c:pt idx="95">
                  <c:v>4347</c:v>
                </c:pt>
                <c:pt idx="96">
                  <c:v>6700</c:v>
                </c:pt>
                <c:pt idx="97">
                  <c:v>4865</c:v>
                </c:pt>
                <c:pt idx="98">
                  <c:v>4449</c:v>
                </c:pt>
                <c:pt idx="99">
                  <c:v>2354</c:v>
                </c:pt>
                <c:pt idx="100">
                  <c:v>2528</c:v>
                </c:pt>
                <c:pt idx="101">
                  <c:v>3219</c:v>
                </c:pt>
                <c:pt idx="102">
                  <c:v>7449</c:v>
                </c:pt>
                <c:pt idx="103">
                  <c:v>2546</c:v>
                </c:pt>
                <c:pt idx="104">
                  <c:v>2069</c:v>
                </c:pt>
                <c:pt idx="105">
                  <c:v>3705</c:v>
                </c:pt>
                <c:pt idx="106">
                  <c:v>5021</c:v>
                </c:pt>
                <c:pt idx="107">
                  <c:v>5222</c:v>
                </c:pt>
                <c:pt idx="108">
                  <c:v>4369</c:v>
                </c:pt>
                <c:pt idx="109">
                  <c:v>6637</c:v>
                </c:pt>
                <c:pt idx="110">
                  <c:v>5054</c:v>
                </c:pt>
                <c:pt idx="111">
                  <c:v>7165</c:v>
                </c:pt>
                <c:pt idx="112">
                  <c:v>4581</c:v>
                </c:pt>
                <c:pt idx="113">
                  <c:v>3593</c:v>
                </c:pt>
                <c:pt idx="114">
                  <c:v>4896</c:v>
                </c:pt>
                <c:pt idx="115">
                  <c:v>4454</c:v>
                </c:pt>
                <c:pt idx="116">
                  <c:v>4709</c:v>
                </c:pt>
                <c:pt idx="117">
                  <c:v>4034</c:v>
                </c:pt>
                <c:pt idx="118">
                  <c:v>2279</c:v>
                </c:pt>
                <c:pt idx="119">
                  <c:v>2668</c:v>
                </c:pt>
                <c:pt idx="120">
                  <c:v>2926</c:v>
                </c:pt>
                <c:pt idx="121">
                  <c:v>4924</c:v>
                </c:pt>
                <c:pt idx="122">
                  <c:v>3691</c:v>
                </c:pt>
                <c:pt idx="123">
                  <c:v>2936</c:v>
                </c:pt>
                <c:pt idx="124">
                  <c:v>2399</c:v>
                </c:pt>
                <c:pt idx="125">
                  <c:v>3198</c:v>
                </c:pt>
                <c:pt idx="126">
                  <c:v>4102</c:v>
                </c:pt>
                <c:pt idx="127">
                  <c:v>3641</c:v>
                </c:pt>
                <c:pt idx="128">
                  <c:v>2652</c:v>
                </c:pt>
                <c:pt idx="129">
                  <c:v>4290</c:v>
                </c:pt>
                <c:pt idx="130">
                  <c:v>6674</c:v>
                </c:pt>
                <c:pt idx="131">
                  <c:v>8532</c:v>
                </c:pt>
                <c:pt idx="132">
                  <c:v>8557</c:v>
                </c:pt>
                <c:pt idx="133">
                  <c:v>4247</c:v>
                </c:pt>
                <c:pt idx="134">
                  <c:v>3673</c:v>
                </c:pt>
                <c:pt idx="135">
                  <c:v>7044</c:v>
                </c:pt>
                <c:pt idx="136">
                  <c:v>6187</c:v>
                </c:pt>
                <c:pt idx="137">
                  <c:v>2479</c:v>
                </c:pt>
                <c:pt idx="138">
                  <c:v>4163</c:v>
                </c:pt>
                <c:pt idx="139">
                  <c:v>3588</c:v>
                </c:pt>
                <c:pt idx="140">
                  <c:v>2566</c:v>
                </c:pt>
                <c:pt idx="141">
                  <c:v>3802</c:v>
                </c:pt>
                <c:pt idx="142">
                  <c:v>2922</c:v>
                </c:pt>
                <c:pt idx="143">
                  <c:v>1182</c:v>
                </c:pt>
                <c:pt idx="144">
                  <c:v>2742</c:v>
                </c:pt>
                <c:pt idx="145">
                  <c:v>3009</c:v>
                </c:pt>
                <c:pt idx="146">
                  <c:v>3063</c:v>
                </c:pt>
                <c:pt idx="147">
                  <c:v>7150</c:v>
                </c:pt>
                <c:pt idx="148">
                  <c:v>3042</c:v>
                </c:pt>
                <c:pt idx="149">
                  <c:v>3922</c:v>
                </c:pt>
                <c:pt idx="150">
                  <c:v>4663</c:v>
                </c:pt>
                <c:pt idx="151">
                  <c:v>6206</c:v>
                </c:pt>
                <c:pt idx="152">
                  <c:v>4023</c:v>
                </c:pt>
                <c:pt idx="153">
                  <c:v>6649</c:v>
                </c:pt>
                <c:pt idx="154">
                  <c:v>5114</c:v>
                </c:pt>
                <c:pt idx="155">
                  <c:v>6742</c:v>
                </c:pt>
                <c:pt idx="156">
                  <c:v>6958</c:v>
                </c:pt>
                <c:pt idx="157">
                  <c:v>3454</c:v>
                </c:pt>
                <c:pt idx="158">
                  <c:v>3819</c:v>
                </c:pt>
                <c:pt idx="159">
                  <c:v>4177</c:v>
                </c:pt>
                <c:pt idx="160">
                  <c:v>3631</c:v>
                </c:pt>
                <c:pt idx="161">
                  <c:v>4270</c:v>
                </c:pt>
                <c:pt idx="162">
                  <c:v>2423</c:v>
                </c:pt>
                <c:pt idx="163">
                  <c:v>2240</c:v>
                </c:pt>
                <c:pt idx="164">
                  <c:v>2911</c:v>
                </c:pt>
                <c:pt idx="165">
                  <c:v>2314</c:v>
                </c:pt>
                <c:pt idx="166">
                  <c:v>3541</c:v>
                </c:pt>
                <c:pt idx="167">
                  <c:v>1448</c:v>
                </c:pt>
                <c:pt idx="168">
                  <c:v>4404</c:v>
                </c:pt>
                <c:pt idx="169">
                  <c:v>4574</c:v>
                </c:pt>
                <c:pt idx="170">
                  <c:v>4229</c:v>
                </c:pt>
                <c:pt idx="171">
                  <c:v>3458</c:v>
                </c:pt>
                <c:pt idx="172">
                  <c:v>2972</c:v>
                </c:pt>
                <c:pt idx="173">
                  <c:v>4018</c:v>
                </c:pt>
                <c:pt idx="174">
                  <c:v>6889</c:v>
                </c:pt>
                <c:pt idx="175">
                  <c:v>9013</c:v>
                </c:pt>
                <c:pt idx="176">
                  <c:v>7398</c:v>
                </c:pt>
                <c:pt idx="177">
                  <c:v>6613</c:v>
                </c:pt>
                <c:pt idx="178">
                  <c:v>6458</c:v>
                </c:pt>
                <c:pt idx="179">
                  <c:v>6534</c:v>
                </c:pt>
                <c:pt idx="180">
                  <c:v>6475</c:v>
                </c:pt>
                <c:pt idx="181">
                  <c:v>5015</c:v>
                </c:pt>
                <c:pt idx="182">
                  <c:v>6549</c:v>
                </c:pt>
                <c:pt idx="183">
                  <c:v>6966</c:v>
                </c:pt>
                <c:pt idx="184">
                  <c:v>10171</c:v>
                </c:pt>
                <c:pt idx="185">
                  <c:v>6865</c:v>
                </c:pt>
                <c:pt idx="186">
                  <c:v>11238</c:v>
                </c:pt>
                <c:pt idx="187">
                  <c:v>7896</c:v>
                </c:pt>
                <c:pt idx="188">
                  <c:v>5113</c:v>
                </c:pt>
                <c:pt idx="189">
                  <c:v>2701</c:v>
                </c:pt>
                <c:pt idx="190">
                  <c:v>2154</c:v>
                </c:pt>
                <c:pt idx="191">
                  <c:v>3014</c:v>
                </c:pt>
                <c:pt idx="192">
                  <c:v>3070</c:v>
                </c:pt>
                <c:pt idx="193">
                  <c:v>1686</c:v>
                </c:pt>
                <c:pt idx="194">
                  <c:v>1213</c:v>
                </c:pt>
                <c:pt idx="195">
                  <c:v>1486</c:v>
                </c:pt>
                <c:pt idx="196">
                  <c:v>1109</c:v>
                </c:pt>
                <c:pt idx="197">
                  <c:v>524</c:v>
                </c:pt>
                <c:pt idx="198">
                  <c:v>641</c:v>
                </c:pt>
                <c:pt idx="199">
                  <c:v>757</c:v>
                </c:pt>
                <c:pt idx="200">
                  <c:v>799</c:v>
                </c:pt>
                <c:pt idx="201">
                  <c:v>728</c:v>
                </c:pt>
                <c:pt idx="202">
                  <c:v>668</c:v>
                </c:pt>
                <c:pt idx="203">
                  <c:v>594</c:v>
                </c:pt>
                <c:pt idx="204">
                  <c:v>615</c:v>
                </c:pt>
                <c:pt idx="205">
                  <c:v>377</c:v>
                </c:pt>
                <c:pt idx="206">
                  <c:v>936</c:v>
                </c:pt>
                <c:pt idx="207">
                  <c:v>1050</c:v>
                </c:pt>
                <c:pt idx="208">
                  <c:v>445</c:v>
                </c:pt>
                <c:pt idx="209">
                  <c:v>316</c:v>
                </c:pt>
                <c:pt idx="210">
                  <c:v>903</c:v>
                </c:pt>
                <c:pt idx="211">
                  <c:v>953</c:v>
                </c:pt>
                <c:pt idx="212">
                  <c:v>400</c:v>
                </c:pt>
                <c:pt idx="213">
                  <c:v>494</c:v>
                </c:pt>
                <c:pt idx="214">
                  <c:v>1459</c:v>
                </c:pt>
                <c:pt idx="215">
                  <c:v>1081</c:v>
                </c:pt>
                <c:pt idx="216">
                  <c:v>1622</c:v>
                </c:pt>
                <c:pt idx="217">
                  <c:v>938</c:v>
                </c:pt>
                <c:pt idx="218">
                  <c:v>1049</c:v>
                </c:pt>
                <c:pt idx="219">
                  <c:v>954</c:v>
                </c:pt>
                <c:pt idx="220">
                  <c:v>695</c:v>
                </c:pt>
                <c:pt idx="221">
                  <c:v>532</c:v>
                </c:pt>
                <c:pt idx="222">
                  <c:v>685</c:v>
                </c:pt>
                <c:pt idx="223">
                  <c:v>795</c:v>
                </c:pt>
                <c:pt idx="224">
                  <c:v>812</c:v>
                </c:pt>
                <c:pt idx="225">
                  <c:v>1468</c:v>
                </c:pt>
                <c:pt idx="226">
                  <c:v>1045</c:v>
                </c:pt>
                <c:pt idx="227">
                  <c:v>1419</c:v>
                </c:pt>
                <c:pt idx="228">
                  <c:v>1220</c:v>
                </c:pt>
                <c:pt idx="229">
                  <c:v>1246</c:v>
                </c:pt>
                <c:pt idx="230">
                  <c:v>1272</c:v>
                </c:pt>
                <c:pt idx="231">
                  <c:v>1567</c:v>
                </c:pt>
                <c:pt idx="232">
                  <c:v>1542</c:v>
                </c:pt>
                <c:pt idx="233">
                  <c:v>1401</c:v>
                </c:pt>
                <c:pt idx="234">
                  <c:v>1243</c:v>
                </c:pt>
                <c:pt idx="235">
                  <c:v>913</c:v>
                </c:pt>
                <c:pt idx="236">
                  <c:v>638</c:v>
                </c:pt>
                <c:pt idx="237">
                  <c:v>628</c:v>
                </c:pt>
                <c:pt idx="238">
                  <c:v>639</c:v>
                </c:pt>
                <c:pt idx="239">
                  <c:v>945</c:v>
                </c:pt>
                <c:pt idx="240">
                  <c:v>1354</c:v>
                </c:pt>
                <c:pt idx="241">
                  <c:v>1474</c:v>
                </c:pt>
                <c:pt idx="242">
                  <c:v>1731</c:v>
                </c:pt>
                <c:pt idx="243">
                  <c:v>1279</c:v>
                </c:pt>
                <c:pt idx="244">
                  <c:v>1648</c:v>
                </c:pt>
                <c:pt idx="245">
                  <c:v>1521</c:v>
                </c:pt>
              </c:numCache>
            </c:numRef>
          </c:val>
        </c:ser>
        <c:gapWidth val="0"/>
        <c:axId val="132459904"/>
        <c:axId val="132469888"/>
      </c:barChart>
      <c:lineChart>
        <c:grouping val="standard"/>
        <c:ser>
          <c:idx val="2"/>
          <c:order val="0"/>
          <c:tx>
            <c:strRef>
              <c:f>[2]DATA!$B$3</c:f>
              <c:strCache>
                <c:ptCount val="1"/>
                <c:pt idx="0">
                  <c:v>OPEN INTEREST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[2]DATA!$B$489:$B$734</c:f>
              <c:numCache>
                <c:formatCode>General</c:formatCode>
                <c:ptCount val="246"/>
                <c:pt idx="0">
                  <c:v>8314</c:v>
                </c:pt>
                <c:pt idx="1">
                  <c:v>9094</c:v>
                </c:pt>
                <c:pt idx="2">
                  <c:v>9342</c:v>
                </c:pt>
                <c:pt idx="3">
                  <c:v>10508</c:v>
                </c:pt>
                <c:pt idx="4">
                  <c:v>11511</c:v>
                </c:pt>
                <c:pt idx="5">
                  <c:v>11170</c:v>
                </c:pt>
                <c:pt idx="6">
                  <c:v>11219</c:v>
                </c:pt>
                <c:pt idx="7">
                  <c:v>9421</c:v>
                </c:pt>
                <c:pt idx="8">
                  <c:v>10060</c:v>
                </c:pt>
                <c:pt idx="9">
                  <c:v>9725</c:v>
                </c:pt>
                <c:pt idx="10">
                  <c:v>10050</c:v>
                </c:pt>
                <c:pt idx="11">
                  <c:v>11511</c:v>
                </c:pt>
                <c:pt idx="12">
                  <c:v>11793</c:v>
                </c:pt>
                <c:pt idx="13">
                  <c:v>11090</c:v>
                </c:pt>
                <c:pt idx="14">
                  <c:v>11489</c:v>
                </c:pt>
                <c:pt idx="15">
                  <c:v>13165</c:v>
                </c:pt>
                <c:pt idx="16">
                  <c:v>13470</c:v>
                </c:pt>
                <c:pt idx="17">
                  <c:v>12481</c:v>
                </c:pt>
                <c:pt idx="18">
                  <c:v>11811</c:v>
                </c:pt>
                <c:pt idx="19">
                  <c:v>11482</c:v>
                </c:pt>
                <c:pt idx="20">
                  <c:v>7614</c:v>
                </c:pt>
                <c:pt idx="21">
                  <c:v>7851</c:v>
                </c:pt>
                <c:pt idx="22">
                  <c:v>7885</c:v>
                </c:pt>
                <c:pt idx="23">
                  <c:v>8193</c:v>
                </c:pt>
                <c:pt idx="24">
                  <c:v>8432</c:v>
                </c:pt>
                <c:pt idx="25">
                  <c:v>9345</c:v>
                </c:pt>
                <c:pt idx="26">
                  <c:v>9335</c:v>
                </c:pt>
                <c:pt idx="27">
                  <c:v>9770</c:v>
                </c:pt>
                <c:pt idx="28">
                  <c:v>9522</c:v>
                </c:pt>
                <c:pt idx="29">
                  <c:v>10560</c:v>
                </c:pt>
                <c:pt idx="30">
                  <c:v>11716</c:v>
                </c:pt>
                <c:pt idx="31">
                  <c:v>11375</c:v>
                </c:pt>
                <c:pt idx="32">
                  <c:v>12696</c:v>
                </c:pt>
                <c:pt idx="33">
                  <c:v>10348</c:v>
                </c:pt>
                <c:pt idx="34">
                  <c:v>12293</c:v>
                </c:pt>
                <c:pt idx="35">
                  <c:v>13864</c:v>
                </c:pt>
                <c:pt idx="36">
                  <c:v>15131</c:v>
                </c:pt>
                <c:pt idx="37">
                  <c:v>8787</c:v>
                </c:pt>
                <c:pt idx="38">
                  <c:v>11059</c:v>
                </c:pt>
                <c:pt idx="39">
                  <c:v>10987</c:v>
                </c:pt>
                <c:pt idx="40">
                  <c:v>10537</c:v>
                </c:pt>
                <c:pt idx="41">
                  <c:v>12034</c:v>
                </c:pt>
                <c:pt idx="42">
                  <c:v>12329</c:v>
                </c:pt>
                <c:pt idx="43">
                  <c:v>13172</c:v>
                </c:pt>
                <c:pt idx="44">
                  <c:v>13328</c:v>
                </c:pt>
                <c:pt idx="45">
                  <c:v>14030</c:v>
                </c:pt>
                <c:pt idx="46">
                  <c:v>14952</c:v>
                </c:pt>
                <c:pt idx="47">
                  <c:v>12921</c:v>
                </c:pt>
                <c:pt idx="48">
                  <c:v>12555</c:v>
                </c:pt>
                <c:pt idx="49">
                  <c:v>11122</c:v>
                </c:pt>
                <c:pt idx="50">
                  <c:v>11753</c:v>
                </c:pt>
                <c:pt idx="51">
                  <c:v>13435</c:v>
                </c:pt>
                <c:pt idx="52">
                  <c:v>15324</c:v>
                </c:pt>
                <c:pt idx="53">
                  <c:v>15640</c:v>
                </c:pt>
                <c:pt idx="54">
                  <c:v>15288</c:v>
                </c:pt>
                <c:pt idx="55">
                  <c:v>14605</c:v>
                </c:pt>
                <c:pt idx="56">
                  <c:v>8844</c:v>
                </c:pt>
                <c:pt idx="57">
                  <c:v>9345</c:v>
                </c:pt>
                <c:pt idx="58">
                  <c:v>9912</c:v>
                </c:pt>
                <c:pt idx="59">
                  <c:v>10809</c:v>
                </c:pt>
                <c:pt idx="60">
                  <c:v>11262</c:v>
                </c:pt>
                <c:pt idx="61">
                  <c:v>11285</c:v>
                </c:pt>
                <c:pt idx="62">
                  <c:v>11522</c:v>
                </c:pt>
                <c:pt idx="63">
                  <c:v>12001</c:v>
                </c:pt>
                <c:pt idx="64">
                  <c:v>12463</c:v>
                </c:pt>
                <c:pt idx="65">
                  <c:v>12240</c:v>
                </c:pt>
                <c:pt idx="66">
                  <c:v>12782</c:v>
                </c:pt>
                <c:pt idx="67">
                  <c:v>12737</c:v>
                </c:pt>
                <c:pt idx="68">
                  <c:v>12801</c:v>
                </c:pt>
                <c:pt idx="69">
                  <c:v>12644</c:v>
                </c:pt>
                <c:pt idx="70">
                  <c:v>13470</c:v>
                </c:pt>
                <c:pt idx="71">
                  <c:v>13773</c:v>
                </c:pt>
                <c:pt idx="72">
                  <c:v>15739</c:v>
                </c:pt>
                <c:pt idx="73">
                  <c:v>16508</c:v>
                </c:pt>
                <c:pt idx="74">
                  <c:v>18232</c:v>
                </c:pt>
                <c:pt idx="75">
                  <c:v>18476</c:v>
                </c:pt>
                <c:pt idx="76">
                  <c:v>17535</c:v>
                </c:pt>
                <c:pt idx="77">
                  <c:v>16307</c:v>
                </c:pt>
                <c:pt idx="78">
                  <c:v>8603</c:v>
                </c:pt>
                <c:pt idx="79">
                  <c:v>9025</c:v>
                </c:pt>
                <c:pt idx="80">
                  <c:v>10015</c:v>
                </c:pt>
                <c:pt idx="81">
                  <c:v>10985</c:v>
                </c:pt>
                <c:pt idx="82">
                  <c:v>11333</c:v>
                </c:pt>
                <c:pt idx="83">
                  <c:v>15700</c:v>
                </c:pt>
                <c:pt idx="84">
                  <c:v>16603</c:v>
                </c:pt>
                <c:pt idx="85">
                  <c:v>16253</c:v>
                </c:pt>
                <c:pt idx="86">
                  <c:v>15686</c:v>
                </c:pt>
                <c:pt idx="87">
                  <c:v>16958</c:v>
                </c:pt>
                <c:pt idx="88">
                  <c:v>18923</c:v>
                </c:pt>
                <c:pt idx="89">
                  <c:v>20041</c:v>
                </c:pt>
                <c:pt idx="90">
                  <c:v>21831</c:v>
                </c:pt>
                <c:pt idx="91">
                  <c:v>23966</c:v>
                </c:pt>
                <c:pt idx="92">
                  <c:v>23023</c:v>
                </c:pt>
                <c:pt idx="93">
                  <c:v>26218</c:v>
                </c:pt>
                <c:pt idx="94">
                  <c:v>24545</c:v>
                </c:pt>
                <c:pt idx="95">
                  <c:v>25676</c:v>
                </c:pt>
                <c:pt idx="96">
                  <c:v>27394</c:v>
                </c:pt>
                <c:pt idx="97">
                  <c:v>25485</c:v>
                </c:pt>
                <c:pt idx="98">
                  <c:v>14527</c:v>
                </c:pt>
                <c:pt idx="99">
                  <c:v>15326</c:v>
                </c:pt>
                <c:pt idx="100">
                  <c:v>15897</c:v>
                </c:pt>
                <c:pt idx="101">
                  <c:v>16800</c:v>
                </c:pt>
                <c:pt idx="102">
                  <c:v>20610</c:v>
                </c:pt>
                <c:pt idx="103">
                  <c:v>18728</c:v>
                </c:pt>
                <c:pt idx="104">
                  <c:v>17595</c:v>
                </c:pt>
                <c:pt idx="105">
                  <c:v>18729</c:v>
                </c:pt>
                <c:pt idx="106">
                  <c:v>20702</c:v>
                </c:pt>
                <c:pt idx="107">
                  <c:v>23246</c:v>
                </c:pt>
                <c:pt idx="108">
                  <c:v>22293</c:v>
                </c:pt>
                <c:pt idx="109">
                  <c:v>24523</c:v>
                </c:pt>
                <c:pt idx="110">
                  <c:v>25329</c:v>
                </c:pt>
                <c:pt idx="111">
                  <c:v>28435</c:v>
                </c:pt>
                <c:pt idx="112">
                  <c:v>27669</c:v>
                </c:pt>
                <c:pt idx="113">
                  <c:v>28491</c:v>
                </c:pt>
                <c:pt idx="114">
                  <c:v>28107</c:v>
                </c:pt>
                <c:pt idx="115">
                  <c:v>29857</c:v>
                </c:pt>
                <c:pt idx="116">
                  <c:v>28422</c:v>
                </c:pt>
                <c:pt idx="117">
                  <c:v>15973</c:v>
                </c:pt>
                <c:pt idx="118">
                  <c:v>16957</c:v>
                </c:pt>
                <c:pt idx="119">
                  <c:v>16919</c:v>
                </c:pt>
                <c:pt idx="120">
                  <c:v>17506</c:v>
                </c:pt>
                <c:pt idx="121">
                  <c:v>19964</c:v>
                </c:pt>
                <c:pt idx="122">
                  <c:v>20827</c:v>
                </c:pt>
                <c:pt idx="123">
                  <c:v>21109</c:v>
                </c:pt>
                <c:pt idx="124">
                  <c:v>19304</c:v>
                </c:pt>
                <c:pt idx="125">
                  <c:v>20689</c:v>
                </c:pt>
                <c:pt idx="126">
                  <c:v>22421</c:v>
                </c:pt>
                <c:pt idx="127">
                  <c:v>21396</c:v>
                </c:pt>
                <c:pt idx="128">
                  <c:v>22644</c:v>
                </c:pt>
                <c:pt idx="129">
                  <c:v>24485</c:v>
                </c:pt>
                <c:pt idx="130">
                  <c:v>25898</c:v>
                </c:pt>
                <c:pt idx="131">
                  <c:v>29431</c:v>
                </c:pt>
                <c:pt idx="132">
                  <c:v>31861</c:v>
                </c:pt>
                <c:pt idx="133">
                  <c:v>27768</c:v>
                </c:pt>
                <c:pt idx="134">
                  <c:v>25154</c:v>
                </c:pt>
                <c:pt idx="135">
                  <c:v>28400</c:v>
                </c:pt>
                <c:pt idx="136">
                  <c:v>32570</c:v>
                </c:pt>
                <c:pt idx="137">
                  <c:v>33243</c:v>
                </c:pt>
                <c:pt idx="138">
                  <c:v>32215</c:v>
                </c:pt>
                <c:pt idx="139">
                  <c:v>18442</c:v>
                </c:pt>
                <c:pt idx="140">
                  <c:v>19181</c:v>
                </c:pt>
                <c:pt idx="141">
                  <c:v>20906</c:v>
                </c:pt>
                <c:pt idx="142">
                  <c:v>21704</c:v>
                </c:pt>
                <c:pt idx="143">
                  <c:v>21517</c:v>
                </c:pt>
                <c:pt idx="144">
                  <c:v>20368</c:v>
                </c:pt>
                <c:pt idx="145">
                  <c:v>21401</c:v>
                </c:pt>
                <c:pt idx="146">
                  <c:v>22734</c:v>
                </c:pt>
                <c:pt idx="147">
                  <c:v>23776</c:v>
                </c:pt>
                <c:pt idx="148">
                  <c:v>24646</c:v>
                </c:pt>
                <c:pt idx="149">
                  <c:v>25425</c:v>
                </c:pt>
                <c:pt idx="150">
                  <c:v>25948</c:v>
                </c:pt>
                <c:pt idx="151">
                  <c:v>27860</c:v>
                </c:pt>
                <c:pt idx="152">
                  <c:v>25929</c:v>
                </c:pt>
                <c:pt idx="153">
                  <c:v>27840</c:v>
                </c:pt>
                <c:pt idx="154">
                  <c:v>24511</c:v>
                </c:pt>
                <c:pt idx="155">
                  <c:v>27483</c:v>
                </c:pt>
                <c:pt idx="156">
                  <c:v>30508</c:v>
                </c:pt>
                <c:pt idx="157">
                  <c:v>28275</c:v>
                </c:pt>
                <c:pt idx="158">
                  <c:v>29869</c:v>
                </c:pt>
                <c:pt idx="159">
                  <c:v>30710</c:v>
                </c:pt>
                <c:pt idx="160">
                  <c:v>28330</c:v>
                </c:pt>
                <c:pt idx="161">
                  <c:v>16446</c:v>
                </c:pt>
                <c:pt idx="162">
                  <c:v>17304</c:v>
                </c:pt>
                <c:pt idx="163">
                  <c:v>17833</c:v>
                </c:pt>
                <c:pt idx="164">
                  <c:v>18564</c:v>
                </c:pt>
                <c:pt idx="165">
                  <c:v>18976</c:v>
                </c:pt>
                <c:pt idx="166">
                  <c:v>19621</c:v>
                </c:pt>
                <c:pt idx="167">
                  <c:v>19835</c:v>
                </c:pt>
                <c:pt idx="168">
                  <c:v>21070</c:v>
                </c:pt>
                <c:pt idx="169">
                  <c:v>23355</c:v>
                </c:pt>
                <c:pt idx="170">
                  <c:v>21701</c:v>
                </c:pt>
                <c:pt idx="171">
                  <c:v>21289</c:v>
                </c:pt>
                <c:pt idx="172">
                  <c:v>22112</c:v>
                </c:pt>
                <c:pt idx="173">
                  <c:v>23863</c:v>
                </c:pt>
                <c:pt idx="174">
                  <c:v>25081</c:v>
                </c:pt>
                <c:pt idx="175">
                  <c:v>28112</c:v>
                </c:pt>
                <c:pt idx="176">
                  <c:v>30064</c:v>
                </c:pt>
                <c:pt idx="177">
                  <c:v>32362</c:v>
                </c:pt>
                <c:pt idx="178">
                  <c:v>30814</c:v>
                </c:pt>
                <c:pt idx="179">
                  <c:v>29254</c:v>
                </c:pt>
                <c:pt idx="180">
                  <c:v>30713</c:v>
                </c:pt>
                <c:pt idx="181">
                  <c:v>14293</c:v>
                </c:pt>
                <c:pt idx="182">
                  <c:v>16151</c:v>
                </c:pt>
                <c:pt idx="183">
                  <c:v>18052</c:v>
                </c:pt>
                <c:pt idx="184">
                  <c:v>20377</c:v>
                </c:pt>
                <c:pt idx="185">
                  <c:v>14489</c:v>
                </c:pt>
                <c:pt idx="186">
                  <c:v>18329</c:v>
                </c:pt>
                <c:pt idx="187">
                  <c:v>18823</c:v>
                </c:pt>
                <c:pt idx="188">
                  <c:v>14951</c:v>
                </c:pt>
                <c:pt idx="189">
                  <c:v>12888</c:v>
                </c:pt>
                <c:pt idx="190">
                  <c:v>9970</c:v>
                </c:pt>
                <c:pt idx="191">
                  <c:v>10340</c:v>
                </c:pt>
                <c:pt idx="192">
                  <c:v>9529</c:v>
                </c:pt>
                <c:pt idx="193">
                  <c:v>9140</c:v>
                </c:pt>
                <c:pt idx="194">
                  <c:v>7439</c:v>
                </c:pt>
                <c:pt idx="195">
                  <c:v>7432</c:v>
                </c:pt>
                <c:pt idx="196">
                  <c:v>7551</c:v>
                </c:pt>
                <c:pt idx="197">
                  <c:v>6967</c:v>
                </c:pt>
                <c:pt idx="198">
                  <c:v>7029</c:v>
                </c:pt>
                <c:pt idx="199">
                  <c:v>3814</c:v>
                </c:pt>
                <c:pt idx="200">
                  <c:v>3815</c:v>
                </c:pt>
                <c:pt idx="201">
                  <c:v>3534</c:v>
                </c:pt>
                <c:pt idx="202">
                  <c:v>681</c:v>
                </c:pt>
                <c:pt idx="203">
                  <c:v>940</c:v>
                </c:pt>
                <c:pt idx="204">
                  <c:v>1075</c:v>
                </c:pt>
                <c:pt idx="205">
                  <c:v>1051</c:v>
                </c:pt>
                <c:pt idx="206">
                  <c:v>1184</c:v>
                </c:pt>
                <c:pt idx="207">
                  <c:v>1221</c:v>
                </c:pt>
                <c:pt idx="208">
                  <c:v>1255</c:v>
                </c:pt>
                <c:pt idx="209">
                  <c:v>1313</c:v>
                </c:pt>
                <c:pt idx="210">
                  <c:v>1376</c:v>
                </c:pt>
                <c:pt idx="211">
                  <c:v>1405</c:v>
                </c:pt>
                <c:pt idx="212">
                  <c:v>1474</c:v>
                </c:pt>
                <c:pt idx="213">
                  <c:v>1608</c:v>
                </c:pt>
                <c:pt idx="214">
                  <c:v>1722</c:v>
                </c:pt>
                <c:pt idx="215">
                  <c:v>1827</c:v>
                </c:pt>
                <c:pt idx="216">
                  <c:v>2158</c:v>
                </c:pt>
                <c:pt idx="217">
                  <c:v>2211</c:v>
                </c:pt>
                <c:pt idx="218">
                  <c:v>2221</c:v>
                </c:pt>
                <c:pt idx="219">
                  <c:v>2106</c:v>
                </c:pt>
                <c:pt idx="220">
                  <c:v>2147</c:v>
                </c:pt>
                <c:pt idx="221">
                  <c:v>2261</c:v>
                </c:pt>
                <c:pt idx="222">
                  <c:v>2147</c:v>
                </c:pt>
                <c:pt idx="223">
                  <c:v>1240</c:v>
                </c:pt>
                <c:pt idx="224">
                  <c:v>1416</c:v>
                </c:pt>
                <c:pt idx="225">
                  <c:v>1635</c:v>
                </c:pt>
                <c:pt idx="226">
                  <c:v>1835</c:v>
                </c:pt>
                <c:pt idx="227">
                  <c:v>2174</c:v>
                </c:pt>
                <c:pt idx="228">
                  <c:v>1953</c:v>
                </c:pt>
                <c:pt idx="229">
                  <c:v>2182</c:v>
                </c:pt>
                <c:pt idx="230">
                  <c:v>2172</c:v>
                </c:pt>
                <c:pt idx="231">
                  <c:v>2476</c:v>
                </c:pt>
                <c:pt idx="232">
                  <c:v>2374</c:v>
                </c:pt>
                <c:pt idx="233">
                  <c:v>2441</c:v>
                </c:pt>
                <c:pt idx="234">
                  <c:v>2625</c:v>
                </c:pt>
                <c:pt idx="235">
                  <c:v>2528</c:v>
                </c:pt>
                <c:pt idx="236">
                  <c:v>2428</c:v>
                </c:pt>
                <c:pt idx="237">
                  <c:v>2538</c:v>
                </c:pt>
                <c:pt idx="238">
                  <c:v>2533</c:v>
                </c:pt>
                <c:pt idx="239">
                  <c:v>2544</c:v>
                </c:pt>
                <c:pt idx="240">
                  <c:v>2613</c:v>
                </c:pt>
                <c:pt idx="241">
                  <c:v>2536</c:v>
                </c:pt>
                <c:pt idx="242">
                  <c:v>2536</c:v>
                </c:pt>
                <c:pt idx="243">
                  <c:v>2722</c:v>
                </c:pt>
                <c:pt idx="244">
                  <c:v>2237</c:v>
                </c:pt>
                <c:pt idx="245">
                  <c:v>1974</c:v>
                </c:pt>
              </c:numCache>
            </c:numRef>
          </c:val>
        </c:ser>
        <c:marker val="1"/>
        <c:axId val="132456832"/>
        <c:axId val="132458368"/>
      </c:lineChart>
      <c:catAx>
        <c:axId val="132456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8368"/>
        <c:crosses val="autoZero"/>
        <c:lblAlgn val="ctr"/>
        <c:lblOffset val="100"/>
        <c:tickLblSkip val="2"/>
        <c:tickMarkSkip val="1"/>
      </c:catAx>
      <c:valAx>
        <c:axId val="132458368"/>
        <c:scaling>
          <c:orientation val="minMax"/>
          <c:max val="36000"/>
          <c:min val="0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6832"/>
        <c:crosses val="autoZero"/>
        <c:crossBetween val="between"/>
        <c:majorUnit val="4000"/>
      </c:valAx>
      <c:catAx>
        <c:axId val="132459904"/>
        <c:scaling>
          <c:orientation val="minMax"/>
        </c:scaling>
        <c:delete val="1"/>
        <c:axPos val="b"/>
        <c:numFmt formatCode="General" sourceLinked="1"/>
        <c:tickLblPos val="nextTo"/>
        <c:crossAx val="132469888"/>
        <c:crosses val="autoZero"/>
        <c:lblAlgn val="ctr"/>
        <c:lblOffset val="100"/>
      </c:catAx>
      <c:valAx>
        <c:axId val="132469888"/>
        <c:scaling>
          <c:orientation val="minMax"/>
          <c:max val="14000"/>
          <c:min val="0"/>
        </c:scaling>
        <c:axPos val="r"/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59904"/>
        <c:crosses val="max"/>
        <c:crossBetween val="between"/>
        <c:majorUnit val="2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OKLI (At the money Premium Value) Vs. KLSE CI</a:t>
            </a:r>
          </a:p>
        </c:rich>
      </c:tx>
      <c:spPr>
        <a:noFill/>
        <a:ln w="25400">
          <a:noFill/>
        </a:ln>
      </c:spPr>
    </c:title>
    <c:plotArea>
      <c:layout/>
      <c:areaChart>
        <c:grouping val="stacked"/>
        <c:ser>
          <c:idx val="3"/>
          <c:order val="1"/>
          <c:tx>
            <c:strRef>
              <c:f>[2]DATA!$E$3</c:f>
              <c:strCache>
                <c:ptCount val="1"/>
                <c:pt idx="0">
                  <c:v>KLSE CI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808080"/>
              </a:solidFill>
              <a:prstDash val="solid"/>
            </a:ln>
          </c:spP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[2]DATA!$E$489:$E$734</c:f>
              <c:numCache>
                <c:formatCode>General</c:formatCode>
                <c:ptCount val="246"/>
                <c:pt idx="0">
                  <c:v>536.95000000000005</c:v>
                </c:pt>
                <c:pt idx="1">
                  <c:v>548.05999999999995</c:v>
                </c:pt>
                <c:pt idx="2">
                  <c:v>575.89</c:v>
                </c:pt>
                <c:pt idx="3">
                  <c:v>607.4</c:v>
                </c:pt>
                <c:pt idx="4">
                  <c:v>676.47</c:v>
                </c:pt>
                <c:pt idx="5">
                  <c:v>629.15</c:v>
                </c:pt>
                <c:pt idx="6">
                  <c:v>636.36</c:v>
                </c:pt>
                <c:pt idx="7">
                  <c:v>589.17999999999995</c:v>
                </c:pt>
                <c:pt idx="8">
                  <c:v>574.91999999999996</c:v>
                </c:pt>
                <c:pt idx="9">
                  <c:v>558.47</c:v>
                </c:pt>
                <c:pt idx="10">
                  <c:v>544.30999999999995</c:v>
                </c:pt>
                <c:pt idx="11">
                  <c:v>556.79</c:v>
                </c:pt>
                <c:pt idx="12">
                  <c:v>577.58000000000004</c:v>
                </c:pt>
                <c:pt idx="13">
                  <c:v>578.76</c:v>
                </c:pt>
                <c:pt idx="14">
                  <c:v>569.83000000000004</c:v>
                </c:pt>
                <c:pt idx="15">
                  <c:v>556.35</c:v>
                </c:pt>
                <c:pt idx="16">
                  <c:v>550.35</c:v>
                </c:pt>
                <c:pt idx="17">
                  <c:v>560.96</c:v>
                </c:pt>
                <c:pt idx="18">
                  <c:v>568.66</c:v>
                </c:pt>
                <c:pt idx="19">
                  <c:v>589.39</c:v>
                </c:pt>
                <c:pt idx="20">
                  <c:v>594.44000000000005</c:v>
                </c:pt>
                <c:pt idx="21">
                  <c:v>571.96</c:v>
                </c:pt>
                <c:pt idx="22">
                  <c:v>546.79</c:v>
                </c:pt>
                <c:pt idx="23">
                  <c:v>525.74</c:v>
                </c:pt>
                <c:pt idx="24">
                  <c:v>521</c:v>
                </c:pt>
                <c:pt idx="25">
                  <c:v>507.16</c:v>
                </c:pt>
                <c:pt idx="26">
                  <c:v>491.6</c:v>
                </c:pt>
                <c:pt idx="27">
                  <c:v>477.57</c:v>
                </c:pt>
                <c:pt idx="28">
                  <c:v>503.89</c:v>
                </c:pt>
                <c:pt idx="29">
                  <c:v>536.67999999999995</c:v>
                </c:pt>
                <c:pt idx="30">
                  <c:v>525.47</c:v>
                </c:pt>
                <c:pt idx="31">
                  <c:v>539.97</c:v>
                </c:pt>
                <c:pt idx="32">
                  <c:v>589.08000000000004</c:v>
                </c:pt>
                <c:pt idx="33">
                  <c:v>585.35</c:v>
                </c:pt>
                <c:pt idx="34">
                  <c:v>590.54999999999995</c:v>
                </c:pt>
                <c:pt idx="35">
                  <c:v>575.21</c:v>
                </c:pt>
                <c:pt idx="36">
                  <c:v>558.57000000000005</c:v>
                </c:pt>
                <c:pt idx="37">
                  <c:v>569.51</c:v>
                </c:pt>
                <c:pt idx="38">
                  <c:v>701.31</c:v>
                </c:pt>
                <c:pt idx="39">
                  <c:v>690.76</c:v>
                </c:pt>
                <c:pt idx="40">
                  <c:v>712.81</c:v>
                </c:pt>
                <c:pt idx="41">
                  <c:v>728.19</c:v>
                </c:pt>
                <c:pt idx="42">
                  <c:v>727.4</c:v>
                </c:pt>
                <c:pt idx="43">
                  <c:v>742.57</c:v>
                </c:pt>
                <c:pt idx="44">
                  <c:v>739.87</c:v>
                </c:pt>
                <c:pt idx="45">
                  <c:v>697.43</c:v>
                </c:pt>
                <c:pt idx="46">
                  <c:v>685.5</c:v>
                </c:pt>
                <c:pt idx="47">
                  <c:v>661.94</c:v>
                </c:pt>
                <c:pt idx="48">
                  <c:v>690.83</c:v>
                </c:pt>
                <c:pt idx="49">
                  <c:v>704.9</c:v>
                </c:pt>
                <c:pt idx="50">
                  <c:v>723.5</c:v>
                </c:pt>
                <c:pt idx="51">
                  <c:v>728.06</c:v>
                </c:pt>
                <c:pt idx="52">
                  <c:v>720.46</c:v>
                </c:pt>
                <c:pt idx="53">
                  <c:v>729.84</c:v>
                </c:pt>
                <c:pt idx="54">
                  <c:v>712.81</c:v>
                </c:pt>
                <c:pt idx="55">
                  <c:v>727.7</c:v>
                </c:pt>
                <c:pt idx="56">
                  <c:v>745.36</c:v>
                </c:pt>
                <c:pt idx="57">
                  <c:v>745.12</c:v>
                </c:pt>
                <c:pt idx="58">
                  <c:v>733.03</c:v>
                </c:pt>
                <c:pt idx="59">
                  <c:v>705.94</c:v>
                </c:pt>
                <c:pt idx="60">
                  <c:v>696.79</c:v>
                </c:pt>
                <c:pt idx="61">
                  <c:v>690.36</c:v>
                </c:pt>
                <c:pt idx="62">
                  <c:v>685.88</c:v>
                </c:pt>
                <c:pt idx="63">
                  <c:v>710.47</c:v>
                </c:pt>
                <c:pt idx="64">
                  <c:v>709.91</c:v>
                </c:pt>
                <c:pt idx="65">
                  <c:v>698.23</c:v>
                </c:pt>
                <c:pt idx="66">
                  <c:v>708.16</c:v>
                </c:pt>
                <c:pt idx="67">
                  <c:v>703.61</c:v>
                </c:pt>
                <c:pt idx="68">
                  <c:v>700.21</c:v>
                </c:pt>
                <c:pt idx="69">
                  <c:v>706.55</c:v>
                </c:pt>
                <c:pt idx="70">
                  <c:v>731.04</c:v>
                </c:pt>
                <c:pt idx="71">
                  <c:v>731.24</c:v>
                </c:pt>
                <c:pt idx="72">
                  <c:v>735.79</c:v>
                </c:pt>
                <c:pt idx="73">
                  <c:v>731.89</c:v>
                </c:pt>
                <c:pt idx="74">
                  <c:v>736.78</c:v>
                </c:pt>
                <c:pt idx="75">
                  <c:v>733.31</c:v>
                </c:pt>
                <c:pt idx="76">
                  <c:v>727.62</c:v>
                </c:pt>
                <c:pt idx="77">
                  <c:v>722.96</c:v>
                </c:pt>
                <c:pt idx="78">
                  <c:v>719.52</c:v>
                </c:pt>
                <c:pt idx="79">
                  <c:v>700.05</c:v>
                </c:pt>
                <c:pt idx="80">
                  <c:v>684.27</c:v>
                </c:pt>
                <c:pt idx="81">
                  <c:v>666.48</c:v>
                </c:pt>
                <c:pt idx="82">
                  <c:v>663.77</c:v>
                </c:pt>
                <c:pt idx="83">
                  <c:v>664.28</c:v>
                </c:pt>
                <c:pt idx="84">
                  <c:v>675.93</c:v>
                </c:pt>
                <c:pt idx="85">
                  <c:v>673.14</c:v>
                </c:pt>
                <c:pt idx="86">
                  <c:v>666.93</c:v>
                </c:pt>
                <c:pt idx="87">
                  <c:v>664.84</c:v>
                </c:pt>
                <c:pt idx="88">
                  <c:v>644.62</c:v>
                </c:pt>
                <c:pt idx="89">
                  <c:v>629.34</c:v>
                </c:pt>
                <c:pt idx="90">
                  <c:v>628.78</c:v>
                </c:pt>
                <c:pt idx="91">
                  <c:v>634.29</c:v>
                </c:pt>
                <c:pt idx="92">
                  <c:v>623.98</c:v>
                </c:pt>
                <c:pt idx="93">
                  <c:v>619.66999999999996</c:v>
                </c:pt>
                <c:pt idx="94">
                  <c:v>628.24</c:v>
                </c:pt>
                <c:pt idx="95">
                  <c:v>635.11</c:v>
                </c:pt>
                <c:pt idx="96">
                  <c:v>620.79</c:v>
                </c:pt>
                <c:pt idx="97">
                  <c:v>622.83000000000004</c:v>
                </c:pt>
                <c:pt idx="98">
                  <c:v>625.97</c:v>
                </c:pt>
                <c:pt idx="99">
                  <c:v>627.42999999999995</c:v>
                </c:pt>
                <c:pt idx="100">
                  <c:v>608.4</c:v>
                </c:pt>
                <c:pt idx="101">
                  <c:v>584.62</c:v>
                </c:pt>
                <c:pt idx="102">
                  <c:v>586.83000000000004</c:v>
                </c:pt>
                <c:pt idx="103">
                  <c:v>580.04999999999995</c:v>
                </c:pt>
                <c:pt idx="104">
                  <c:v>569.16999999999996</c:v>
                </c:pt>
                <c:pt idx="105">
                  <c:v>548.33000000000004</c:v>
                </c:pt>
                <c:pt idx="106">
                  <c:v>560.5</c:v>
                </c:pt>
                <c:pt idx="107">
                  <c:v>566.85</c:v>
                </c:pt>
                <c:pt idx="108">
                  <c:v>549.99</c:v>
                </c:pt>
                <c:pt idx="109">
                  <c:v>554.41999999999996</c:v>
                </c:pt>
                <c:pt idx="110">
                  <c:v>569.19000000000005</c:v>
                </c:pt>
                <c:pt idx="111">
                  <c:v>593.62</c:v>
                </c:pt>
                <c:pt idx="112">
                  <c:v>577.23</c:v>
                </c:pt>
                <c:pt idx="113">
                  <c:v>570.54999999999995</c:v>
                </c:pt>
                <c:pt idx="114">
                  <c:v>561.28</c:v>
                </c:pt>
                <c:pt idx="115">
                  <c:v>552.28</c:v>
                </c:pt>
                <c:pt idx="116">
                  <c:v>544.74</c:v>
                </c:pt>
                <c:pt idx="117">
                  <c:v>538.24</c:v>
                </c:pt>
                <c:pt idx="118">
                  <c:v>518</c:v>
                </c:pt>
                <c:pt idx="119">
                  <c:v>520.61</c:v>
                </c:pt>
                <c:pt idx="120">
                  <c:v>526.36</c:v>
                </c:pt>
                <c:pt idx="121">
                  <c:v>518.61</c:v>
                </c:pt>
                <c:pt idx="122">
                  <c:v>505.05</c:v>
                </c:pt>
                <c:pt idx="123">
                  <c:v>497.79</c:v>
                </c:pt>
                <c:pt idx="124">
                  <c:v>505.64</c:v>
                </c:pt>
                <c:pt idx="125">
                  <c:v>489.86</c:v>
                </c:pt>
                <c:pt idx="126">
                  <c:v>483</c:v>
                </c:pt>
                <c:pt idx="127">
                  <c:v>472.37</c:v>
                </c:pt>
                <c:pt idx="128">
                  <c:v>452.24</c:v>
                </c:pt>
                <c:pt idx="129">
                  <c:v>435.84</c:v>
                </c:pt>
                <c:pt idx="130">
                  <c:v>448</c:v>
                </c:pt>
                <c:pt idx="131">
                  <c:v>471.82</c:v>
                </c:pt>
                <c:pt idx="132">
                  <c:v>467.61</c:v>
                </c:pt>
                <c:pt idx="133">
                  <c:v>457.61</c:v>
                </c:pt>
                <c:pt idx="134">
                  <c:v>457.25</c:v>
                </c:pt>
                <c:pt idx="135">
                  <c:v>455.37</c:v>
                </c:pt>
                <c:pt idx="136">
                  <c:v>448.42</c:v>
                </c:pt>
                <c:pt idx="137">
                  <c:v>445.67</c:v>
                </c:pt>
                <c:pt idx="138">
                  <c:v>450.77</c:v>
                </c:pt>
                <c:pt idx="139">
                  <c:v>455.64</c:v>
                </c:pt>
                <c:pt idx="140">
                  <c:v>471.23</c:v>
                </c:pt>
                <c:pt idx="141">
                  <c:v>478.2</c:v>
                </c:pt>
                <c:pt idx="142">
                  <c:v>473.78</c:v>
                </c:pt>
                <c:pt idx="143">
                  <c:v>467.55</c:v>
                </c:pt>
                <c:pt idx="144">
                  <c:v>455.28</c:v>
                </c:pt>
                <c:pt idx="145">
                  <c:v>447.89</c:v>
                </c:pt>
                <c:pt idx="146">
                  <c:v>428.62</c:v>
                </c:pt>
                <c:pt idx="147">
                  <c:v>421.31</c:v>
                </c:pt>
                <c:pt idx="148">
                  <c:v>420.33</c:v>
                </c:pt>
                <c:pt idx="149">
                  <c:v>433.54</c:v>
                </c:pt>
                <c:pt idx="150">
                  <c:v>429.99</c:v>
                </c:pt>
                <c:pt idx="151">
                  <c:v>445.31</c:v>
                </c:pt>
                <c:pt idx="152">
                  <c:v>445.28</c:v>
                </c:pt>
                <c:pt idx="153">
                  <c:v>437.82</c:v>
                </c:pt>
                <c:pt idx="154">
                  <c:v>421.91</c:v>
                </c:pt>
                <c:pt idx="155">
                  <c:v>415.4</c:v>
                </c:pt>
                <c:pt idx="156">
                  <c:v>418.4</c:v>
                </c:pt>
                <c:pt idx="157">
                  <c:v>408.04</c:v>
                </c:pt>
                <c:pt idx="158">
                  <c:v>403.98</c:v>
                </c:pt>
                <c:pt idx="159">
                  <c:v>385.97</c:v>
                </c:pt>
                <c:pt idx="160">
                  <c:v>389.53</c:v>
                </c:pt>
                <c:pt idx="161">
                  <c:v>402.65</c:v>
                </c:pt>
                <c:pt idx="162">
                  <c:v>386.27</c:v>
                </c:pt>
                <c:pt idx="163">
                  <c:v>386.44</c:v>
                </c:pt>
                <c:pt idx="164">
                  <c:v>380.29</c:v>
                </c:pt>
                <c:pt idx="165">
                  <c:v>374.78</c:v>
                </c:pt>
                <c:pt idx="166">
                  <c:v>364.05</c:v>
                </c:pt>
                <c:pt idx="167">
                  <c:v>353.28</c:v>
                </c:pt>
                <c:pt idx="168">
                  <c:v>334.7</c:v>
                </c:pt>
                <c:pt idx="169">
                  <c:v>342.19</c:v>
                </c:pt>
                <c:pt idx="170">
                  <c:v>326.73</c:v>
                </c:pt>
                <c:pt idx="171">
                  <c:v>327.98</c:v>
                </c:pt>
                <c:pt idx="172">
                  <c:v>316.24</c:v>
                </c:pt>
                <c:pt idx="173">
                  <c:v>315.66000000000003</c:v>
                </c:pt>
                <c:pt idx="174">
                  <c:v>343.47</c:v>
                </c:pt>
                <c:pt idx="175">
                  <c:v>351.04</c:v>
                </c:pt>
                <c:pt idx="176">
                  <c:v>324.06</c:v>
                </c:pt>
                <c:pt idx="177">
                  <c:v>317.2</c:v>
                </c:pt>
                <c:pt idx="178">
                  <c:v>324.17</c:v>
                </c:pt>
                <c:pt idx="179">
                  <c:v>324.49</c:v>
                </c:pt>
                <c:pt idx="180">
                  <c:v>313.51</c:v>
                </c:pt>
                <c:pt idx="181">
                  <c:v>302.91000000000003</c:v>
                </c:pt>
                <c:pt idx="182">
                  <c:v>262.7</c:v>
                </c:pt>
                <c:pt idx="183">
                  <c:v>294.58999999999997</c:v>
                </c:pt>
                <c:pt idx="184">
                  <c:v>313.07</c:v>
                </c:pt>
                <c:pt idx="185">
                  <c:v>363.44</c:v>
                </c:pt>
                <c:pt idx="186">
                  <c:v>445.06</c:v>
                </c:pt>
                <c:pt idx="187">
                  <c:v>349.56</c:v>
                </c:pt>
                <c:pt idx="188">
                  <c:v>389.65</c:v>
                </c:pt>
                <c:pt idx="189">
                  <c:v>380.2</c:v>
                </c:pt>
                <c:pt idx="190">
                  <c:v>368.53</c:v>
                </c:pt>
                <c:pt idx="191">
                  <c:v>393.24</c:v>
                </c:pt>
                <c:pt idx="192">
                  <c:v>389.08</c:v>
                </c:pt>
                <c:pt idx="193">
                  <c:v>394.04</c:v>
                </c:pt>
                <c:pt idx="194">
                  <c:v>386.55</c:v>
                </c:pt>
                <c:pt idx="195">
                  <c:v>393.3</c:v>
                </c:pt>
                <c:pt idx="196">
                  <c:v>378.32</c:v>
                </c:pt>
                <c:pt idx="197">
                  <c:v>385.45</c:v>
                </c:pt>
                <c:pt idx="198">
                  <c:v>376.26</c:v>
                </c:pt>
                <c:pt idx="199">
                  <c:v>387.46</c:v>
                </c:pt>
                <c:pt idx="200">
                  <c:v>387.27</c:v>
                </c:pt>
                <c:pt idx="201">
                  <c:v>377.52</c:v>
                </c:pt>
                <c:pt idx="202">
                  <c:v>373.52</c:v>
                </c:pt>
                <c:pt idx="203">
                  <c:v>367.64</c:v>
                </c:pt>
                <c:pt idx="204">
                  <c:v>363.06</c:v>
                </c:pt>
                <c:pt idx="205">
                  <c:v>360.1</c:v>
                </c:pt>
                <c:pt idx="206">
                  <c:v>374.45</c:v>
                </c:pt>
                <c:pt idx="207">
                  <c:v>370.9</c:v>
                </c:pt>
                <c:pt idx="208">
                  <c:v>372.99</c:v>
                </c:pt>
                <c:pt idx="209">
                  <c:v>372.22</c:v>
                </c:pt>
                <c:pt idx="210">
                  <c:v>389.5</c:v>
                </c:pt>
                <c:pt idx="211">
                  <c:v>385.04</c:v>
                </c:pt>
                <c:pt idx="212">
                  <c:v>384.22</c:v>
                </c:pt>
                <c:pt idx="213">
                  <c:v>393.25</c:v>
                </c:pt>
                <c:pt idx="214">
                  <c:v>396.26</c:v>
                </c:pt>
                <c:pt idx="215">
                  <c:v>422.97</c:v>
                </c:pt>
                <c:pt idx="216">
                  <c:v>424.37</c:v>
                </c:pt>
                <c:pt idx="217">
                  <c:v>421.56</c:v>
                </c:pt>
                <c:pt idx="218">
                  <c:v>419.72</c:v>
                </c:pt>
                <c:pt idx="219">
                  <c:v>419.11</c:v>
                </c:pt>
                <c:pt idx="220">
                  <c:v>415.96</c:v>
                </c:pt>
                <c:pt idx="221">
                  <c:v>410.49</c:v>
                </c:pt>
                <c:pt idx="222">
                  <c:v>406.35</c:v>
                </c:pt>
                <c:pt idx="223">
                  <c:v>405.33</c:v>
                </c:pt>
                <c:pt idx="224">
                  <c:v>419.78</c:v>
                </c:pt>
                <c:pt idx="225">
                  <c:v>421.91</c:v>
                </c:pt>
                <c:pt idx="226">
                  <c:v>431.7</c:v>
                </c:pt>
                <c:pt idx="227">
                  <c:v>438.66</c:v>
                </c:pt>
                <c:pt idx="228">
                  <c:v>453.29</c:v>
                </c:pt>
                <c:pt idx="229">
                  <c:v>465.69</c:v>
                </c:pt>
                <c:pt idx="230">
                  <c:v>467.54</c:v>
                </c:pt>
                <c:pt idx="231">
                  <c:v>476.12</c:v>
                </c:pt>
                <c:pt idx="232">
                  <c:v>460.77</c:v>
                </c:pt>
                <c:pt idx="233">
                  <c:v>465.08</c:v>
                </c:pt>
                <c:pt idx="234">
                  <c:v>462.02</c:v>
                </c:pt>
                <c:pt idx="235">
                  <c:v>464.12</c:v>
                </c:pt>
                <c:pt idx="236">
                  <c:v>458.34</c:v>
                </c:pt>
                <c:pt idx="237">
                  <c:v>458.58</c:v>
                </c:pt>
                <c:pt idx="238">
                  <c:v>461.56</c:v>
                </c:pt>
                <c:pt idx="239">
                  <c:v>477.17</c:v>
                </c:pt>
                <c:pt idx="240">
                  <c:v>489.66</c:v>
                </c:pt>
                <c:pt idx="241">
                  <c:v>502.15</c:v>
                </c:pt>
                <c:pt idx="242">
                  <c:v>498.69</c:v>
                </c:pt>
                <c:pt idx="243">
                  <c:v>498.08</c:v>
                </c:pt>
                <c:pt idx="244">
                  <c:v>501.47</c:v>
                </c:pt>
                <c:pt idx="245">
                  <c:v>518.75</c:v>
                </c:pt>
              </c:numCache>
            </c:numRef>
          </c:val>
        </c:ser>
        <c:axId val="132499328"/>
        <c:axId val="132500864"/>
      </c:areaChart>
      <c:lineChart>
        <c:grouping val="standard"/>
        <c:ser>
          <c:idx val="2"/>
          <c:order val="0"/>
          <c:tx>
            <c:strRef>
              <c:f>[2]DATA!$D$3</c:f>
              <c:strCache>
                <c:ptCount val="1"/>
                <c:pt idx="0">
                  <c:v>FUTURES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[2]DATA!$A$489:$A$734</c:f>
              <c:numCache>
                <c:formatCode>General</c:formatCode>
                <c:ptCount val="246"/>
                <c:pt idx="0">
                  <c:v>35766</c:v>
                </c:pt>
                <c:pt idx="1">
                  <c:v>35767</c:v>
                </c:pt>
                <c:pt idx="2">
                  <c:v>35768</c:v>
                </c:pt>
                <c:pt idx="3">
                  <c:v>35769</c:v>
                </c:pt>
                <c:pt idx="4">
                  <c:v>35772</c:v>
                </c:pt>
                <c:pt idx="5">
                  <c:v>35773</c:v>
                </c:pt>
                <c:pt idx="6">
                  <c:v>35774</c:v>
                </c:pt>
                <c:pt idx="7">
                  <c:v>35775</c:v>
                </c:pt>
                <c:pt idx="8">
                  <c:v>35776</c:v>
                </c:pt>
                <c:pt idx="9">
                  <c:v>35779</c:v>
                </c:pt>
                <c:pt idx="10">
                  <c:v>35780</c:v>
                </c:pt>
                <c:pt idx="11">
                  <c:v>35781</c:v>
                </c:pt>
                <c:pt idx="12">
                  <c:v>35782</c:v>
                </c:pt>
                <c:pt idx="13">
                  <c:v>35783</c:v>
                </c:pt>
                <c:pt idx="14">
                  <c:v>35786</c:v>
                </c:pt>
                <c:pt idx="15">
                  <c:v>35787</c:v>
                </c:pt>
                <c:pt idx="16">
                  <c:v>35788</c:v>
                </c:pt>
                <c:pt idx="17">
                  <c:v>35790</c:v>
                </c:pt>
                <c:pt idx="18">
                  <c:v>35793</c:v>
                </c:pt>
                <c:pt idx="19">
                  <c:v>35794</c:v>
                </c:pt>
                <c:pt idx="20">
                  <c:v>35795</c:v>
                </c:pt>
                <c:pt idx="21">
                  <c:v>35797</c:v>
                </c:pt>
                <c:pt idx="22">
                  <c:v>35800</c:v>
                </c:pt>
                <c:pt idx="23">
                  <c:v>35801</c:v>
                </c:pt>
                <c:pt idx="24">
                  <c:v>35802</c:v>
                </c:pt>
                <c:pt idx="25">
                  <c:v>35803</c:v>
                </c:pt>
                <c:pt idx="26">
                  <c:v>35804</c:v>
                </c:pt>
                <c:pt idx="27">
                  <c:v>35807</c:v>
                </c:pt>
                <c:pt idx="28">
                  <c:v>35808</c:v>
                </c:pt>
                <c:pt idx="29">
                  <c:v>35809</c:v>
                </c:pt>
                <c:pt idx="30">
                  <c:v>35810</c:v>
                </c:pt>
                <c:pt idx="31">
                  <c:v>35811</c:v>
                </c:pt>
                <c:pt idx="32">
                  <c:v>35814</c:v>
                </c:pt>
                <c:pt idx="33">
                  <c:v>35815</c:v>
                </c:pt>
                <c:pt idx="34">
                  <c:v>35816</c:v>
                </c:pt>
                <c:pt idx="35">
                  <c:v>35817</c:v>
                </c:pt>
                <c:pt idx="36">
                  <c:v>35818</c:v>
                </c:pt>
                <c:pt idx="37">
                  <c:v>35821</c:v>
                </c:pt>
                <c:pt idx="38">
                  <c:v>35829</c:v>
                </c:pt>
                <c:pt idx="39">
                  <c:v>35830</c:v>
                </c:pt>
                <c:pt idx="40">
                  <c:v>35831</c:v>
                </c:pt>
                <c:pt idx="41">
                  <c:v>35832</c:v>
                </c:pt>
                <c:pt idx="42">
                  <c:v>35835</c:v>
                </c:pt>
                <c:pt idx="43">
                  <c:v>35836</c:v>
                </c:pt>
                <c:pt idx="44">
                  <c:v>35837</c:v>
                </c:pt>
                <c:pt idx="45">
                  <c:v>35838</c:v>
                </c:pt>
                <c:pt idx="46">
                  <c:v>35839</c:v>
                </c:pt>
                <c:pt idx="47">
                  <c:v>35842</c:v>
                </c:pt>
                <c:pt idx="48">
                  <c:v>35843</c:v>
                </c:pt>
                <c:pt idx="49">
                  <c:v>35844</c:v>
                </c:pt>
                <c:pt idx="50">
                  <c:v>35845</c:v>
                </c:pt>
                <c:pt idx="51">
                  <c:v>35846</c:v>
                </c:pt>
                <c:pt idx="52">
                  <c:v>35849</c:v>
                </c:pt>
                <c:pt idx="53">
                  <c:v>35850</c:v>
                </c:pt>
                <c:pt idx="54">
                  <c:v>35851</c:v>
                </c:pt>
                <c:pt idx="55">
                  <c:v>35852</c:v>
                </c:pt>
                <c:pt idx="56">
                  <c:v>35853</c:v>
                </c:pt>
                <c:pt idx="57">
                  <c:v>35856</c:v>
                </c:pt>
                <c:pt idx="58">
                  <c:v>35857</c:v>
                </c:pt>
                <c:pt idx="59">
                  <c:v>35858</c:v>
                </c:pt>
                <c:pt idx="60">
                  <c:v>35859</c:v>
                </c:pt>
                <c:pt idx="61">
                  <c:v>35860</c:v>
                </c:pt>
                <c:pt idx="62">
                  <c:v>35863</c:v>
                </c:pt>
                <c:pt idx="63">
                  <c:v>35864</c:v>
                </c:pt>
                <c:pt idx="64">
                  <c:v>35865</c:v>
                </c:pt>
                <c:pt idx="65">
                  <c:v>35866</c:v>
                </c:pt>
                <c:pt idx="66">
                  <c:v>35867</c:v>
                </c:pt>
                <c:pt idx="67">
                  <c:v>35870</c:v>
                </c:pt>
                <c:pt idx="68">
                  <c:v>35871</c:v>
                </c:pt>
                <c:pt idx="69">
                  <c:v>35872</c:v>
                </c:pt>
                <c:pt idx="70">
                  <c:v>35873</c:v>
                </c:pt>
                <c:pt idx="71">
                  <c:v>35874</c:v>
                </c:pt>
                <c:pt idx="72">
                  <c:v>35877</c:v>
                </c:pt>
                <c:pt idx="73">
                  <c:v>35878</c:v>
                </c:pt>
                <c:pt idx="74">
                  <c:v>35879</c:v>
                </c:pt>
                <c:pt idx="75">
                  <c:v>35880</c:v>
                </c:pt>
                <c:pt idx="76">
                  <c:v>35881</c:v>
                </c:pt>
                <c:pt idx="77">
                  <c:v>35884</c:v>
                </c:pt>
                <c:pt idx="78">
                  <c:v>35885</c:v>
                </c:pt>
                <c:pt idx="79">
                  <c:v>35886</c:v>
                </c:pt>
                <c:pt idx="80">
                  <c:v>35887</c:v>
                </c:pt>
                <c:pt idx="81">
                  <c:v>35888</c:v>
                </c:pt>
                <c:pt idx="82">
                  <c:v>35891</c:v>
                </c:pt>
                <c:pt idx="83">
                  <c:v>35893</c:v>
                </c:pt>
                <c:pt idx="84">
                  <c:v>35894</c:v>
                </c:pt>
                <c:pt idx="85">
                  <c:v>35895</c:v>
                </c:pt>
                <c:pt idx="86">
                  <c:v>35898</c:v>
                </c:pt>
                <c:pt idx="87">
                  <c:v>35899</c:v>
                </c:pt>
                <c:pt idx="88">
                  <c:v>35900</c:v>
                </c:pt>
                <c:pt idx="89">
                  <c:v>35901</c:v>
                </c:pt>
                <c:pt idx="90">
                  <c:v>35902</c:v>
                </c:pt>
                <c:pt idx="91">
                  <c:v>35905</c:v>
                </c:pt>
                <c:pt idx="92">
                  <c:v>35906</c:v>
                </c:pt>
                <c:pt idx="93">
                  <c:v>35907</c:v>
                </c:pt>
                <c:pt idx="94">
                  <c:v>35908</c:v>
                </c:pt>
                <c:pt idx="95">
                  <c:v>35909</c:v>
                </c:pt>
                <c:pt idx="96">
                  <c:v>35912</c:v>
                </c:pt>
                <c:pt idx="97">
                  <c:v>35914</c:v>
                </c:pt>
                <c:pt idx="98">
                  <c:v>35915</c:v>
                </c:pt>
                <c:pt idx="99">
                  <c:v>35919</c:v>
                </c:pt>
                <c:pt idx="100">
                  <c:v>35920</c:v>
                </c:pt>
                <c:pt idx="101">
                  <c:v>35921</c:v>
                </c:pt>
                <c:pt idx="102">
                  <c:v>35922</c:v>
                </c:pt>
                <c:pt idx="103">
                  <c:v>35923</c:v>
                </c:pt>
                <c:pt idx="104">
                  <c:v>35927</c:v>
                </c:pt>
                <c:pt idx="105">
                  <c:v>35928</c:v>
                </c:pt>
                <c:pt idx="106">
                  <c:v>35929</c:v>
                </c:pt>
                <c:pt idx="107">
                  <c:v>35930</c:v>
                </c:pt>
                <c:pt idx="108">
                  <c:v>35933</c:v>
                </c:pt>
                <c:pt idx="109">
                  <c:v>35934</c:v>
                </c:pt>
                <c:pt idx="110">
                  <c:v>35935</c:v>
                </c:pt>
                <c:pt idx="111">
                  <c:v>35936</c:v>
                </c:pt>
                <c:pt idx="112">
                  <c:v>35937</c:v>
                </c:pt>
                <c:pt idx="113">
                  <c:v>35940</c:v>
                </c:pt>
                <c:pt idx="114">
                  <c:v>35941</c:v>
                </c:pt>
                <c:pt idx="115">
                  <c:v>35942</c:v>
                </c:pt>
                <c:pt idx="116">
                  <c:v>35943</c:v>
                </c:pt>
                <c:pt idx="117">
                  <c:v>35944</c:v>
                </c:pt>
                <c:pt idx="118">
                  <c:v>35947</c:v>
                </c:pt>
                <c:pt idx="119">
                  <c:v>35948</c:v>
                </c:pt>
                <c:pt idx="120">
                  <c:v>35949</c:v>
                </c:pt>
                <c:pt idx="121">
                  <c:v>35950</c:v>
                </c:pt>
                <c:pt idx="122">
                  <c:v>35951</c:v>
                </c:pt>
                <c:pt idx="123">
                  <c:v>35954</c:v>
                </c:pt>
                <c:pt idx="124">
                  <c:v>35955</c:v>
                </c:pt>
                <c:pt idx="125">
                  <c:v>35956</c:v>
                </c:pt>
                <c:pt idx="126">
                  <c:v>35957</c:v>
                </c:pt>
                <c:pt idx="127">
                  <c:v>35958</c:v>
                </c:pt>
                <c:pt idx="128">
                  <c:v>35961</c:v>
                </c:pt>
                <c:pt idx="129">
                  <c:v>35962</c:v>
                </c:pt>
                <c:pt idx="130">
                  <c:v>35963</c:v>
                </c:pt>
                <c:pt idx="131">
                  <c:v>35964</c:v>
                </c:pt>
                <c:pt idx="132">
                  <c:v>35965</c:v>
                </c:pt>
                <c:pt idx="133">
                  <c:v>35968</c:v>
                </c:pt>
                <c:pt idx="134">
                  <c:v>35969</c:v>
                </c:pt>
                <c:pt idx="135">
                  <c:v>35970</c:v>
                </c:pt>
                <c:pt idx="136">
                  <c:v>35971</c:v>
                </c:pt>
                <c:pt idx="137">
                  <c:v>35972</c:v>
                </c:pt>
                <c:pt idx="138">
                  <c:v>35975</c:v>
                </c:pt>
                <c:pt idx="139">
                  <c:v>35976</c:v>
                </c:pt>
                <c:pt idx="140">
                  <c:v>35977</c:v>
                </c:pt>
                <c:pt idx="141">
                  <c:v>35978</c:v>
                </c:pt>
                <c:pt idx="142">
                  <c:v>35979</c:v>
                </c:pt>
                <c:pt idx="143">
                  <c:v>35983</c:v>
                </c:pt>
                <c:pt idx="144">
                  <c:v>35984</c:v>
                </c:pt>
                <c:pt idx="145">
                  <c:v>35985</c:v>
                </c:pt>
                <c:pt idx="146">
                  <c:v>35986</c:v>
                </c:pt>
                <c:pt idx="147">
                  <c:v>35989</c:v>
                </c:pt>
                <c:pt idx="148">
                  <c:v>35990</c:v>
                </c:pt>
                <c:pt idx="149">
                  <c:v>35991</c:v>
                </c:pt>
                <c:pt idx="150">
                  <c:v>35992</c:v>
                </c:pt>
                <c:pt idx="151">
                  <c:v>35993</c:v>
                </c:pt>
                <c:pt idx="152">
                  <c:v>35996</c:v>
                </c:pt>
                <c:pt idx="153">
                  <c:v>35997</c:v>
                </c:pt>
                <c:pt idx="154">
                  <c:v>35998</c:v>
                </c:pt>
                <c:pt idx="155">
                  <c:v>35999</c:v>
                </c:pt>
                <c:pt idx="156">
                  <c:v>36000</c:v>
                </c:pt>
                <c:pt idx="157">
                  <c:v>36003</c:v>
                </c:pt>
                <c:pt idx="158">
                  <c:v>36004</c:v>
                </c:pt>
                <c:pt idx="159">
                  <c:v>36005</c:v>
                </c:pt>
                <c:pt idx="160">
                  <c:v>36006</c:v>
                </c:pt>
                <c:pt idx="161">
                  <c:v>36007</c:v>
                </c:pt>
                <c:pt idx="162">
                  <c:v>36010</c:v>
                </c:pt>
                <c:pt idx="163">
                  <c:v>36011</c:v>
                </c:pt>
                <c:pt idx="164">
                  <c:v>36012</c:v>
                </c:pt>
                <c:pt idx="165">
                  <c:v>36013</c:v>
                </c:pt>
                <c:pt idx="166">
                  <c:v>36014</c:v>
                </c:pt>
                <c:pt idx="167">
                  <c:v>36017</c:v>
                </c:pt>
                <c:pt idx="168">
                  <c:v>36018</c:v>
                </c:pt>
                <c:pt idx="169">
                  <c:v>36019</c:v>
                </c:pt>
                <c:pt idx="170">
                  <c:v>36020</c:v>
                </c:pt>
                <c:pt idx="171">
                  <c:v>36021</c:v>
                </c:pt>
                <c:pt idx="172">
                  <c:v>36024</c:v>
                </c:pt>
                <c:pt idx="173">
                  <c:v>36025</c:v>
                </c:pt>
                <c:pt idx="174">
                  <c:v>36026</c:v>
                </c:pt>
                <c:pt idx="175">
                  <c:v>36027</c:v>
                </c:pt>
                <c:pt idx="176">
                  <c:v>36028</c:v>
                </c:pt>
                <c:pt idx="177">
                  <c:v>36031</c:v>
                </c:pt>
                <c:pt idx="178">
                  <c:v>36032</c:v>
                </c:pt>
                <c:pt idx="179">
                  <c:v>36033</c:v>
                </c:pt>
                <c:pt idx="180">
                  <c:v>36034</c:v>
                </c:pt>
                <c:pt idx="181">
                  <c:v>36035</c:v>
                </c:pt>
                <c:pt idx="182">
                  <c:v>36039</c:v>
                </c:pt>
                <c:pt idx="183">
                  <c:v>36040</c:v>
                </c:pt>
                <c:pt idx="184">
                  <c:v>36041</c:v>
                </c:pt>
                <c:pt idx="185">
                  <c:v>36042</c:v>
                </c:pt>
                <c:pt idx="186">
                  <c:v>36045</c:v>
                </c:pt>
                <c:pt idx="187">
                  <c:v>36046</c:v>
                </c:pt>
                <c:pt idx="188">
                  <c:v>36047</c:v>
                </c:pt>
                <c:pt idx="189">
                  <c:v>36048</c:v>
                </c:pt>
                <c:pt idx="190">
                  <c:v>36049</c:v>
                </c:pt>
                <c:pt idx="191">
                  <c:v>36052</c:v>
                </c:pt>
                <c:pt idx="192">
                  <c:v>36053</c:v>
                </c:pt>
                <c:pt idx="193">
                  <c:v>36054</c:v>
                </c:pt>
                <c:pt idx="194">
                  <c:v>36055</c:v>
                </c:pt>
                <c:pt idx="195">
                  <c:v>36056</c:v>
                </c:pt>
                <c:pt idx="196">
                  <c:v>36059</c:v>
                </c:pt>
                <c:pt idx="197">
                  <c:v>36060</c:v>
                </c:pt>
                <c:pt idx="198">
                  <c:v>36061</c:v>
                </c:pt>
                <c:pt idx="199">
                  <c:v>36062</c:v>
                </c:pt>
                <c:pt idx="200">
                  <c:v>36063</c:v>
                </c:pt>
                <c:pt idx="201">
                  <c:v>36067</c:v>
                </c:pt>
                <c:pt idx="202">
                  <c:v>36068</c:v>
                </c:pt>
                <c:pt idx="203">
                  <c:v>36069</c:v>
                </c:pt>
                <c:pt idx="204">
                  <c:v>36070</c:v>
                </c:pt>
                <c:pt idx="205">
                  <c:v>36073</c:v>
                </c:pt>
                <c:pt idx="206">
                  <c:v>36074</c:v>
                </c:pt>
                <c:pt idx="207">
                  <c:v>36075</c:v>
                </c:pt>
                <c:pt idx="208">
                  <c:v>36076</c:v>
                </c:pt>
                <c:pt idx="209">
                  <c:v>36077</c:v>
                </c:pt>
                <c:pt idx="210">
                  <c:v>36080</c:v>
                </c:pt>
                <c:pt idx="211">
                  <c:v>36081</c:v>
                </c:pt>
                <c:pt idx="212">
                  <c:v>36082</c:v>
                </c:pt>
                <c:pt idx="213">
                  <c:v>36083</c:v>
                </c:pt>
                <c:pt idx="214">
                  <c:v>36084</c:v>
                </c:pt>
                <c:pt idx="215">
                  <c:v>36088</c:v>
                </c:pt>
                <c:pt idx="216">
                  <c:v>36089</c:v>
                </c:pt>
                <c:pt idx="217">
                  <c:v>36090</c:v>
                </c:pt>
                <c:pt idx="218">
                  <c:v>36091</c:v>
                </c:pt>
                <c:pt idx="219">
                  <c:v>36094</c:v>
                </c:pt>
                <c:pt idx="220">
                  <c:v>36095</c:v>
                </c:pt>
                <c:pt idx="221">
                  <c:v>36096</c:v>
                </c:pt>
                <c:pt idx="222">
                  <c:v>36097</c:v>
                </c:pt>
                <c:pt idx="223">
                  <c:v>36098</c:v>
                </c:pt>
                <c:pt idx="224">
                  <c:v>36101</c:v>
                </c:pt>
                <c:pt idx="225">
                  <c:v>36102</c:v>
                </c:pt>
                <c:pt idx="226">
                  <c:v>36103</c:v>
                </c:pt>
                <c:pt idx="227">
                  <c:v>36104</c:v>
                </c:pt>
                <c:pt idx="228">
                  <c:v>36105</c:v>
                </c:pt>
                <c:pt idx="229">
                  <c:v>36108</c:v>
                </c:pt>
                <c:pt idx="230">
                  <c:v>36109</c:v>
                </c:pt>
                <c:pt idx="231">
                  <c:v>36110</c:v>
                </c:pt>
                <c:pt idx="232">
                  <c:v>36111</c:v>
                </c:pt>
                <c:pt idx="233">
                  <c:v>36112</c:v>
                </c:pt>
                <c:pt idx="234">
                  <c:v>36115</c:v>
                </c:pt>
                <c:pt idx="235">
                  <c:v>36116</c:v>
                </c:pt>
                <c:pt idx="236">
                  <c:v>36117</c:v>
                </c:pt>
                <c:pt idx="237">
                  <c:v>36118</c:v>
                </c:pt>
                <c:pt idx="238">
                  <c:v>36119</c:v>
                </c:pt>
                <c:pt idx="239">
                  <c:v>36122</c:v>
                </c:pt>
                <c:pt idx="240">
                  <c:v>36123</c:v>
                </c:pt>
                <c:pt idx="241">
                  <c:v>36124</c:v>
                </c:pt>
                <c:pt idx="242">
                  <c:v>36125</c:v>
                </c:pt>
                <c:pt idx="243">
                  <c:v>36126</c:v>
                </c:pt>
                <c:pt idx="244">
                  <c:v>36129</c:v>
                </c:pt>
                <c:pt idx="245">
                  <c:v>36130</c:v>
                </c:pt>
              </c:numCache>
            </c:numRef>
          </c:cat>
          <c:val>
            <c:numRef>
              <c:f>[2]DATA!$D$489:$D$734</c:f>
              <c:numCache>
                <c:formatCode>General</c:formatCode>
                <c:ptCount val="246"/>
                <c:pt idx="0">
                  <c:v>549.9</c:v>
                </c:pt>
                <c:pt idx="1">
                  <c:v>544.1</c:v>
                </c:pt>
                <c:pt idx="2">
                  <c:v>579.4</c:v>
                </c:pt>
                <c:pt idx="3">
                  <c:v>620.5</c:v>
                </c:pt>
                <c:pt idx="4">
                  <c:v>655</c:v>
                </c:pt>
                <c:pt idx="5">
                  <c:v>616</c:v>
                </c:pt>
                <c:pt idx="6">
                  <c:v>635.6</c:v>
                </c:pt>
                <c:pt idx="7">
                  <c:v>576.20000000000005</c:v>
                </c:pt>
                <c:pt idx="8">
                  <c:v>573.1</c:v>
                </c:pt>
                <c:pt idx="9">
                  <c:v>542</c:v>
                </c:pt>
                <c:pt idx="10">
                  <c:v>554</c:v>
                </c:pt>
                <c:pt idx="11">
                  <c:v>566</c:v>
                </c:pt>
                <c:pt idx="12">
                  <c:v>596.9</c:v>
                </c:pt>
                <c:pt idx="13">
                  <c:v>574.20000000000005</c:v>
                </c:pt>
                <c:pt idx="14">
                  <c:v>569</c:v>
                </c:pt>
                <c:pt idx="15">
                  <c:v>564.6</c:v>
                </c:pt>
                <c:pt idx="16">
                  <c:v>560.9</c:v>
                </c:pt>
                <c:pt idx="17">
                  <c:v>566.9</c:v>
                </c:pt>
                <c:pt idx="18">
                  <c:v>577</c:v>
                </c:pt>
                <c:pt idx="19">
                  <c:v>596</c:v>
                </c:pt>
                <c:pt idx="20">
                  <c:v>587</c:v>
                </c:pt>
                <c:pt idx="21">
                  <c:v>560</c:v>
                </c:pt>
                <c:pt idx="22">
                  <c:v>536.5</c:v>
                </c:pt>
                <c:pt idx="23">
                  <c:v>528</c:v>
                </c:pt>
                <c:pt idx="24">
                  <c:v>516</c:v>
                </c:pt>
                <c:pt idx="25">
                  <c:v>488</c:v>
                </c:pt>
                <c:pt idx="26">
                  <c:v>484</c:v>
                </c:pt>
                <c:pt idx="27">
                  <c:v>465.5</c:v>
                </c:pt>
                <c:pt idx="28">
                  <c:v>512</c:v>
                </c:pt>
                <c:pt idx="29">
                  <c:v>538.5</c:v>
                </c:pt>
                <c:pt idx="30">
                  <c:v>507.1</c:v>
                </c:pt>
                <c:pt idx="31">
                  <c:v>543</c:v>
                </c:pt>
                <c:pt idx="32">
                  <c:v>583</c:v>
                </c:pt>
                <c:pt idx="33">
                  <c:v>582</c:v>
                </c:pt>
                <c:pt idx="34">
                  <c:v>588.1</c:v>
                </c:pt>
                <c:pt idx="35">
                  <c:v>557</c:v>
                </c:pt>
                <c:pt idx="36">
                  <c:v>559</c:v>
                </c:pt>
                <c:pt idx="37">
                  <c:v>566.6</c:v>
                </c:pt>
                <c:pt idx="38">
                  <c:v>685</c:v>
                </c:pt>
                <c:pt idx="39">
                  <c:v>678</c:v>
                </c:pt>
                <c:pt idx="40">
                  <c:v>702</c:v>
                </c:pt>
                <c:pt idx="41">
                  <c:v>719</c:v>
                </c:pt>
                <c:pt idx="42">
                  <c:v>717.8</c:v>
                </c:pt>
                <c:pt idx="43">
                  <c:v>757</c:v>
                </c:pt>
                <c:pt idx="44">
                  <c:v>726.5</c:v>
                </c:pt>
                <c:pt idx="45">
                  <c:v>696</c:v>
                </c:pt>
                <c:pt idx="46">
                  <c:v>675</c:v>
                </c:pt>
                <c:pt idx="47">
                  <c:v>648.5</c:v>
                </c:pt>
                <c:pt idx="48">
                  <c:v>680</c:v>
                </c:pt>
                <c:pt idx="49">
                  <c:v>709</c:v>
                </c:pt>
                <c:pt idx="50">
                  <c:v>724</c:v>
                </c:pt>
                <c:pt idx="51">
                  <c:v>734</c:v>
                </c:pt>
                <c:pt idx="52">
                  <c:v>711</c:v>
                </c:pt>
                <c:pt idx="53">
                  <c:v>726</c:v>
                </c:pt>
                <c:pt idx="54">
                  <c:v>701</c:v>
                </c:pt>
                <c:pt idx="55">
                  <c:v>725.6</c:v>
                </c:pt>
                <c:pt idx="56">
                  <c:v>743.6</c:v>
                </c:pt>
                <c:pt idx="57">
                  <c:v>736</c:v>
                </c:pt>
                <c:pt idx="58">
                  <c:v>725</c:v>
                </c:pt>
                <c:pt idx="59">
                  <c:v>688.1</c:v>
                </c:pt>
                <c:pt idx="60">
                  <c:v>670</c:v>
                </c:pt>
                <c:pt idx="61">
                  <c:v>681.6</c:v>
                </c:pt>
                <c:pt idx="62">
                  <c:v>680.7</c:v>
                </c:pt>
                <c:pt idx="63">
                  <c:v>706.5</c:v>
                </c:pt>
                <c:pt idx="64">
                  <c:v>713.5</c:v>
                </c:pt>
                <c:pt idx="65">
                  <c:v>692</c:v>
                </c:pt>
                <c:pt idx="66">
                  <c:v>712</c:v>
                </c:pt>
                <c:pt idx="67">
                  <c:v>701.5</c:v>
                </c:pt>
                <c:pt idx="68">
                  <c:v>703</c:v>
                </c:pt>
                <c:pt idx="69">
                  <c:v>714</c:v>
                </c:pt>
                <c:pt idx="70">
                  <c:v>743.5</c:v>
                </c:pt>
                <c:pt idx="71">
                  <c:v>724</c:v>
                </c:pt>
                <c:pt idx="72">
                  <c:v>745.1</c:v>
                </c:pt>
                <c:pt idx="73">
                  <c:v>727</c:v>
                </c:pt>
                <c:pt idx="74">
                  <c:v>738</c:v>
                </c:pt>
                <c:pt idx="75">
                  <c:v>736.7</c:v>
                </c:pt>
                <c:pt idx="76">
                  <c:v>733.6</c:v>
                </c:pt>
                <c:pt idx="77">
                  <c:v>727.3</c:v>
                </c:pt>
                <c:pt idx="78">
                  <c:v>720.2</c:v>
                </c:pt>
                <c:pt idx="79">
                  <c:v>703</c:v>
                </c:pt>
                <c:pt idx="80">
                  <c:v>687.5</c:v>
                </c:pt>
                <c:pt idx="81">
                  <c:v>659.5</c:v>
                </c:pt>
                <c:pt idx="82">
                  <c:v>652.5</c:v>
                </c:pt>
                <c:pt idx="83">
                  <c:v>643.5</c:v>
                </c:pt>
                <c:pt idx="84">
                  <c:v>654.9</c:v>
                </c:pt>
                <c:pt idx="85">
                  <c:v>650</c:v>
                </c:pt>
                <c:pt idx="86">
                  <c:v>647</c:v>
                </c:pt>
                <c:pt idx="87">
                  <c:v>635</c:v>
                </c:pt>
                <c:pt idx="88">
                  <c:v>618</c:v>
                </c:pt>
                <c:pt idx="89">
                  <c:v>605</c:v>
                </c:pt>
                <c:pt idx="90">
                  <c:v>595</c:v>
                </c:pt>
                <c:pt idx="91">
                  <c:v>615.5</c:v>
                </c:pt>
                <c:pt idx="92">
                  <c:v>590</c:v>
                </c:pt>
                <c:pt idx="93">
                  <c:v>600</c:v>
                </c:pt>
                <c:pt idx="94">
                  <c:v>615</c:v>
                </c:pt>
                <c:pt idx="95">
                  <c:v>617</c:v>
                </c:pt>
                <c:pt idx="96">
                  <c:v>608.9</c:v>
                </c:pt>
                <c:pt idx="97">
                  <c:v>618.9</c:v>
                </c:pt>
                <c:pt idx="98">
                  <c:v>622.29999999999995</c:v>
                </c:pt>
                <c:pt idx="99">
                  <c:v>601</c:v>
                </c:pt>
                <c:pt idx="100">
                  <c:v>577.20000000000005</c:v>
                </c:pt>
                <c:pt idx="101">
                  <c:v>551</c:v>
                </c:pt>
                <c:pt idx="102">
                  <c:v>573</c:v>
                </c:pt>
                <c:pt idx="103">
                  <c:v>561</c:v>
                </c:pt>
                <c:pt idx="104">
                  <c:v>542</c:v>
                </c:pt>
                <c:pt idx="105">
                  <c:v>525.1</c:v>
                </c:pt>
                <c:pt idx="106">
                  <c:v>550</c:v>
                </c:pt>
                <c:pt idx="107">
                  <c:v>556.9</c:v>
                </c:pt>
                <c:pt idx="108">
                  <c:v>539.29999999999995</c:v>
                </c:pt>
                <c:pt idx="109">
                  <c:v>551</c:v>
                </c:pt>
                <c:pt idx="110">
                  <c:v>566.4</c:v>
                </c:pt>
                <c:pt idx="111">
                  <c:v>591</c:v>
                </c:pt>
                <c:pt idx="112">
                  <c:v>564</c:v>
                </c:pt>
                <c:pt idx="113">
                  <c:v>562.9</c:v>
                </c:pt>
                <c:pt idx="114">
                  <c:v>553.79999999999995</c:v>
                </c:pt>
                <c:pt idx="115">
                  <c:v>546.9</c:v>
                </c:pt>
                <c:pt idx="116">
                  <c:v>543.5</c:v>
                </c:pt>
                <c:pt idx="117">
                  <c:v>539.5</c:v>
                </c:pt>
                <c:pt idx="118">
                  <c:v>509</c:v>
                </c:pt>
                <c:pt idx="119">
                  <c:v>514.5</c:v>
                </c:pt>
                <c:pt idx="120">
                  <c:v>528.9</c:v>
                </c:pt>
                <c:pt idx="121">
                  <c:v>509.8</c:v>
                </c:pt>
                <c:pt idx="122">
                  <c:v>499.5</c:v>
                </c:pt>
                <c:pt idx="123">
                  <c:v>493</c:v>
                </c:pt>
                <c:pt idx="124">
                  <c:v>508.2</c:v>
                </c:pt>
                <c:pt idx="125">
                  <c:v>488.1</c:v>
                </c:pt>
                <c:pt idx="126">
                  <c:v>481</c:v>
                </c:pt>
                <c:pt idx="127">
                  <c:v>473.5</c:v>
                </c:pt>
                <c:pt idx="128">
                  <c:v>446</c:v>
                </c:pt>
                <c:pt idx="129">
                  <c:v>436.5</c:v>
                </c:pt>
                <c:pt idx="130">
                  <c:v>450</c:v>
                </c:pt>
                <c:pt idx="131">
                  <c:v>470.1</c:v>
                </c:pt>
                <c:pt idx="132">
                  <c:v>465.5</c:v>
                </c:pt>
                <c:pt idx="133">
                  <c:v>441</c:v>
                </c:pt>
                <c:pt idx="134">
                  <c:v>453</c:v>
                </c:pt>
                <c:pt idx="135">
                  <c:v>458</c:v>
                </c:pt>
                <c:pt idx="136">
                  <c:v>454</c:v>
                </c:pt>
                <c:pt idx="137">
                  <c:v>447.7</c:v>
                </c:pt>
                <c:pt idx="138">
                  <c:v>446.1</c:v>
                </c:pt>
                <c:pt idx="139">
                  <c:v>455.9</c:v>
                </c:pt>
                <c:pt idx="140">
                  <c:v>482.5</c:v>
                </c:pt>
                <c:pt idx="141">
                  <c:v>479.9</c:v>
                </c:pt>
                <c:pt idx="142">
                  <c:v>474</c:v>
                </c:pt>
                <c:pt idx="143">
                  <c:v>470.5</c:v>
                </c:pt>
                <c:pt idx="144">
                  <c:v>456.2</c:v>
                </c:pt>
                <c:pt idx="145">
                  <c:v>441.5</c:v>
                </c:pt>
                <c:pt idx="146">
                  <c:v>423</c:v>
                </c:pt>
                <c:pt idx="147">
                  <c:v>431</c:v>
                </c:pt>
                <c:pt idx="148">
                  <c:v>424.1</c:v>
                </c:pt>
                <c:pt idx="149">
                  <c:v>442.5</c:v>
                </c:pt>
                <c:pt idx="150">
                  <c:v>433.8</c:v>
                </c:pt>
                <c:pt idx="151">
                  <c:v>447</c:v>
                </c:pt>
                <c:pt idx="152">
                  <c:v>442.1</c:v>
                </c:pt>
                <c:pt idx="153">
                  <c:v>438.2</c:v>
                </c:pt>
                <c:pt idx="154">
                  <c:v>414.5</c:v>
                </c:pt>
                <c:pt idx="155">
                  <c:v>415.5</c:v>
                </c:pt>
                <c:pt idx="156">
                  <c:v>422</c:v>
                </c:pt>
                <c:pt idx="157">
                  <c:v>405.8</c:v>
                </c:pt>
                <c:pt idx="158">
                  <c:v>396</c:v>
                </c:pt>
                <c:pt idx="159">
                  <c:v>380</c:v>
                </c:pt>
                <c:pt idx="160">
                  <c:v>390</c:v>
                </c:pt>
                <c:pt idx="161">
                  <c:v>401.9</c:v>
                </c:pt>
                <c:pt idx="162">
                  <c:v>384.6</c:v>
                </c:pt>
                <c:pt idx="163">
                  <c:v>390.5</c:v>
                </c:pt>
                <c:pt idx="164">
                  <c:v>379.8</c:v>
                </c:pt>
                <c:pt idx="165">
                  <c:v>373.8</c:v>
                </c:pt>
                <c:pt idx="166">
                  <c:v>355.4</c:v>
                </c:pt>
                <c:pt idx="167">
                  <c:v>346.6</c:v>
                </c:pt>
                <c:pt idx="168">
                  <c:v>331.7</c:v>
                </c:pt>
                <c:pt idx="169">
                  <c:v>340.5</c:v>
                </c:pt>
                <c:pt idx="170">
                  <c:v>318.60000000000002</c:v>
                </c:pt>
                <c:pt idx="171">
                  <c:v>320.89999999999998</c:v>
                </c:pt>
                <c:pt idx="172">
                  <c:v>309.5</c:v>
                </c:pt>
                <c:pt idx="173">
                  <c:v>317</c:v>
                </c:pt>
                <c:pt idx="174">
                  <c:v>340.5</c:v>
                </c:pt>
                <c:pt idx="175">
                  <c:v>353.6</c:v>
                </c:pt>
                <c:pt idx="176">
                  <c:v>321.5</c:v>
                </c:pt>
                <c:pt idx="177">
                  <c:v>322</c:v>
                </c:pt>
                <c:pt idx="178">
                  <c:v>332.9</c:v>
                </c:pt>
                <c:pt idx="179">
                  <c:v>329</c:v>
                </c:pt>
                <c:pt idx="180">
                  <c:v>311.5</c:v>
                </c:pt>
                <c:pt idx="181">
                  <c:v>303.5</c:v>
                </c:pt>
                <c:pt idx="182">
                  <c:v>274.89999999999998</c:v>
                </c:pt>
                <c:pt idx="183">
                  <c:v>289</c:v>
                </c:pt>
                <c:pt idx="184">
                  <c:v>343.6</c:v>
                </c:pt>
                <c:pt idx="185">
                  <c:v>394</c:v>
                </c:pt>
                <c:pt idx="186">
                  <c:v>525.4</c:v>
                </c:pt>
                <c:pt idx="187">
                  <c:v>356.3</c:v>
                </c:pt>
                <c:pt idx="188">
                  <c:v>393</c:v>
                </c:pt>
                <c:pt idx="189">
                  <c:v>399</c:v>
                </c:pt>
                <c:pt idx="190">
                  <c:v>355</c:v>
                </c:pt>
                <c:pt idx="191">
                  <c:v>400</c:v>
                </c:pt>
                <c:pt idx="192">
                  <c:v>387.1</c:v>
                </c:pt>
                <c:pt idx="193">
                  <c:v>401.1</c:v>
                </c:pt>
                <c:pt idx="194">
                  <c:v>388.3</c:v>
                </c:pt>
                <c:pt idx="195">
                  <c:v>401</c:v>
                </c:pt>
                <c:pt idx="196">
                  <c:v>380.5</c:v>
                </c:pt>
                <c:pt idx="197">
                  <c:v>396.9</c:v>
                </c:pt>
                <c:pt idx="198">
                  <c:v>385.8</c:v>
                </c:pt>
                <c:pt idx="199">
                  <c:v>396.7</c:v>
                </c:pt>
                <c:pt idx="200">
                  <c:v>389.5</c:v>
                </c:pt>
                <c:pt idx="201">
                  <c:v>380.5</c:v>
                </c:pt>
                <c:pt idx="202">
                  <c:v>374</c:v>
                </c:pt>
                <c:pt idx="203">
                  <c:v>379.9</c:v>
                </c:pt>
                <c:pt idx="204">
                  <c:v>375</c:v>
                </c:pt>
                <c:pt idx="205">
                  <c:v>374.9</c:v>
                </c:pt>
                <c:pt idx="206">
                  <c:v>391.7</c:v>
                </c:pt>
                <c:pt idx="207">
                  <c:v>385.8</c:v>
                </c:pt>
                <c:pt idx="208">
                  <c:v>388.9</c:v>
                </c:pt>
                <c:pt idx="209">
                  <c:v>388.5</c:v>
                </c:pt>
                <c:pt idx="210">
                  <c:v>406.1</c:v>
                </c:pt>
                <c:pt idx="211">
                  <c:v>396.5</c:v>
                </c:pt>
                <c:pt idx="212">
                  <c:v>399</c:v>
                </c:pt>
                <c:pt idx="213">
                  <c:v>408</c:v>
                </c:pt>
                <c:pt idx="214">
                  <c:v>415.5</c:v>
                </c:pt>
                <c:pt idx="215">
                  <c:v>434.5</c:v>
                </c:pt>
                <c:pt idx="216">
                  <c:v>433.1</c:v>
                </c:pt>
                <c:pt idx="217">
                  <c:v>428.5</c:v>
                </c:pt>
                <c:pt idx="218">
                  <c:v>419</c:v>
                </c:pt>
                <c:pt idx="219">
                  <c:v>419.5</c:v>
                </c:pt>
                <c:pt idx="220">
                  <c:v>417.1</c:v>
                </c:pt>
                <c:pt idx="221">
                  <c:v>412.8</c:v>
                </c:pt>
                <c:pt idx="222">
                  <c:v>404.8</c:v>
                </c:pt>
                <c:pt idx="223">
                  <c:v>406.2</c:v>
                </c:pt>
                <c:pt idx="224">
                  <c:v>434</c:v>
                </c:pt>
                <c:pt idx="225">
                  <c:v>438.5</c:v>
                </c:pt>
                <c:pt idx="226">
                  <c:v>454.8</c:v>
                </c:pt>
                <c:pt idx="227">
                  <c:v>446</c:v>
                </c:pt>
                <c:pt idx="228">
                  <c:v>466</c:v>
                </c:pt>
                <c:pt idx="229">
                  <c:v>472.5</c:v>
                </c:pt>
                <c:pt idx="230">
                  <c:v>474.1</c:v>
                </c:pt>
                <c:pt idx="231">
                  <c:v>480</c:v>
                </c:pt>
                <c:pt idx="232">
                  <c:v>465</c:v>
                </c:pt>
                <c:pt idx="233">
                  <c:v>479.4</c:v>
                </c:pt>
                <c:pt idx="234">
                  <c:v>479.5</c:v>
                </c:pt>
                <c:pt idx="235">
                  <c:v>478.5</c:v>
                </c:pt>
                <c:pt idx="236">
                  <c:v>473.2</c:v>
                </c:pt>
                <c:pt idx="237">
                  <c:v>474.5</c:v>
                </c:pt>
                <c:pt idx="238">
                  <c:v>470.5</c:v>
                </c:pt>
                <c:pt idx="239">
                  <c:v>484</c:v>
                </c:pt>
                <c:pt idx="240">
                  <c:v>496.8</c:v>
                </c:pt>
                <c:pt idx="241">
                  <c:v>509.5</c:v>
                </c:pt>
                <c:pt idx="242">
                  <c:v>501.5</c:v>
                </c:pt>
                <c:pt idx="243">
                  <c:v>502</c:v>
                </c:pt>
                <c:pt idx="244">
                  <c:v>505</c:v>
                </c:pt>
                <c:pt idx="245">
                  <c:v>535.29999999999995</c:v>
                </c:pt>
              </c:numCache>
            </c:numRef>
          </c:val>
        </c:ser>
        <c:marker val="1"/>
        <c:axId val="132499328"/>
        <c:axId val="132500864"/>
      </c:lineChart>
      <c:catAx>
        <c:axId val="1324993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00864"/>
        <c:crossesAt val="44"/>
        <c:lblAlgn val="ctr"/>
        <c:lblOffset val="100"/>
        <c:tickLblSkip val="2"/>
        <c:tickMarkSkip val="1"/>
      </c:catAx>
      <c:valAx>
        <c:axId val="132500864"/>
        <c:scaling>
          <c:orientation val="minMax"/>
          <c:max val="800"/>
          <c:min val="25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99328"/>
        <c:crosses val="autoZero"/>
        <c:crossBetween val="midCat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CPO Third-month Futures</a:t>
            </a:r>
          </a:p>
        </c:rich>
      </c:tx>
      <c:layout>
        <c:manualLayout>
          <c:xMode val="edge"/>
          <c:yMode val="edge"/>
          <c:x val="0.42907850948224846"/>
          <c:y val="5.26316634837317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04102144399829E-2"/>
          <c:y val="4.9342184515998491E-2"/>
          <c:w val="0.91016653526537461"/>
          <c:h val="0.75986964154637671"/>
        </c:manualLayout>
      </c:layout>
      <c:lineChart>
        <c:grouping val="standard"/>
        <c:ser>
          <c:idx val="2"/>
          <c:order val="0"/>
          <c:tx>
            <c:strRef>
              <c:f>[1]FCPO!$K$2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[1]FCPO!$A$5442:$A$5686</c:f>
              <c:numCache>
                <c:formatCode>General</c:formatCode>
                <c:ptCount val="245"/>
                <c:pt idx="0">
                  <c:v>37637</c:v>
                </c:pt>
                <c:pt idx="1">
                  <c:v>37638</c:v>
                </c:pt>
                <c:pt idx="2">
                  <c:v>37641</c:v>
                </c:pt>
                <c:pt idx="3">
                  <c:v>37642</c:v>
                </c:pt>
                <c:pt idx="4">
                  <c:v>37643</c:v>
                </c:pt>
                <c:pt idx="5">
                  <c:v>37644</c:v>
                </c:pt>
                <c:pt idx="6">
                  <c:v>37645</c:v>
                </c:pt>
                <c:pt idx="7">
                  <c:v>37648</c:v>
                </c:pt>
                <c:pt idx="8">
                  <c:v>37649</c:v>
                </c:pt>
                <c:pt idx="9">
                  <c:v>37650</c:v>
                </c:pt>
                <c:pt idx="10">
                  <c:v>37651</c:v>
                </c:pt>
                <c:pt idx="11">
                  <c:v>37657</c:v>
                </c:pt>
                <c:pt idx="12">
                  <c:v>37658</c:v>
                </c:pt>
                <c:pt idx="13">
                  <c:v>37659</c:v>
                </c:pt>
                <c:pt idx="14">
                  <c:v>37662</c:v>
                </c:pt>
                <c:pt idx="15">
                  <c:v>37663</c:v>
                </c:pt>
                <c:pt idx="16">
                  <c:v>37665</c:v>
                </c:pt>
                <c:pt idx="17">
                  <c:v>37666</c:v>
                </c:pt>
                <c:pt idx="18">
                  <c:v>37669</c:v>
                </c:pt>
                <c:pt idx="19">
                  <c:v>37670</c:v>
                </c:pt>
                <c:pt idx="20">
                  <c:v>37671</c:v>
                </c:pt>
                <c:pt idx="21">
                  <c:v>37672</c:v>
                </c:pt>
                <c:pt idx="22">
                  <c:v>37673</c:v>
                </c:pt>
                <c:pt idx="23">
                  <c:v>37676</c:v>
                </c:pt>
                <c:pt idx="24">
                  <c:v>37677</c:v>
                </c:pt>
                <c:pt idx="25">
                  <c:v>37678</c:v>
                </c:pt>
                <c:pt idx="26">
                  <c:v>37679</c:v>
                </c:pt>
                <c:pt idx="27">
                  <c:v>37680</c:v>
                </c:pt>
                <c:pt idx="28">
                  <c:v>37683</c:v>
                </c:pt>
                <c:pt idx="29">
                  <c:v>37685</c:v>
                </c:pt>
                <c:pt idx="30">
                  <c:v>37686</c:v>
                </c:pt>
                <c:pt idx="31">
                  <c:v>37687</c:v>
                </c:pt>
                <c:pt idx="32">
                  <c:v>37690</c:v>
                </c:pt>
                <c:pt idx="33">
                  <c:v>37691</c:v>
                </c:pt>
                <c:pt idx="34">
                  <c:v>37692</c:v>
                </c:pt>
                <c:pt idx="35">
                  <c:v>37693</c:v>
                </c:pt>
                <c:pt idx="36">
                  <c:v>37694</c:v>
                </c:pt>
                <c:pt idx="37">
                  <c:v>37697</c:v>
                </c:pt>
                <c:pt idx="38">
                  <c:v>37698</c:v>
                </c:pt>
                <c:pt idx="39">
                  <c:v>37699</c:v>
                </c:pt>
                <c:pt idx="40">
                  <c:v>37700</c:v>
                </c:pt>
                <c:pt idx="41">
                  <c:v>37701</c:v>
                </c:pt>
                <c:pt idx="42">
                  <c:v>37704</c:v>
                </c:pt>
                <c:pt idx="43">
                  <c:v>37705</c:v>
                </c:pt>
                <c:pt idx="44">
                  <c:v>37706</c:v>
                </c:pt>
                <c:pt idx="45">
                  <c:v>37707</c:v>
                </c:pt>
                <c:pt idx="46">
                  <c:v>37708</c:v>
                </c:pt>
                <c:pt idx="47">
                  <c:v>37711</c:v>
                </c:pt>
                <c:pt idx="48">
                  <c:v>37712</c:v>
                </c:pt>
                <c:pt idx="49">
                  <c:v>37713</c:v>
                </c:pt>
                <c:pt idx="50">
                  <c:v>37714</c:v>
                </c:pt>
                <c:pt idx="51">
                  <c:v>37715</c:v>
                </c:pt>
                <c:pt idx="52">
                  <c:v>37718</c:v>
                </c:pt>
                <c:pt idx="53">
                  <c:v>37719</c:v>
                </c:pt>
                <c:pt idx="54">
                  <c:v>37720</c:v>
                </c:pt>
                <c:pt idx="55">
                  <c:v>37721</c:v>
                </c:pt>
                <c:pt idx="56">
                  <c:v>37722</c:v>
                </c:pt>
                <c:pt idx="57">
                  <c:v>37725</c:v>
                </c:pt>
                <c:pt idx="58">
                  <c:v>37726</c:v>
                </c:pt>
                <c:pt idx="59">
                  <c:v>37727</c:v>
                </c:pt>
                <c:pt idx="60">
                  <c:v>37728</c:v>
                </c:pt>
                <c:pt idx="61">
                  <c:v>37729</c:v>
                </c:pt>
                <c:pt idx="62">
                  <c:v>37732</c:v>
                </c:pt>
                <c:pt idx="63">
                  <c:v>37733</c:v>
                </c:pt>
                <c:pt idx="64">
                  <c:v>37734</c:v>
                </c:pt>
                <c:pt idx="65">
                  <c:v>37735</c:v>
                </c:pt>
                <c:pt idx="66">
                  <c:v>37736</c:v>
                </c:pt>
                <c:pt idx="67">
                  <c:v>37739</c:v>
                </c:pt>
                <c:pt idx="68">
                  <c:v>37740</c:v>
                </c:pt>
                <c:pt idx="69">
                  <c:v>37741</c:v>
                </c:pt>
                <c:pt idx="70">
                  <c:v>37743</c:v>
                </c:pt>
                <c:pt idx="71">
                  <c:v>37746</c:v>
                </c:pt>
                <c:pt idx="72">
                  <c:v>37747</c:v>
                </c:pt>
                <c:pt idx="73">
                  <c:v>37748</c:v>
                </c:pt>
                <c:pt idx="74">
                  <c:v>37749</c:v>
                </c:pt>
                <c:pt idx="75">
                  <c:v>37750</c:v>
                </c:pt>
                <c:pt idx="76">
                  <c:v>37753</c:v>
                </c:pt>
                <c:pt idx="77">
                  <c:v>37754</c:v>
                </c:pt>
                <c:pt idx="78">
                  <c:v>37757</c:v>
                </c:pt>
                <c:pt idx="79">
                  <c:v>37760</c:v>
                </c:pt>
                <c:pt idx="80">
                  <c:v>37761</c:v>
                </c:pt>
                <c:pt idx="81">
                  <c:v>37762</c:v>
                </c:pt>
                <c:pt idx="82">
                  <c:v>37763</c:v>
                </c:pt>
                <c:pt idx="83">
                  <c:v>37764</c:v>
                </c:pt>
                <c:pt idx="84">
                  <c:v>37767</c:v>
                </c:pt>
                <c:pt idx="85">
                  <c:v>37768</c:v>
                </c:pt>
                <c:pt idx="86">
                  <c:v>37769</c:v>
                </c:pt>
                <c:pt idx="87">
                  <c:v>37770</c:v>
                </c:pt>
                <c:pt idx="88">
                  <c:v>37771</c:v>
                </c:pt>
                <c:pt idx="89">
                  <c:v>37774</c:v>
                </c:pt>
                <c:pt idx="90">
                  <c:v>37775</c:v>
                </c:pt>
                <c:pt idx="91">
                  <c:v>37776</c:v>
                </c:pt>
                <c:pt idx="92">
                  <c:v>37777</c:v>
                </c:pt>
                <c:pt idx="93">
                  <c:v>37778</c:v>
                </c:pt>
                <c:pt idx="94">
                  <c:v>37781</c:v>
                </c:pt>
                <c:pt idx="95">
                  <c:v>37782</c:v>
                </c:pt>
                <c:pt idx="96">
                  <c:v>37783</c:v>
                </c:pt>
                <c:pt idx="97">
                  <c:v>37784</c:v>
                </c:pt>
                <c:pt idx="98">
                  <c:v>37785</c:v>
                </c:pt>
                <c:pt idx="99">
                  <c:v>37788</c:v>
                </c:pt>
                <c:pt idx="100">
                  <c:v>37789</c:v>
                </c:pt>
                <c:pt idx="101">
                  <c:v>37790</c:v>
                </c:pt>
                <c:pt idx="102">
                  <c:v>37791</c:v>
                </c:pt>
                <c:pt idx="103">
                  <c:v>37792</c:v>
                </c:pt>
                <c:pt idx="104">
                  <c:v>37795</c:v>
                </c:pt>
                <c:pt idx="105">
                  <c:v>37796</c:v>
                </c:pt>
                <c:pt idx="106">
                  <c:v>37797</c:v>
                </c:pt>
                <c:pt idx="107">
                  <c:v>37798</c:v>
                </c:pt>
                <c:pt idx="108">
                  <c:v>37799</c:v>
                </c:pt>
                <c:pt idx="109">
                  <c:v>37802</c:v>
                </c:pt>
                <c:pt idx="110">
                  <c:v>37803</c:v>
                </c:pt>
                <c:pt idx="111">
                  <c:v>37804</c:v>
                </c:pt>
                <c:pt idx="112">
                  <c:v>37805</c:v>
                </c:pt>
                <c:pt idx="113">
                  <c:v>37806</c:v>
                </c:pt>
                <c:pt idx="114">
                  <c:v>37809</c:v>
                </c:pt>
                <c:pt idx="115">
                  <c:v>37810</c:v>
                </c:pt>
                <c:pt idx="116">
                  <c:v>37811</c:v>
                </c:pt>
                <c:pt idx="117">
                  <c:v>37812</c:v>
                </c:pt>
                <c:pt idx="118">
                  <c:v>37813</c:v>
                </c:pt>
                <c:pt idx="119">
                  <c:v>37816</c:v>
                </c:pt>
                <c:pt idx="120">
                  <c:v>37817</c:v>
                </c:pt>
                <c:pt idx="121">
                  <c:v>37818</c:v>
                </c:pt>
                <c:pt idx="122">
                  <c:v>37819</c:v>
                </c:pt>
                <c:pt idx="123">
                  <c:v>37820</c:v>
                </c:pt>
                <c:pt idx="124">
                  <c:v>37823</c:v>
                </c:pt>
                <c:pt idx="125">
                  <c:v>37824</c:v>
                </c:pt>
                <c:pt idx="126">
                  <c:v>37825</c:v>
                </c:pt>
                <c:pt idx="127">
                  <c:v>37826</c:v>
                </c:pt>
                <c:pt idx="128">
                  <c:v>37827</c:v>
                </c:pt>
                <c:pt idx="129">
                  <c:v>37830</c:v>
                </c:pt>
                <c:pt idx="130">
                  <c:v>37831</c:v>
                </c:pt>
                <c:pt idx="131">
                  <c:v>37832</c:v>
                </c:pt>
                <c:pt idx="132">
                  <c:v>37833</c:v>
                </c:pt>
                <c:pt idx="133">
                  <c:v>37834</c:v>
                </c:pt>
                <c:pt idx="134">
                  <c:v>37837</c:v>
                </c:pt>
                <c:pt idx="135">
                  <c:v>37838</c:v>
                </c:pt>
                <c:pt idx="136">
                  <c:v>37839</c:v>
                </c:pt>
                <c:pt idx="137">
                  <c:v>37840</c:v>
                </c:pt>
                <c:pt idx="138">
                  <c:v>37841</c:v>
                </c:pt>
                <c:pt idx="139">
                  <c:v>37844</c:v>
                </c:pt>
                <c:pt idx="140">
                  <c:v>37845</c:v>
                </c:pt>
                <c:pt idx="141">
                  <c:v>37846</c:v>
                </c:pt>
                <c:pt idx="142">
                  <c:v>37847</c:v>
                </c:pt>
                <c:pt idx="143">
                  <c:v>37848</c:v>
                </c:pt>
                <c:pt idx="144">
                  <c:v>37851</c:v>
                </c:pt>
                <c:pt idx="145">
                  <c:v>37852</c:v>
                </c:pt>
                <c:pt idx="146">
                  <c:v>37853</c:v>
                </c:pt>
                <c:pt idx="147">
                  <c:v>37854</c:v>
                </c:pt>
                <c:pt idx="148">
                  <c:v>37855</c:v>
                </c:pt>
                <c:pt idx="149">
                  <c:v>37858</c:v>
                </c:pt>
                <c:pt idx="150">
                  <c:v>37859</c:v>
                </c:pt>
                <c:pt idx="151">
                  <c:v>37860</c:v>
                </c:pt>
                <c:pt idx="152">
                  <c:v>37861</c:v>
                </c:pt>
                <c:pt idx="153">
                  <c:v>37862</c:v>
                </c:pt>
                <c:pt idx="154">
                  <c:v>37866</c:v>
                </c:pt>
                <c:pt idx="155">
                  <c:v>37867</c:v>
                </c:pt>
                <c:pt idx="156">
                  <c:v>37868</c:v>
                </c:pt>
                <c:pt idx="157">
                  <c:v>37869</c:v>
                </c:pt>
                <c:pt idx="158">
                  <c:v>37872</c:v>
                </c:pt>
                <c:pt idx="159">
                  <c:v>37873</c:v>
                </c:pt>
                <c:pt idx="160">
                  <c:v>37874</c:v>
                </c:pt>
                <c:pt idx="161">
                  <c:v>37875</c:v>
                </c:pt>
                <c:pt idx="162">
                  <c:v>37876</c:v>
                </c:pt>
                <c:pt idx="163">
                  <c:v>37879</c:v>
                </c:pt>
                <c:pt idx="164">
                  <c:v>37880</c:v>
                </c:pt>
                <c:pt idx="165">
                  <c:v>37881</c:v>
                </c:pt>
                <c:pt idx="166">
                  <c:v>37882</c:v>
                </c:pt>
                <c:pt idx="167">
                  <c:v>37883</c:v>
                </c:pt>
                <c:pt idx="168">
                  <c:v>37886</c:v>
                </c:pt>
                <c:pt idx="169">
                  <c:v>37887</c:v>
                </c:pt>
                <c:pt idx="170">
                  <c:v>37888</c:v>
                </c:pt>
                <c:pt idx="171">
                  <c:v>37889</c:v>
                </c:pt>
                <c:pt idx="172">
                  <c:v>37890</c:v>
                </c:pt>
                <c:pt idx="173">
                  <c:v>37893</c:v>
                </c:pt>
                <c:pt idx="174">
                  <c:v>37894</c:v>
                </c:pt>
                <c:pt idx="175">
                  <c:v>37895</c:v>
                </c:pt>
                <c:pt idx="176">
                  <c:v>37896</c:v>
                </c:pt>
                <c:pt idx="177">
                  <c:v>37897</c:v>
                </c:pt>
                <c:pt idx="178">
                  <c:v>37900</c:v>
                </c:pt>
                <c:pt idx="179">
                  <c:v>37901</c:v>
                </c:pt>
                <c:pt idx="180">
                  <c:v>37902</c:v>
                </c:pt>
                <c:pt idx="181">
                  <c:v>37903</c:v>
                </c:pt>
                <c:pt idx="182">
                  <c:v>37904</c:v>
                </c:pt>
                <c:pt idx="183">
                  <c:v>37907</c:v>
                </c:pt>
                <c:pt idx="184">
                  <c:v>37908</c:v>
                </c:pt>
                <c:pt idx="185">
                  <c:v>37909</c:v>
                </c:pt>
                <c:pt idx="186">
                  <c:v>37910</c:v>
                </c:pt>
                <c:pt idx="187">
                  <c:v>37911</c:v>
                </c:pt>
                <c:pt idx="188">
                  <c:v>37914</c:v>
                </c:pt>
                <c:pt idx="189">
                  <c:v>37915</c:v>
                </c:pt>
                <c:pt idx="190">
                  <c:v>37916</c:v>
                </c:pt>
                <c:pt idx="191">
                  <c:v>37917</c:v>
                </c:pt>
                <c:pt idx="192">
                  <c:v>37921</c:v>
                </c:pt>
                <c:pt idx="193">
                  <c:v>37922</c:v>
                </c:pt>
                <c:pt idx="194">
                  <c:v>37923</c:v>
                </c:pt>
                <c:pt idx="195">
                  <c:v>37924</c:v>
                </c:pt>
                <c:pt idx="196">
                  <c:v>37925</c:v>
                </c:pt>
                <c:pt idx="197">
                  <c:v>37928</c:v>
                </c:pt>
                <c:pt idx="198">
                  <c:v>37929</c:v>
                </c:pt>
                <c:pt idx="199">
                  <c:v>37930</c:v>
                </c:pt>
                <c:pt idx="200">
                  <c:v>37931</c:v>
                </c:pt>
                <c:pt idx="201">
                  <c:v>37932</c:v>
                </c:pt>
                <c:pt idx="202">
                  <c:v>37935</c:v>
                </c:pt>
                <c:pt idx="203">
                  <c:v>37936</c:v>
                </c:pt>
                <c:pt idx="204">
                  <c:v>37937</c:v>
                </c:pt>
                <c:pt idx="205">
                  <c:v>37938</c:v>
                </c:pt>
                <c:pt idx="206">
                  <c:v>37939</c:v>
                </c:pt>
                <c:pt idx="207">
                  <c:v>37942</c:v>
                </c:pt>
                <c:pt idx="208">
                  <c:v>37943</c:v>
                </c:pt>
                <c:pt idx="209">
                  <c:v>37944</c:v>
                </c:pt>
                <c:pt idx="210">
                  <c:v>37945</c:v>
                </c:pt>
                <c:pt idx="211">
                  <c:v>37946</c:v>
                </c:pt>
                <c:pt idx="212">
                  <c:v>37952</c:v>
                </c:pt>
                <c:pt idx="213">
                  <c:v>37953</c:v>
                </c:pt>
                <c:pt idx="214">
                  <c:v>37956</c:v>
                </c:pt>
                <c:pt idx="215">
                  <c:v>37957</c:v>
                </c:pt>
                <c:pt idx="216">
                  <c:v>37958</c:v>
                </c:pt>
                <c:pt idx="217">
                  <c:v>37959</c:v>
                </c:pt>
                <c:pt idx="218">
                  <c:v>37960</c:v>
                </c:pt>
                <c:pt idx="219">
                  <c:v>37963</c:v>
                </c:pt>
                <c:pt idx="220">
                  <c:v>37964</c:v>
                </c:pt>
                <c:pt idx="221">
                  <c:v>37965</c:v>
                </c:pt>
                <c:pt idx="222">
                  <c:v>37966</c:v>
                </c:pt>
                <c:pt idx="223">
                  <c:v>37967</c:v>
                </c:pt>
                <c:pt idx="224">
                  <c:v>37970</c:v>
                </c:pt>
                <c:pt idx="225">
                  <c:v>37971</c:v>
                </c:pt>
                <c:pt idx="226">
                  <c:v>37972</c:v>
                </c:pt>
                <c:pt idx="227">
                  <c:v>37973</c:v>
                </c:pt>
                <c:pt idx="228">
                  <c:v>37974</c:v>
                </c:pt>
                <c:pt idx="229">
                  <c:v>37977</c:v>
                </c:pt>
                <c:pt idx="230">
                  <c:v>37978</c:v>
                </c:pt>
                <c:pt idx="231">
                  <c:v>37979</c:v>
                </c:pt>
                <c:pt idx="232">
                  <c:v>37981</c:v>
                </c:pt>
                <c:pt idx="233">
                  <c:v>37984</c:v>
                </c:pt>
                <c:pt idx="234">
                  <c:v>37985</c:v>
                </c:pt>
                <c:pt idx="235">
                  <c:v>37986</c:v>
                </c:pt>
                <c:pt idx="236">
                  <c:v>37988</c:v>
                </c:pt>
                <c:pt idx="237">
                  <c:v>37991</c:v>
                </c:pt>
                <c:pt idx="238">
                  <c:v>37992</c:v>
                </c:pt>
                <c:pt idx="239">
                  <c:v>37993</c:v>
                </c:pt>
                <c:pt idx="240">
                  <c:v>37994</c:v>
                </c:pt>
                <c:pt idx="241">
                  <c:v>37995</c:v>
                </c:pt>
                <c:pt idx="242">
                  <c:v>37998</c:v>
                </c:pt>
                <c:pt idx="243">
                  <c:v>37999</c:v>
                </c:pt>
                <c:pt idx="244">
                  <c:v>38000</c:v>
                </c:pt>
              </c:numCache>
            </c:numRef>
          </c:cat>
          <c:val>
            <c:numRef>
              <c:f>[1]FCPO!$K$5442:$K$5686</c:f>
              <c:numCache>
                <c:formatCode>General</c:formatCode>
                <c:ptCount val="245"/>
                <c:pt idx="0">
                  <c:v>1627</c:v>
                </c:pt>
                <c:pt idx="1">
                  <c:v>1619</c:v>
                </c:pt>
                <c:pt idx="2">
                  <c:v>1600</c:v>
                </c:pt>
                <c:pt idx="3">
                  <c:v>1591</c:v>
                </c:pt>
                <c:pt idx="4">
                  <c:v>1611</c:v>
                </c:pt>
                <c:pt idx="5">
                  <c:v>1635</c:v>
                </c:pt>
                <c:pt idx="6">
                  <c:v>1627</c:v>
                </c:pt>
                <c:pt idx="7">
                  <c:v>1632</c:v>
                </c:pt>
                <c:pt idx="8">
                  <c:v>1633</c:v>
                </c:pt>
                <c:pt idx="9">
                  <c:v>1614</c:v>
                </c:pt>
                <c:pt idx="10">
                  <c:v>1619</c:v>
                </c:pt>
                <c:pt idx="11">
                  <c:v>1623</c:v>
                </c:pt>
                <c:pt idx="12">
                  <c:v>1607</c:v>
                </c:pt>
                <c:pt idx="13">
                  <c:v>1594</c:v>
                </c:pt>
                <c:pt idx="14">
                  <c:v>1600</c:v>
                </c:pt>
                <c:pt idx="15">
                  <c:v>1600</c:v>
                </c:pt>
                <c:pt idx="16">
                  <c:v>1590</c:v>
                </c:pt>
                <c:pt idx="17">
                  <c:v>1592</c:v>
                </c:pt>
                <c:pt idx="18">
                  <c:v>1597</c:v>
                </c:pt>
                <c:pt idx="19">
                  <c:v>1607</c:v>
                </c:pt>
                <c:pt idx="20">
                  <c:v>1612</c:v>
                </c:pt>
                <c:pt idx="21">
                  <c:v>1610</c:v>
                </c:pt>
                <c:pt idx="22">
                  <c:v>1613</c:v>
                </c:pt>
                <c:pt idx="23">
                  <c:v>1614</c:v>
                </c:pt>
                <c:pt idx="24">
                  <c:v>1603</c:v>
                </c:pt>
                <c:pt idx="25">
                  <c:v>1608</c:v>
                </c:pt>
                <c:pt idx="26">
                  <c:v>1605</c:v>
                </c:pt>
                <c:pt idx="27">
                  <c:v>1594</c:v>
                </c:pt>
                <c:pt idx="28">
                  <c:v>1580</c:v>
                </c:pt>
                <c:pt idx="29">
                  <c:v>1518</c:v>
                </c:pt>
                <c:pt idx="30">
                  <c:v>1527</c:v>
                </c:pt>
                <c:pt idx="31">
                  <c:v>1528</c:v>
                </c:pt>
                <c:pt idx="32">
                  <c:v>1491</c:v>
                </c:pt>
                <c:pt idx="33">
                  <c:v>1484</c:v>
                </c:pt>
                <c:pt idx="34">
                  <c:v>1501</c:v>
                </c:pt>
                <c:pt idx="35">
                  <c:v>1492</c:v>
                </c:pt>
                <c:pt idx="36">
                  <c:v>1504</c:v>
                </c:pt>
                <c:pt idx="37">
                  <c:v>1480</c:v>
                </c:pt>
                <c:pt idx="38">
                  <c:v>1477</c:v>
                </c:pt>
                <c:pt idx="39">
                  <c:v>1478</c:v>
                </c:pt>
                <c:pt idx="40">
                  <c:v>1446</c:v>
                </c:pt>
                <c:pt idx="41">
                  <c:v>1455</c:v>
                </c:pt>
                <c:pt idx="42">
                  <c:v>1417</c:v>
                </c:pt>
                <c:pt idx="43">
                  <c:v>1391</c:v>
                </c:pt>
                <c:pt idx="44">
                  <c:v>1405</c:v>
                </c:pt>
                <c:pt idx="45">
                  <c:v>1452</c:v>
                </c:pt>
                <c:pt idx="46">
                  <c:v>1460</c:v>
                </c:pt>
                <c:pt idx="47">
                  <c:v>1433</c:v>
                </c:pt>
                <c:pt idx="48">
                  <c:v>1430</c:v>
                </c:pt>
                <c:pt idx="49">
                  <c:v>1456</c:v>
                </c:pt>
                <c:pt idx="50">
                  <c:v>1465</c:v>
                </c:pt>
                <c:pt idx="51">
                  <c:v>1452</c:v>
                </c:pt>
                <c:pt idx="52">
                  <c:v>1480</c:v>
                </c:pt>
                <c:pt idx="53">
                  <c:v>1443</c:v>
                </c:pt>
                <c:pt idx="54">
                  <c:v>1434</c:v>
                </c:pt>
                <c:pt idx="55">
                  <c:v>1445</c:v>
                </c:pt>
                <c:pt idx="56">
                  <c:v>1424</c:v>
                </c:pt>
                <c:pt idx="57">
                  <c:v>1399</c:v>
                </c:pt>
                <c:pt idx="58">
                  <c:v>1379</c:v>
                </c:pt>
                <c:pt idx="59">
                  <c:v>1377</c:v>
                </c:pt>
                <c:pt idx="60">
                  <c:v>1370</c:v>
                </c:pt>
                <c:pt idx="61">
                  <c:v>1374</c:v>
                </c:pt>
                <c:pt idx="62">
                  <c:v>1362</c:v>
                </c:pt>
                <c:pt idx="63">
                  <c:v>1338</c:v>
                </c:pt>
                <c:pt idx="64">
                  <c:v>1349</c:v>
                </c:pt>
                <c:pt idx="65">
                  <c:v>1340</c:v>
                </c:pt>
                <c:pt idx="66">
                  <c:v>1347</c:v>
                </c:pt>
                <c:pt idx="67">
                  <c:v>1364</c:v>
                </c:pt>
                <c:pt idx="68">
                  <c:v>1353</c:v>
                </c:pt>
                <c:pt idx="69">
                  <c:v>1355</c:v>
                </c:pt>
                <c:pt idx="70">
                  <c:v>1374</c:v>
                </c:pt>
                <c:pt idx="71">
                  <c:v>1364</c:v>
                </c:pt>
                <c:pt idx="72">
                  <c:v>1361</c:v>
                </c:pt>
                <c:pt idx="73">
                  <c:v>1382</c:v>
                </c:pt>
                <c:pt idx="74">
                  <c:v>1389</c:v>
                </c:pt>
                <c:pt idx="75">
                  <c:v>1406</c:v>
                </c:pt>
                <c:pt idx="76">
                  <c:v>1443</c:v>
                </c:pt>
                <c:pt idx="77">
                  <c:v>1435</c:v>
                </c:pt>
                <c:pt idx="78">
                  <c:v>1433</c:v>
                </c:pt>
                <c:pt idx="79">
                  <c:v>1413</c:v>
                </c:pt>
                <c:pt idx="80">
                  <c:v>1421</c:v>
                </c:pt>
                <c:pt idx="81">
                  <c:v>1420</c:v>
                </c:pt>
                <c:pt idx="82">
                  <c:v>1400</c:v>
                </c:pt>
                <c:pt idx="83">
                  <c:v>1390</c:v>
                </c:pt>
                <c:pt idx="84">
                  <c:v>1376</c:v>
                </c:pt>
                <c:pt idx="85">
                  <c:v>1371</c:v>
                </c:pt>
                <c:pt idx="86">
                  <c:v>1396</c:v>
                </c:pt>
                <c:pt idx="87">
                  <c:v>1399</c:v>
                </c:pt>
                <c:pt idx="88">
                  <c:v>1416</c:v>
                </c:pt>
                <c:pt idx="89">
                  <c:v>1419</c:v>
                </c:pt>
                <c:pt idx="90">
                  <c:v>1388</c:v>
                </c:pt>
                <c:pt idx="91">
                  <c:v>1411</c:v>
                </c:pt>
                <c:pt idx="92">
                  <c:v>1415</c:v>
                </c:pt>
                <c:pt idx="93">
                  <c:v>1406</c:v>
                </c:pt>
                <c:pt idx="94">
                  <c:v>1421</c:v>
                </c:pt>
                <c:pt idx="95">
                  <c:v>1440</c:v>
                </c:pt>
                <c:pt idx="96">
                  <c:v>1440</c:v>
                </c:pt>
                <c:pt idx="97">
                  <c:v>1450</c:v>
                </c:pt>
                <c:pt idx="98">
                  <c:v>1457</c:v>
                </c:pt>
                <c:pt idx="99">
                  <c:v>1408</c:v>
                </c:pt>
                <c:pt idx="100">
                  <c:v>1426</c:v>
                </c:pt>
                <c:pt idx="101">
                  <c:v>1444</c:v>
                </c:pt>
                <c:pt idx="102">
                  <c:v>1448</c:v>
                </c:pt>
                <c:pt idx="103">
                  <c:v>1452</c:v>
                </c:pt>
                <c:pt idx="104">
                  <c:v>1421</c:v>
                </c:pt>
                <c:pt idx="105">
                  <c:v>1409</c:v>
                </c:pt>
                <c:pt idx="106">
                  <c:v>1413</c:v>
                </c:pt>
                <c:pt idx="107">
                  <c:v>1398</c:v>
                </c:pt>
                <c:pt idx="108">
                  <c:v>1404</c:v>
                </c:pt>
                <c:pt idx="109">
                  <c:v>1408</c:v>
                </c:pt>
                <c:pt idx="110">
                  <c:v>1410</c:v>
                </c:pt>
                <c:pt idx="111">
                  <c:v>1411</c:v>
                </c:pt>
                <c:pt idx="112">
                  <c:v>1422</c:v>
                </c:pt>
                <c:pt idx="113">
                  <c:v>1424</c:v>
                </c:pt>
                <c:pt idx="114">
                  <c:v>1417</c:v>
                </c:pt>
                <c:pt idx="115">
                  <c:v>1421</c:v>
                </c:pt>
                <c:pt idx="116">
                  <c:v>1412</c:v>
                </c:pt>
                <c:pt idx="117">
                  <c:v>1407</c:v>
                </c:pt>
                <c:pt idx="118">
                  <c:v>1409</c:v>
                </c:pt>
                <c:pt idx="119">
                  <c:v>1416</c:v>
                </c:pt>
                <c:pt idx="120">
                  <c:v>1418</c:v>
                </c:pt>
                <c:pt idx="121">
                  <c:v>1363</c:v>
                </c:pt>
                <c:pt idx="122">
                  <c:v>1350</c:v>
                </c:pt>
                <c:pt idx="123">
                  <c:v>1363</c:v>
                </c:pt>
                <c:pt idx="124">
                  <c:v>1349</c:v>
                </c:pt>
                <c:pt idx="125">
                  <c:v>1331</c:v>
                </c:pt>
                <c:pt idx="126">
                  <c:v>1288</c:v>
                </c:pt>
                <c:pt idx="127">
                  <c:v>1288</c:v>
                </c:pt>
                <c:pt idx="128">
                  <c:v>1302</c:v>
                </c:pt>
                <c:pt idx="129">
                  <c:v>1310</c:v>
                </c:pt>
                <c:pt idx="130">
                  <c:v>1292</c:v>
                </c:pt>
                <c:pt idx="131">
                  <c:v>1286</c:v>
                </c:pt>
                <c:pt idx="132">
                  <c:v>1280</c:v>
                </c:pt>
                <c:pt idx="133">
                  <c:v>1255</c:v>
                </c:pt>
                <c:pt idx="134">
                  <c:v>1243</c:v>
                </c:pt>
                <c:pt idx="135">
                  <c:v>1242</c:v>
                </c:pt>
                <c:pt idx="136">
                  <c:v>1261</c:v>
                </c:pt>
                <c:pt idx="137">
                  <c:v>1272</c:v>
                </c:pt>
                <c:pt idx="138">
                  <c:v>1261</c:v>
                </c:pt>
                <c:pt idx="139">
                  <c:v>1269</c:v>
                </c:pt>
                <c:pt idx="140">
                  <c:v>1281</c:v>
                </c:pt>
                <c:pt idx="141">
                  <c:v>1288</c:v>
                </c:pt>
                <c:pt idx="142">
                  <c:v>1279</c:v>
                </c:pt>
                <c:pt idx="143">
                  <c:v>1266</c:v>
                </c:pt>
                <c:pt idx="144">
                  <c:v>1277</c:v>
                </c:pt>
                <c:pt idx="145">
                  <c:v>1287</c:v>
                </c:pt>
                <c:pt idx="146">
                  <c:v>1292</c:v>
                </c:pt>
                <c:pt idx="147">
                  <c:v>1320</c:v>
                </c:pt>
                <c:pt idx="148">
                  <c:v>1316</c:v>
                </c:pt>
                <c:pt idx="149">
                  <c:v>1305</c:v>
                </c:pt>
                <c:pt idx="150">
                  <c:v>1319</c:v>
                </c:pt>
                <c:pt idx="151">
                  <c:v>1322</c:v>
                </c:pt>
                <c:pt idx="152">
                  <c:v>1336</c:v>
                </c:pt>
                <c:pt idx="153">
                  <c:v>1339</c:v>
                </c:pt>
                <c:pt idx="154">
                  <c:v>1324</c:v>
                </c:pt>
                <c:pt idx="155">
                  <c:v>1296</c:v>
                </c:pt>
                <c:pt idx="156">
                  <c:v>1293</c:v>
                </c:pt>
                <c:pt idx="157">
                  <c:v>1304</c:v>
                </c:pt>
                <c:pt idx="158">
                  <c:v>1292</c:v>
                </c:pt>
                <c:pt idx="159">
                  <c:v>1293</c:v>
                </c:pt>
                <c:pt idx="160">
                  <c:v>1309</c:v>
                </c:pt>
                <c:pt idx="161">
                  <c:v>1313</c:v>
                </c:pt>
                <c:pt idx="162">
                  <c:v>1338</c:v>
                </c:pt>
                <c:pt idx="163">
                  <c:v>1345</c:v>
                </c:pt>
                <c:pt idx="164">
                  <c:v>1350</c:v>
                </c:pt>
                <c:pt idx="165">
                  <c:v>1379</c:v>
                </c:pt>
                <c:pt idx="166">
                  <c:v>1371</c:v>
                </c:pt>
                <c:pt idx="167">
                  <c:v>1415</c:v>
                </c:pt>
                <c:pt idx="168">
                  <c:v>1429</c:v>
                </c:pt>
                <c:pt idx="169">
                  <c:v>1406</c:v>
                </c:pt>
                <c:pt idx="170">
                  <c:v>1418</c:v>
                </c:pt>
                <c:pt idx="171">
                  <c:v>1437</c:v>
                </c:pt>
                <c:pt idx="172">
                  <c:v>1418</c:v>
                </c:pt>
                <c:pt idx="173">
                  <c:v>1469</c:v>
                </c:pt>
                <c:pt idx="174">
                  <c:v>1460</c:v>
                </c:pt>
                <c:pt idx="175">
                  <c:v>1462</c:v>
                </c:pt>
                <c:pt idx="176">
                  <c:v>1518</c:v>
                </c:pt>
                <c:pt idx="177">
                  <c:v>1519</c:v>
                </c:pt>
                <c:pt idx="178">
                  <c:v>1478</c:v>
                </c:pt>
                <c:pt idx="179">
                  <c:v>1480</c:v>
                </c:pt>
                <c:pt idx="180">
                  <c:v>1508</c:v>
                </c:pt>
                <c:pt idx="181">
                  <c:v>1520</c:v>
                </c:pt>
                <c:pt idx="182">
                  <c:v>1508</c:v>
                </c:pt>
                <c:pt idx="183">
                  <c:v>1608</c:v>
                </c:pt>
                <c:pt idx="184">
                  <c:v>1651</c:v>
                </c:pt>
                <c:pt idx="185">
                  <c:v>1650</c:v>
                </c:pt>
                <c:pt idx="186">
                  <c:v>1644</c:v>
                </c:pt>
                <c:pt idx="187">
                  <c:v>1682</c:v>
                </c:pt>
                <c:pt idx="188">
                  <c:v>1710</c:v>
                </c:pt>
                <c:pt idx="189">
                  <c:v>1655</c:v>
                </c:pt>
                <c:pt idx="190">
                  <c:v>1692</c:v>
                </c:pt>
                <c:pt idx="191">
                  <c:v>1780</c:v>
                </c:pt>
                <c:pt idx="192">
                  <c:v>1806</c:v>
                </c:pt>
                <c:pt idx="193">
                  <c:v>1765</c:v>
                </c:pt>
                <c:pt idx="194">
                  <c:v>1830</c:v>
                </c:pt>
                <c:pt idx="195">
                  <c:v>1795</c:v>
                </c:pt>
                <c:pt idx="196">
                  <c:v>1762</c:v>
                </c:pt>
                <c:pt idx="197">
                  <c:v>1806</c:v>
                </c:pt>
                <c:pt idx="198">
                  <c:v>1787</c:v>
                </c:pt>
                <c:pt idx="199">
                  <c:v>1736</c:v>
                </c:pt>
                <c:pt idx="200">
                  <c:v>1710</c:v>
                </c:pt>
                <c:pt idx="201">
                  <c:v>1704</c:v>
                </c:pt>
                <c:pt idx="202">
                  <c:v>1635</c:v>
                </c:pt>
                <c:pt idx="203">
                  <c:v>1707</c:v>
                </c:pt>
                <c:pt idx="204">
                  <c:v>1698</c:v>
                </c:pt>
                <c:pt idx="205">
                  <c:v>1746</c:v>
                </c:pt>
                <c:pt idx="206">
                  <c:v>1834</c:v>
                </c:pt>
                <c:pt idx="207">
                  <c:v>1788</c:v>
                </c:pt>
                <c:pt idx="208">
                  <c:v>1751</c:v>
                </c:pt>
                <c:pt idx="209">
                  <c:v>1708</c:v>
                </c:pt>
                <c:pt idx="210">
                  <c:v>1720</c:v>
                </c:pt>
                <c:pt idx="211">
                  <c:v>1752</c:v>
                </c:pt>
                <c:pt idx="212">
                  <c:v>1747</c:v>
                </c:pt>
                <c:pt idx="213">
                  <c:v>1737</c:v>
                </c:pt>
                <c:pt idx="214">
                  <c:v>1782</c:v>
                </c:pt>
                <c:pt idx="215">
                  <c:v>1762</c:v>
                </c:pt>
                <c:pt idx="216">
                  <c:v>1787</c:v>
                </c:pt>
                <c:pt idx="217">
                  <c:v>1784</c:v>
                </c:pt>
                <c:pt idx="218">
                  <c:v>1780</c:v>
                </c:pt>
                <c:pt idx="219">
                  <c:v>1823</c:v>
                </c:pt>
                <c:pt idx="220">
                  <c:v>1844</c:v>
                </c:pt>
                <c:pt idx="221">
                  <c:v>1840</c:v>
                </c:pt>
                <c:pt idx="222">
                  <c:v>1808</c:v>
                </c:pt>
                <c:pt idx="223">
                  <c:v>1775</c:v>
                </c:pt>
                <c:pt idx="224">
                  <c:v>1811</c:v>
                </c:pt>
                <c:pt idx="225">
                  <c:v>1787</c:v>
                </c:pt>
                <c:pt idx="226">
                  <c:v>1781</c:v>
                </c:pt>
                <c:pt idx="227">
                  <c:v>1773</c:v>
                </c:pt>
                <c:pt idx="228">
                  <c:v>1795</c:v>
                </c:pt>
                <c:pt idx="229">
                  <c:v>1756</c:v>
                </c:pt>
                <c:pt idx="230">
                  <c:v>1739</c:v>
                </c:pt>
                <c:pt idx="231">
                  <c:v>1720</c:v>
                </c:pt>
                <c:pt idx="232">
                  <c:v>1757</c:v>
                </c:pt>
                <c:pt idx="233">
                  <c:v>1812</c:v>
                </c:pt>
                <c:pt idx="234">
                  <c:v>1770</c:v>
                </c:pt>
                <c:pt idx="235">
                  <c:v>1774</c:v>
                </c:pt>
                <c:pt idx="236">
                  <c:v>1766</c:v>
                </c:pt>
                <c:pt idx="237">
                  <c:v>1784</c:v>
                </c:pt>
                <c:pt idx="238">
                  <c:v>1778</c:v>
                </c:pt>
                <c:pt idx="239">
                  <c:v>1746</c:v>
                </c:pt>
                <c:pt idx="240">
                  <c:v>1720</c:v>
                </c:pt>
                <c:pt idx="241">
                  <c:v>1737</c:v>
                </c:pt>
                <c:pt idx="242">
                  <c:v>1684</c:v>
                </c:pt>
                <c:pt idx="243">
                  <c:v>1725</c:v>
                </c:pt>
                <c:pt idx="244">
                  <c:v>1733</c:v>
                </c:pt>
              </c:numCache>
            </c:numRef>
          </c:val>
        </c:ser>
        <c:marker val="1"/>
        <c:axId val="132529152"/>
        <c:axId val="132551424"/>
      </c:lineChart>
      <c:catAx>
        <c:axId val="132529152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51424"/>
        <c:crossesAt val="44"/>
        <c:lblAlgn val="ctr"/>
        <c:lblOffset val="100"/>
        <c:tickLblSkip val="10"/>
        <c:tickMarkSkip val="1"/>
      </c:catAx>
      <c:valAx>
        <c:axId val="132551424"/>
        <c:scaling>
          <c:orientation val="minMax"/>
          <c:max val="1950"/>
          <c:min val="1100"/>
        </c:scaling>
        <c:axPos val="l"/>
        <c:numFmt formatCode="#,##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29152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644179923201"/>
          <c:y val="0.17105290632212808"/>
          <c:w val="0.35342830395369773"/>
          <c:h val="5.263166348373171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ko-KR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FKB3 Third Quarterly Month Futures</a:t>
            </a:r>
          </a:p>
        </c:rich>
      </c:tx>
      <c:layout>
        <c:manualLayout>
          <c:xMode val="edge"/>
          <c:yMode val="edge"/>
          <c:x val="0.36192714453584035"/>
          <c:y val="2.08334039761148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9330199764982378E-2"/>
          <c:y val="5.2083509940287091E-2"/>
          <c:w val="0.90599294947121012"/>
          <c:h val="0.73264137316003852"/>
        </c:manualLayout>
      </c:layout>
      <c:lineChart>
        <c:grouping val="standard"/>
        <c:ser>
          <c:idx val="2"/>
          <c:order val="0"/>
          <c:tx>
            <c:strRef>
              <c:f>[1]FKB3!$H$2</c:f>
              <c:strCache>
                <c:ptCount val="1"/>
                <c:pt idx="0">
                  <c:v>Settlement Price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[1]FKB3!$A$667:$A$871</c:f>
              <c:numCache>
                <c:formatCode>General</c:formatCode>
                <c:ptCount val="205"/>
                <c:pt idx="0">
                  <c:v>37700</c:v>
                </c:pt>
                <c:pt idx="1">
                  <c:v>37701</c:v>
                </c:pt>
                <c:pt idx="2">
                  <c:v>37704</c:v>
                </c:pt>
                <c:pt idx="3">
                  <c:v>37705</c:v>
                </c:pt>
                <c:pt idx="4">
                  <c:v>37706</c:v>
                </c:pt>
                <c:pt idx="5">
                  <c:v>37707</c:v>
                </c:pt>
                <c:pt idx="6">
                  <c:v>37708</c:v>
                </c:pt>
                <c:pt idx="7">
                  <c:v>37711</c:v>
                </c:pt>
                <c:pt idx="8">
                  <c:v>37712</c:v>
                </c:pt>
                <c:pt idx="9">
                  <c:v>37713</c:v>
                </c:pt>
                <c:pt idx="10">
                  <c:v>37714</c:v>
                </c:pt>
                <c:pt idx="11">
                  <c:v>37715</c:v>
                </c:pt>
                <c:pt idx="12">
                  <c:v>37718</c:v>
                </c:pt>
                <c:pt idx="13">
                  <c:v>37719</c:v>
                </c:pt>
                <c:pt idx="14">
                  <c:v>37720</c:v>
                </c:pt>
                <c:pt idx="15">
                  <c:v>37721</c:v>
                </c:pt>
                <c:pt idx="16">
                  <c:v>37722</c:v>
                </c:pt>
                <c:pt idx="17">
                  <c:v>37725</c:v>
                </c:pt>
                <c:pt idx="18">
                  <c:v>37726</c:v>
                </c:pt>
                <c:pt idx="19">
                  <c:v>37727</c:v>
                </c:pt>
                <c:pt idx="20">
                  <c:v>37728</c:v>
                </c:pt>
                <c:pt idx="21">
                  <c:v>37729</c:v>
                </c:pt>
                <c:pt idx="22">
                  <c:v>37732</c:v>
                </c:pt>
                <c:pt idx="23">
                  <c:v>37733</c:v>
                </c:pt>
                <c:pt idx="24">
                  <c:v>37734</c:v>
                </c:pt>
                <c:pt idx="25">
                  <c:v>37735</c:v>
                </c:pt>
                <c:pt idx="26">
                  <c:v>37736</c:v>
                </c:pt>
                <c:pt idx="27">
                  <c:v>37739</c:v>
                </c:pt>
                <c:pt idx="28">
                  <c:v>37740</c:v>
                </c:pt>
                <c:pt idx="29">
                  <c:v>37741</c:v>
                </c:pt>
                <c:pt idx="30">
                  <c:v>37743</c:v>
                </c:pt>
                <c:pt idx="31">
                  <c:v>37746</c:v>
                </c:pt>
                <c:pt idx="32">
                  <c:v>37747</c:v>
                </c:pt>
                <c:pt idx="33">
                  <c:v>37748</c:v>
                </c:pt>
                <c:pt idx="34">
                  <c:v>37749</c:v>
                </c:pt>
                <c:pt idx="35">
                  <c:v>37750</c:v>
                </c:pt>
                <c:pt idx="36">
                  <c:v>37753</c:v>
                </c:pt>
                <c:pt idx="37">
                  <c:v>37754</c:v>
                </c:pt>
                <c:pt idx="38">
                  <c:v>37757</c:v>
                </c:pt>
                <c:pt idx="39">
                  <c:v>37760</c:v>
                </c:pt>
                <c:pt idx="40">
                  <c:v>37761</c:v>
                </c:pt>
                <c:pt idx="41">
                  <c:v>37762</c:v>
                </c:pt>
                <c:pt idx="42">
                  <c:v>37763</c:v>
                </c:pt>
                <c:pt idx="43">
                  <c:v>37764</c:v>
                </c:pt>
                <c:pt idx="44">
                  <c:v>37767</c:v>
                </c:pt>
                <c:pt idx="45">
                  <c:v>37768</c:v>
                </c:pt>
                <c:pt idx="46">
                  <c:v>37769</c:v>
                </c:pt>
                <c:pt idx="47">
                  <c:v>37770</c:v>
                </c:pt>
                <c:pt idx="48">
                  <c:v>37771</c:v>
                </c:pt>
                <c:pt idx="49">
                  <c:v>37774</c:v>
                </c:pt>
                <c:pt idx="50">
                  <c:v>37775</c:v>
                </c:pt>
                <c:pt idx="51">
                  <c:v>37776</c:v>
                </c:pt>
                <c:pt idx="52">
                  <c:v>37777</c:v>
                </c:pt>
                <c:pt idx="53">
                  <c:v>37778</c:v>
                </c:pt>
                <c:pt idx="54">
                  <c:v>37781</c:v>
                </c:pt>
                <c:pt idx="55">
                  <c:v>37782</c:v>
                </c:pt>
                <c:pt idx="56">
                  <c:v>37783</c:v>
                </c:pt>
                <c:pt idx="57">
                  <c:v>37784</c:v>
                </c:pt>
                <c:pt idx="58">
                  <c:v>37785</c:v>
                </c:pt>
                <c:pt idx="59">
                  <c:v>37788</c:v>
                </c:pt>
                <c:pt idx="60">
                  <c:v>37789</c:v>
                </c:pt>
                <c:pt idx="61">
                  <c:v>37790</c:v>
                </c:pt>
                <c:pt idx="62">
                  <c:v>37791</c:v>
                </c:pt>
                <c:pt idx="63">
                  <c:v>37792</c:v>
                </c:pt>
                <c:pt idx="64">
                  <c:v>37795</c:v>
                </c:pt>
                <c:pt idx="65">
                  <c:v>37796</c:v>
                </c:pt>
                <c:pt idx="66">
                  <c:v>37797</c:v>
                </c:pt>
                <c:pt idx="67">
                  <c:v>37798</c:v>
                </c:pt>
                <c:pt idx="68">
                  <c:v>37799</c:v>
                </c:pt>
                <c:pt idx="69">
                  <c:v>37802</c:v>
                </c:pt>
                <c:pt idx="70">
                  <c:v>37803</c:v>
                </c:pt>
                <c:pt idx="71">
                  <c:v>37804</c:v>
                </c:pt>
                <c:pt idx="72">
                  <c:v>37805</c:v>
                </c:pt>
                <c:pt idx="73">
                  <c:v>37806</c:v>
                </c:pt>
                <c:pt idx="74">
                  <c:v>37809</c:v>
                </c:pt>
                <c:pt idx="75">
                  <c:v>37810</c:v>
                </c:pt>
                <c:pt idx="76">
                  <c:v>37811</c:v>
                </c:pt>
                <c:pt idx="77">
                  <c:v>37812</c:v>
                </c:pt>
                <c:pt idx="78">
                  <c:v>37813</c:v>
                </c:pt>
                <c:pt idx="79">
                  <c:v>37816</c:v>
                </c:pt>
                <c:pt idx="80">
                  <c:v>37817</c:v>
                </c:pt>
                <c:pt idx="81">
                  <c:v>37818</c:v>
                </c:pt>
                <c:pt idx="82">
                  <c:v>37819</c:v>
                </c:pt>
                <c:pt idx="83">
                  <c:v>37820</c:v>
                </c:pt>
                <c:pt idx="84">
                  <c:v>37823</c:v>
                </c:pt>
                <c:pt idx="85">
                  <c:v>37824</c:v>
                </c:pt>
                <c:pt idx="86">
                  <c:v>37825</c:v>
                </c:pt>
                <c:pt idx="87">
                  <c:v>37826</c:v>
                </c:pt>
                <c:pt idx="88">
                  <c:v>37827</c:v>
                </c:pt>
                <c:pt idx="89">
                  <c:v>37830</c:v>
                </c:pt>
                <c:pt idx="90">
                  <c:v>37831</c:v>
                </c:pt>
                <c:pt idx="91">
                  <c:v>37832</c:v>
                </c:pt>
                <c:pt idx="92">
                  <c:v>37833</c:v>
                </c:pt>
                <c:pt idx="93">
                  <c:v>37834</c:v>
                </c:pt>
                <c:pt idx="94">
                  <c:v>37837</c:v>
                </c:pt>
                <c:pt idx="95">
                  <c:v>37838</c:v>
                </c:pt>
                <c:pt idx="96">
                  <c:v>37839</c:v>
                </c:pt>
                <c:pt idx="97">
                  <c:v>37840</c:v>
                </c:pt>
                <c:pt idx="98">
                  <c:v>37841</c:v>
                </c:pt>
                <c:pt idx="99">
                  <c:v>37844</c:v>
                </c:pt>
                <c:pt idx="100">
                  <c:v>37845</c:v>
                </c:pt>
                <c:pt idx="101">
                  <c:v>37846</c:v>
                </c:pt>
                <c:pt idx="102">
                  <c:v>37847</c:v>
                </c:pt>
                <c:pt idx="103">
                  <c:v>37848</c:v>
                </c:pt>
                <c:pt idx="104">
                  <c:v>37851</c:v>
                </c:pt>
                <c:pt idx="105">
                  <c:v>37852</c:v>
                </c:pt>
                <c:pt idx="106">
                  <c:v>37853</c:v>
                </c:pt>
                <c:pt idx="107">
                  <c:v>37854</c:v>
                </c:pt>
                <c:pt idx="108">
                  <c:v>37855</c:v>
                </c:pt>
                <c:pt idx="109">
                  <c:v>37858</c:v>
                </c:pt>
                <c:pt idx="110">
                  <c:v>37859</c:v>
                </c:pt>
                <c:pt idx="111">
                  <c:v>37860</c:v>
                </c:pt>
                <c:pt idx="112">
                  <c:v>37861</c:v>
                </c:pt>
                <c:pt idx="113">
                  <c:v>37862</c:v>
                </c:pt>
                <c:pt idx="114">
                  <c:v>37866</c:v>
                </c:pt>
                <c:pt idx="115">
                  <c:v>37867</c:v>
                </c:pt>
                <c:pt idx="116">
                  <c:v>37868</c:v>
                </c:pt>
                <c:pt idx="117">
                  <c:v>37869</c:v>
                </c:pt>
                <c:pt idx="118">
                  <c:v>37872</c:v>
                </c:pt>
                <c:pt idx="119">
                  <c:v>37873</c:v>
                </c:pt>
                <c:pt idx="120">
                  <c:v>37874</c:v>
                </c:pt>
                <c:pt idx="121">
                  <c:v>37875</c:v>
                </c:pt>
                <c:pt idx="122">
                  <c:v>37876</c:v>
                </c:pt>
                <c:pt idx="123">
                  <c:v>37879</c:v>
                </c:pt>
                <c:pt idx="124">
                  <c:v>37880</c:v>
                </c:pt>
                <c:pt idx="125">
                  <c:v>37881</c:v>
                </c:pt>
                <c:pt idx="126">
                  <c:v>37882</c:v>
                </c:pt>
                <c:pt idx="127">
                  <c:v>37883</c:v>
                </c:pt>
                <c:pt idx="128">
                  <c:v>37886</c:v>
                </c:pt>
                <c:pt idx="129">
                  <c:v>37887</c:v>
                </c:pt>
                <c:pt idx="130">
                  <c:v>37888</c:v>
                </c:pt>
                <c:pt idx="131">
                  <c:v>37889</c:v>
                </c:pt>
                <c:pt idx="132">
                  <c:v>37890</c:v>
                </c:pt>
                <c:pt idx="133">
                  <c:v>37893</c:v>
                </c:pt>
                <c:pt idx="134">
                  <c:v>37894</c:v>
                </c:pt>
                <c:pt idx="135">
                  <c:v>37895</c:v>
                </c:pt>
                <c:pt idx="136">
                  <c:v>37896</c:v>
                </c:pt>
                <c:pt idx="137">
                  <c:v>37897</c:v>
                </c:pt>
                <c:pt idx="138">
                  <c:v>37900</c:v>
                </c:pt>
                <c:pt idx="139">
                  <c:v>37901</c:v>
                </c:pt>
                <c:pt idx="140">
                  <c:v>37902</c:v>
                </c:pt>
                <c:pt idx="141">
                  <c:v>37903</c:v>
                </c:pt>
                <c:pt idx="142">
                  <c:v>37904</c:v>
                </c:pt>
                <c:pt idx="143">
                  <c:v>37907</c:v>
                </c:pt>
                <c:pt idx="144">
                  <c:v>37908</c:v>
                </c:pt>
                <c:pt idx="145">
                  <c:v>37909</c:v>
                </c:pt>
                <c:pt idx="146">
                  <c:v>37910</c:v>
                </c:pt>
                <c:pt idx="147">
                  <c:v>37911</c:v>
                </c:pt>
                <c:pt idx="148">
                  <c:v>37914</c:v>
                </c:pt>
                <c:pt idx="149">
                  <c:v>37915</c:v>
                </c:pt>
                <c:pt idx="150">
                  <c:v>37916</c:v>
                </c:pt>
                <c:pt idx="151">
                  <c:v>37917</c:v>
                </c:pt>
                <c:pt idx="152">
                  <c:v>37921</c:v>
                </c:pt>
                <c:pt idx="153">
                  <c:v>37922</c:v>
                </c:pt>
                <c:pt idx="154">
                  <c:v>37923</c:v>
                </c:pt>
                <c:pt idx="155">
                  <c:v>37924</c:v>
                </c:pt>
                <c:pt idx="156">
                  <c:v>37925</c:v>
                </c:pt>
                <c:pt idx="157">
                  <c:v>37928</c:v>
                </c:pt>
                <c:pt idx="158">
                  <c:v>37929</c:v>
                </c:pt>
                <c:pt idx="159">
                  <c:v>37930</c:v>
                </c:pt>
                <c:pt idx="160">
                  <c:v>37931</c:v>
                </c:pt>
                <c:pt idx="161">
                  <c:v>37932</c:v>
                </c:pt>
                <c:pt idx="162">
                  <c:v>37935</c:v>
                </c:pt>
                <c:pt idx="163">
                  <c:v>37936</c:v>
                </c:pt>
                <c:pt idx="164">
                  <c:v>37937</c:v>
                </c:pt>
                <c:pt idx="165">
                  <c:v>37938</c:v>
                </c:pt>
                <c:pt idx="166">
                  <c:v>37939</c:v>
                </c:pt>
                <c:pt idx="167">
                  <c:v>37942</c:v>
                </c:pt>
                <c:pt idx="168">
                  <c:v>37943</c:v>
                </c:pt>
                <c:pt idx="169">
                  <c:v>37944</c:v>
                </c:pt>
                <c:pt idx="170">
                  <c:v>37945</c:v>
                </c:pt>
                <c:pt idx="171">
                  <c:v>37946</c:v>
                </c:pt>
                <c:pt idx="172">
                  <c:v>37952</c:v>
                </c:pt>
                <c:pt idx="173">
                  <c:v>37953</c:v>
                </c:pt>
                <c:pt idx="174">
                  <c:v>37956</c:v>
                </c:pt>
                <c:pt idx="175">
                  <c:v>37957</c:v>
                </c:pt>
                <c:pt idx="176">
                  <c:v>37958</c:v>
                </c:pt>
                <c:pt idx="177">
                  <c:v>37959</c:v>
                </c:pt>
                <c:pt idx="178">
                  <c:v>37960</c:v>
                </c:pt>
                <c:pt idx="179">
                  <c:v>37963</c:v>
                </c:pt>
                <c:pt idx="180">
                  <c:v>37964</c:v>
                </c:pt>
                <c:pt idx="181">
                  <c:v>37965</c:v>
                </c:pt>
                <c:pt idx="182">
                  <c:v>37966</c:v>
                </c:pt>
                <c:pt idx="183">
                  <c:v>37967</c:v>
                </c:pt>
                <c:pt idx="184">
                  <c:v>37970</c:v>
                </c:pt>
                <c:pt idx="185">
                  <c:v>37971</c:v>
                </c:pt>
                <c:pt idx="186">
                  <c:v>37972</c:v>
                </c:pt>
                <c:pt idx="187">
                  <c:v>37973</c:v>
                </c:pt>
                <c:pt idx="188">
                  <c:v>37974</c:v>
                </c:pt>
                <c:pt idx="189">
                  <c:v>37977</c:v>
                </c:pt>
                <c:pt idx="190">
                  <c:v>37978</c:v>
                </c:pt>
                <c:pt idx="191">
                  <c:v>37979</c:v>
                </c:pt>
                <c:pt idx="192">
                  <c:v>37981</c:v>
                </c:pt>
                <c:pt idx="193">
                  <c:v>37984</c:v>
                </c:pt>
                <c:pt idx="194">
                  <c:v>37985</c:v>
                </c:pt>
                <c:pt idx="195">
                  <c:v>37986</c:v>
                </c:pt>
                <c:pt idx="196">
                  <c:v>37988</c:v>
                </c:pt>
                <c:pt idx="197">
                  <c:v>37991</c:v>
                </c:pt>
                <c:pt idx="198">
                  <c:v>37992</c:v>
                </c:pt>
                <c:pt idx="199">
                  <c:v>37993</c:v>
                </c:pt>
                <c:pt idx="200">
                  <c:v>37994</c:v>
                </c:pt>
                <c:pt idx="201">
                  <c:v>37995</c:v>
                </c:pt>
                <c:pt idx="202">
                  <c:v>37998</c:v>
                </c:pt>
                <c:pt idx="203">
                  <c:v>37999</c:v>
                </c:pt>
                <c:pt idx="204">
                  <c:v>38000</c:v>
                </c:pt>
              </c:numCache>
            </c:numRef>
          </c:cat>
          <c:val>
            <c:numRef>
              <c:f>[1]FKB3!$H$667:$H$871</c:f>
              <c:numCache>
                <c:formatCode>General</c:formatCode>
                <c:ptCount val="205"/>
                <c:pt idx="0">
                  <c:v>96.86</c:v>
                </c:pt>
                <c:pt idx="1">
                  <c:v>96.9</c:v>
                </c:pt>
                <c:pt idx="2">
                  <c:v>96.88</c:v>
                </c:pt>
                <c:pt idx="3">
                  <c:v>96.88</c:v>
                </c:pt>
                <c:pt idx="4">
                  <c:v>96.87</c:v>
                </c:pt>
                <c:pt idx="5">
                  <c:v>96.87</c:v>
                </c:pt>
                <c:pt idx="6">
                  <c:v>96.86</c:v>
                </c:pt>
                <c:pt idx="7">
                  <c:v>96.86</c:v>
                </c:pt>
                <c:pt idx="8">
                  <c:v>96.86</c:v>
                </c:pt>
                <c:pt idx="9">
                  <c:v>96.84</c:v>
                </c:pt>
                <c:pt idx="10">
                  <c:v>96.88</c:v>
                </c:pt>
                <c:pt idx="11">
                  <c:v>96.87</c:v>
                </c:pt>
                <c:pt idx="12">
                  <c:v>96.83</c:v>
                </c:pt>
                <c:pt idx="13">
                  <c:v>96.85</c:v>
                </c:pt>
                <c:pt idx="14">
                  <c:v>96.88</c:v>
                </c:pt>
                <c:pt idx="15">
                  <c:v>96.88</c:v>
                </c:pt>
                <c:pt idx="16">
                  <c:v>96.9</c:v>
                </c:pt>
                <c:pt idx="17">
                  <c:v>96.87</c:v>
                </c:pt>
                <c:pt idx="18">
                  <c:v>96.85</c:v>
                </c:pt>
                <c:pt idx="19">
                  <c:v>96.85</c:v>
                </c:pt>
                <c:pt idx="20">
                  <c:v>96.88</c:v>
                </c:pt>
                <c:pt idx="21">
                  <c:v>96.88</c:v>
                </c:pt>
                <c:pt idx="22">
                  <c:v>96.86</c:v>
                </c:pt>
                <c:pt idx="23">
                  <c:v>96.87</c:v>
                </c:pt>
                <c:pt idx="24">
                  <c:v>96.9</c:v>
                </c:pt>
                <c:pt idx="25">
                  <c:v>96.89</c:v>
                </c:pt>
                <c:pt idx="26">
                  <c:v>96.89</c:v>
                </c:pt>
                <c:pt idx="27">
                  <c:v>96.9</c:v>
                </c:pt>
                <c:pt idx="28">
                  <c:v>96.89</c:v>
                </c:pt>
                <c:pt idx="29">
                  <c:v>96.87</c:v>
                </c:pt>
                <c:pt idx="30">
                  <c:v>96.87</c:v>
                </c:pt>
                <c:pt idx="31">
                  <c:v>96.87</c:v>
                </c:pt>
                <c:pt idx="32">
                  <c:v>96.87</c:v>
                </c:pt>
                <c:pt idx="33">
                  <c:v>96.88</c:v>
                </c:pt>
                <c:pt idx="34">
                  <c:v>96.88</c:v>
                </c:pt>
                <c:pt idx="35">
                  <c:v>96.9</c:v>
                </c:pt>
                <c:pt idx="36">
                  <c:v>96.91</c:v>
                </c:pt>
                <c:pt idx="37">
                  <c:v>96.91</c:v>
                </c:pt>
                <c:pt idx="38">
                  <c:v>96.91</c:v>
                </c:pt>
                <c:pt idx="39">
                  <c:v>96.94</c:v>
                </c:pt>
                <c:pt idx="40">
                  <c:v>96.95</c:v>
                </c:pt>
                <c:pt idx="41">
                  <c:v>96.98</c:v>
                </c:pt>
                <c:pt idx="42">
                  <c:v>96.94</c:v>
                </c:pt>
                <c:pt idx="43">
                  <c:v>96.94</c:v>
                </c:pt>
                <c:pt idx="44">
                  <c:v>96.91</c:v>
                </c:pt>
                <c:pt idx="45">
                  <c:v>96.91</c:v>
                </c:pt>
                <c:pt idx="46">
                  <c:v>96.89</c:v>
                </c:pt>
                <c:pt idx="47">
                  <c:v>96.89</c:v>
                </c:pt>
                <c:pt idx="48">
                  <c:v>96.89</c:v>
                </c:pt>
                <c:pt idx="49">
                  <c:v>96.89</c:v>
                </c:pt>
                <c:pt idx="50">
                  <c:v>96.89</c:v>
                </c:pt>
                <c:pt idx="51">
                  <c:v>96.91</c:v>
                </c:pt>
                <c:pt idx="52">
                  <c:v>96.91</c:v>
                </c:pt>
                <c:pt idx="53">
                  <c:v>96.92</c:v>
                </c:pt>
                <c:pt idx="54">
                  <c:v>96.92</c:v>
                </c:pt>
                <c:pt idx="55">
                  <c:v>96.92</c:v>
                </c:pt>
                <c:pt idx="56">
                  <c:v>96.92</c:v>
                </c:pt>
                <c:pt idx="57">
                  <c:v>96.92</c:v>
                </c:pt>
                <c:pt idx="58">
                  <c:v>96.92</c:v>
                </c:pt>
                <c:pt idx="59">
                  <c:v>96.92</c:v>
                </c:pt>
                <c:pt idx="60">
                  <c:v>96.92</c:v>
                </c:pt>
                <c:pt idx="61">
                  <c:v>96.92</c:v>
                </c:pt>
                <c:pt idx="62">
                  <c:v>96.91</c:v>
                </c:pt>
                <c:pt idx="63">
                  <c:v>96.91</c:v>
                </c:pt>
                <c:pt idx="64">
                  <c:v>96.91</c:v>
                </c:pt>
                <c:pt idx="65">
                  <c:v>96.91</c:v>
                </c:pt>
                <c:pt idx="66">
                  <c:v>96.91</c:v>
                </c:pt>
                <c:pt idx="67">
                  <c:v>96.91</c:v>
                </c:pt>
                <c:pt idx="68">
                  <c:v>96.92</c:v>
                </c:pt>
                <c:pt idx="69">
                  <c:v>96.9</c:v>
                </c:pt>
                <c:pt idx="70">
                  <c:v>96.9</c:v>
                </c:pt>
                <c:pt idx="71">
                  <c:v>96.9</c:v>
                </c:pt>
                <c:pt idx="72">
                  <c:v>96.9</c:v>
                </c:pt>
                <c:pt idx="73">
                  <c:v>96.88</c:v>
                </c:pt>
                <c:pt idx="74">
                  <c:v>96.87</c:v>
                </c:pt>
                <c:pt idx="75">
                  <c:v>96.87</c:v>
                </c:pt>
                <c:pt idx="76">
                  <c:v>96.9</c:v>
                </c:pt>
                <c:pt idx="77">
                  <c:v>96.88</c:v>
                </c:pt>
                <c:pt idx="78">
                  <c:v>96.86</c:v>
                </c:pt>
                <c:pt idx="79">
                  <c:v>96.85</c:v>
                </c:pt>
                <c:pt idx="80">
                  <c:v>96.81</c:v>
                </c:pt>
                <c:pt idx="81">
                  <c:v>96.65</c:v>
                </c:pt>
                <c:pt idx="82">
                  <c:v>96.72</c:v>
                </c:pt>
                <c:pt idx="83">
                  <c:v>96.71</c:v>
                </c:pt>
                <c:pt idx="84">
                  <c:v>96.71</c:v>
                </c:pt>
                <c:pt idx="85">
                  <c:v>96.69</c:v>
                </c:pt>
                <c:pt idx="86">
                  <c:v>96.79</c:v>
                </c:pt>
                <c:pt idx="87">
                  <c:v>96.74</c:v>
                </c:pt>
                <c:pt idx="88">
                  <c:v>96.74</c:v>
                </c:pt>
                <c:pt idx="89">
                  <c:v>96.68</c:v>
                </c:pt>
                <c:pt idx="90">
                  <c:v>96.8</c:v>
                </c:pt>
                <c:pt idx="91">
                  <c:v>96.82</c:v>
                </c:pt>
                <c:pt idx="92">
                  <c:v>96.82</c:v>
                </c:pt>
                <c:pt idx="93">
                  <c:v>96.82</c:v>
                </c:pt>
                <c:pt idx="94">
                  <c:v>96.81</c:v>
                </c:pt>
                <c:pt idx="95">
                  <c:v>96.81</c:v>
                </c:pt>
                <c:pt idx="96">
                  <c:v>96.8</c:v>
                </c:pt>
                <c:pt idx="97">
                  <c:v>96.81</c:v>
                </c:pt>
                <c:pt idx="98">
                  <c:v>96.81</c:v>
                </c:pt>
                <c:pt idx="99">
                  <c:v>96.81</c:v>
                </c:pt>
                <c:pt idx="100">
                  <c:v>96.83</c:v>
                </c:pt>
                <c:pt idx="101">
                  <c:v>96.8</c:v>
                </c:pt>
                <c:pt idx="102">
                  <c:v>96.8</c:v>
                </c:pt>
                <c:pt idx="103">
                  <c:v>96.83</c:v>
                </c:pt>
                <c:pt idx="104">
                  <c:v>96.83</c:v>
                </c:pt>
                <c:pt idx="105">
                  <c:v>96.83</c:v>
                </c:pt>
                <c:pt idx="106">
                  <c:v>96.81</c:v>
                </c:pt>
                <c:pt idx="107">
                  <c:v>96.82</c:v>
                </c:pt>
                <c:pt idx="108">
                  <c:v>96.79</c:v>
                </c:pt>
                <c:pt idx="109">
                  <c:v>96.84</c:v>
                </c:pt>
                <c:pt idx="110">
                  <c:v>96.86</c:v>
                </c:pt>
                <c:pt idx="111">
                  <c:v>96.85</c:v>
                </c:pt>
                <c:pt idx="112">
                  <c:v>96.85</c:v>
                </c:pt>
                <c:pt idx="113">
                  <c:v>96.86</c:v>
                </c:pt>
                <c:pt idx="114">
                  <c:v>96.85</c:v>
                </c:pt>
                <c:pt idx="115">
                  <c:v>96.83</c:v>
                </c:pt>
                <c:pt idx="116">
                  <c:v>96.83</c:v>
                </c:pt>
                <c:pt idx="117">
                  <c:v>96.82</c:v>
                </c:pt>
                <c:pt idx="118">
                  <c:v>96.85</c:v>
                </c:pt>
                <c:pt idx="119">
                  <c:v>96.87</c:v>
                </c:pt>
                <c:pt idx="120">
                  <c:v>96.84</c:v>
                </c:pt>
                <c:pt idx="121">
                  <c:v>96.93</c:v>
                </c:pt>
                <c:pt idx="122">
                  <c:v>96.88</c:v>
                </c:pt>
                <c:pt idx="123">
                  <c:v>96.88</c:v>
                </c:pt>
                <c:pt idx="124">
                  <c:v>96.88</c:v>
                </c:pt>
                <c:pt idx="125">
                  <c:v>96.9</c:v>
                </c:pt>
                <c:pt idx="126">
                  <c:v>96.79</c:v>
                </c:pt>
                <c:pt idx="127">
                  <c:v>96.74</c:v>
                </c:pt>
                <c:pt idx="128">
                  <c:v>96.7</c:v>
                </c:pt>
                <c:pt idx="129">
                  <c:v>96.8</c:v>
                </c:pt>
                <c:pt idx="130">
                  <c:v>96.84</c:v>
                </c:pt>
                <c:pt idx="131">
                  <c:v>96.88</c:v>
                </c:pt>
                <c:pt idx="132">
                  <c:v>96.85</c:v>
                </c:pt>
                <c:pt idx="133">
                  <c:v>96.86</c:v>
                </c:pt>
                <c:pt idx="134">
                  <c:v>96.84</c:v>
                </c:pt>
                <c:pt idx="135">
                  <c:v>96.84</c:v>
                </c:pt>
                <c:pt idx="136">
                  <c:v>96.84</c:v>
                </c:pt>
                <c:pt idx="137">
                  <c:v>96.8</c:v>
                </c:pt>
                <c:pt idx="138">
                  <c:v>96.76</c:v>
                </c:pt>
                <c:pt idx="139">
                  <c:v>96.8</c:v>
                </c:pt>
                <c:pt idx="140">
                  <c:v>96.86</c:v>
                </c:pt>
                <c:pt idx="141">
                  <c:v>96.86</c:v>
                </c:pt>
                <c:pt idx="142">
                  <c:v>96.96</c:v>
                </c:pt>
                <c:pt idx="143">
                  <c:v>96.9</c:v>
                </c:pt>
                <c:pt idx="144">
                  <c:v>96.88</c:v>
                </c:pt>
                <c:pt idx="145">
                  <c:v>96.88</c:v>
                </c:pt>
                <c:pt idx="146">
                  <c:v>96.85</c:v>
                </c:pt>
                <c:pt idx="147">
                  <c:v>96.79</c:v>
                </c:pt>
                <c:pt idx="148">
                  <c:v>96.75</c:v>
                </c:pt>
                <c:pt idx="149">
                  <c:v>96.79</c:v>
                </c:pt>
                <c:pt idx="150">
                  <c:v>96.78</c:v>
                </c:pt>
                <c:pt idx="151">
                  <c:v>96.85</c:v>
                </c:pt>
                <c:pt idx="152">
                  <c:v>96.88</c:v>
                </c:pt>
                <c:pt idx="153">
                  <c:v>96.84</c:v>
                </c:pt>
                <c:pt idx="154">
                  <c:v>96.84</c:v>
                </c:pt>
                <c:pt idx="155">
                  <c:v>96.84</c:v>
                </c:pt>
                <c:pt idx="156">
                  <c:v>96.84</c:v>
                </c:pt>
                <c:pt idx="157">
                  <c:v>96.79</c:v>
                </c:pt>
                <c:pt idx="158">
                  <c:v>96.66</c:v>
                </c:pt>
                <c:pt idx="159">
                  <c:v>96.68</c:v>
                </c:pt>
                <c:pt idx="160">
                  <c:v>96.69</c:v>
                </c:pt>
                <c:pt idx="161">
                  <c:v>96.69</c:v>
                </c:pt>
                <c:pt idx="162">
                  <c:v>96.64</c:v>
                </c:pt>
                <c:pt idx="163">
                  <c:v>96.68</c:v>
                </c:pt>
                <c:pt idx="164">
                  <c:v>96.71</c:v>
                </c:pt>
                <c:pt idx="165">
                  <c:v>96.71</c:v>
                </c:pt>
                <c:pt idx="166">
                  <c:v>96.76</c:v>
                </c:pt>
                <c:pt idx="167">
                  <c:v>96.82</c:v>
                </c:pt>
                <c:pt idx="168">
                  <c:v>96.79</c:v>
                </c:pt>
                <c:pt idx="169">
                  <c:v>96.79</c:v>
                </c:pt>
                <c:pt idx="170">
                  <c:v>96.79</c:v>
                </c:pt>
                <c:pt idx="171">
                  <c:v>96.89</c:v>
                </c:pt>
                <c:pt idx="172">
                  <c:v>96.94</c:v>
                </c:pt>
                <c:pt idx="173">
                  <c:v>96.82</c:v>
                </c:pt>
                <c:pt idx="174">
                  <c:v>96.83</c:v>
                </c:pt>
                <c:pt idx="175">
                  <c:v>96.84</c:v>
                </c:pt>
                <c:pt idx="176">
                  <c:v>96.88</c:v>
                </c:pt>
                <c:pt idx="177">
                  <c:v>96.9</c:v>
                </c:pt>
                <c:pt idx="178">
                  <c:v>96.91</c:v>
                </c:pt>
                <c:pt idx="179">
                  <c:v>96.95</c:v>
                </c:pt>
                <c:pt idx="180">
                  <c:v>96.9</c:v>
                </c:pt>
                <c:pt idx="181">
                  <c:v>96.85</c:v>
                </c:pt>
                <c:pt idx="182">
                  <c:v>96.81</c:v>
                </c:pt>
                <c:pt idx="183">
                  <c:v>96.81</c:v>
                </c:pt>
                <c:pt idx="184">
                  <c:v>96.84</c:v>
                </c:pt>
                <c:pt idx="185">
                  <c:v>96.89</c:v>
                </c:pt>
                <c:pt idx="186">
                  <c:v>96.89</c:v>
                </c:pt>
                <c:pt idx="187">
                  <c:v>96.73</c:v>
                </c:pt>
                <c:pt idx="188">
                  <c:v>96.71</c:v>
                </c:pt>
                <c:pt idx="189">
                  <c:v>96.75</c:v>
                </c:pt>
                <c:pt idx="190">
                  <c:v>96.7</c:v>
                </c:pt>
                <c:pt idx="191">
                  <c:v>96.74</c:v>
                </c:pt>
                <c:pt idx="192">
                  <c:v>96.74</c:v>
                </c:pt>
                <c:pt idx="193">
                  <c:v>96.73</c:v>
                </c:pt>
                <c:pt idx="194">
                  <c:v>96.73</c:v>
                </c:pt>
                <c:pt idx="195">
                  <c:v>96.76</c:v>
                </c:pt>
                <c:pt idx="196">
                  <c:v>96.74</c:v>
                </c:pt>
                <c:pt idx="197">
                  <c:v>96.82</c:v>
                </c:pt>
                <c:pt idx="198">
                  <c:v>96.78</c:v>
                </c:pt>
                <c:pt idx="199">
                  <c:v>96.85</c:v>
                </c:pt>
                <c:pt idx="200">
                  <c:v>96.92</c:v>
                </c:pt>
                <c:pt idx="201">
                  <c:v>96.82</c:v>
                </c:pt>
                <c:pt idx="202">
                  <c:v>96.87</c:v>
                </c:pt>
                <c:pt idx="203">
                  <c:v>96.86</c:v>
                </c:pt>
                <c:pt idx="204">
                  <c:v>96.86</c:v>
                </c:pt>
              </c:numCache>
            </c:numRef>
          </c:val>
        </c:ser>
        <c:marker val="1"/>
        <c:axId val="132579712"/>
        <c:axId val="132581248"/>
      </c:lineChart>
      <c:catAx>
        <c:axId val="132579712"/>
        <c:scaling>
          <c:orientation val="minMax"/>
        </c:scaling>
        <c:axPos val="b"/>
        <c:numFmt formatCode="mm/dd/yy" sourceLinked="0"/>
        <c:majorTickMark val="none"/>
        <c:tickLblPos val="nextTo"/>
        <c:spPr>
          <a:ln w="9525">
            <a:noFill/>
          </a:ln>
        </c:spPr>
        <c:txPr>
          <a:bodyPr rot="-540000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81248"/>
        <c:crossesAt val="96"/>
        <c:lblAlgn val="ctr"/>
        <c:lblOffset val="100"/>
        <c:tickLblSkip val="11"/>
        <c:tickMarkSkip val="1"/>
      </c:catAx>
      <c:valAx>
        <c:axId val="132581248"/>
        <c:scaling>
          <c:orientation val="minMax"/>
          <c:max val="97.1"/>
          <c:min val="96.6"/>
        </c:scaling>
        <c:axPos val="l"/>
        <c:numFmt formatCode="#,##0.0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ko-KR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9712"/>
        <c:crosses val="autoZero"/>
        <c:crossBetween val="midCat"/>
        <c:majorUnit val="0.1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344300822561689"/>
          <c:y val="9.7222551888535819E-2"/>
          <c:w val="0.35135135135135137"/>
          <c:h val="5.555574393630623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ko-KR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3" Type="http://schemas.openxmlformats.org/officeDocument/2006/relationships/chart" Target="../charts/chart15.xml"/><Relationship Id="rId21" Type="http://schemas.openxmlformats.org/officeDocument/2006/relationships/chart" Target="../charts/chart30.xml"/><Relationship Id="rId7" Type="http://schemas.openxmlformats.org/officeDocument/2006/relationships/chart" Target="../charts/chart19.xml"/><Relationship Id="rId12" Type="http://schemas.openxmlformats.org/officeDocument/2006/relationships/image" Target="../media/image3.jpeg"/><Relationship Id="rId17" Type="http://schemas.openxmlformats.org/officeDocument/2006/relationships/chart" Target="../charts/chart26.xml"/><Relationship Id="rId2" Type="http://schemas.openxmlformats.org/officeDocument/2006/relationships/chart" Target="../charts/chart14.xml"/><Relationship Id="rId16" Type="http://schemas.openxmlformats.org/officeDocument/2006/relationships/chart" Target="../charts/chart25.xml"/><Relationship Id="rId20" Type="http://schemas.openxmlformats.org/officeDocument/2006/relationships/chart" Target="../charts/chart29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5" Type="http://schemas.openxmlformats.org/officeDocument/2006/relationships/chart" Target="../charts/chart24.xml"/><Relationship Id="rId10" Type="http://schemas.openxmlformats.org/officeDocument/2006/relationships/image" Target="../media/image1.png"/><Relationship Id="rId19" Type="http://schemas.openxmlformats.org/officeDocument/2006/relationships/chart" Target="../charts/chart28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291</xdr:row>
      <xdr:rowOff>38100</xdr:rowOff>
    </xdr:from>
    <xdr:to>
      <xdr:col>7</xdr:col>
      <xdr:colOff>790575</xdr:colOff>
      <xdr:row>310</xdr:row>
      <xdr:rowOff>0</xdr:rowOff>
    </xdr:to>
    <xdr:graphicFrame macro="">
      <xdr:nvGraphicFramePr>
        <xdr:cNvPr id="1685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273</xdr:row>
      <xdr:rowOff>47625</xdr:rowOff>
    </xdr:from>
    <xdr:to>
      <xdr:col>7</xdr:col>
      <xdr:colOff>781050</xdr:colOff>
      <xdr:row>290</xdr:row>
      <xdr:rowOff>152400</xdr:rowOff>
    </xdr:to>
    <xdr:graphicFrame macro="">
      <xdr:nvGraphicFramePr>
        <xdr:cNvPr id="1685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311</xdr:row>
      <xdr:rowOff>0</xdr:rowOff>
    </xdr:from>
    <xdr:to>
      <xdr:col>7</xdr:col>
      <xdr:colOff>752475</xdr:colOff>
      <xdr:row>311</xdr:row>
      <xdr:rowOff>0</xdr:rowOff>
    </xdr:to>
    <xdr:graphicFrame macro="">
      <xdr:nvGraphicFramePr>
        <xdr:cNvPr id="16855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311</xdr:row>
      <xdr:rowOff>0</xdr:rowOff>
    </xdr:from>
    <xdr:to>
      <xdr:col>7</xdr:col>
      <xdr:colOff>781050</xdr:colOff>
      <xdr:row>311</xdr:row>
      <xdr:rowOff>0</xdr:rowOff>
    </xdr:to>
    <xdr:graphicFrame macro="">
      <xdr:nvGraphicFramePr>
        <xdr:cNvPr id="16855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331</xdr:row>
      <xdr:rowOff>38100</xdr:rowOff>
    </xdr:from>
    <xdr:to>
      <xdr:col>7</xdr:col>
      <xdr:colOff>790575</xdr:colOff>
      <xdr:row>348</xdr:row>
      <xdr:rowOff>85725</xdr:rowOff>
    </xdr:to>
    <xdr:graphicFrame macro="">
      <xdr:nvGraphicFramePr>
        <xdr:cNvPr id="16855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349</xdr:row>
      <xdr:rowOff>0</xdr:rowOff>
    </xdr:from>
    <xdr:to>
      <xdr:col>7</xdr:col>
      <xdr:colOff>752475</xdr:colOff>
      <xdr:row>349</xdr:row>
      <xdr:rowOff>0</xdr:rowOff>
    </xdr:to>
    <xdr:graphicFrame macro="">
      <xdr:nvGraphicFramePr>
        <xdr:cNvPr id="16855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349</xdr:row>
      <xdr:rowOff>0</xdr:rowOff>
    </xdr:from>
    <xdr:to>
      <xdr:col>7</xdr:col>
      <xdr:colOff>781050</xdr:colOff>
      <xdr:row>349</xdr:row>
      <xdr:rowOff>0</xdr:rowOff>
    </xdr:to>
    <xdr:graphicFrame macro="">
      <xdr:nvGraphicFramePr>
        <xdr:cNvPr id="16855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</xdr:colOff>
      <xdr:row>313</xdr:row>
      <xdr:rowOff>0</xdr:rowOff>
    </xdr:from>
    <xdr:to>
      <xdr:col>7</xdr:col>
      <xdr:colOff>790575</xdr:colOff>
      <xdr:row>330</xdr:row>
      <xdr:rowOff>142875</xdr:rowOff>
    </xdr:to>
    <xdr:graphicFrame macro="">
      <xdr:nvGraphicFramePr>
        <xdr:cNvPr id="16855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358</xdr:row>
      <xdr:rowOff>0</xdr:rowOff>
    </xdr:from>
    <xdr:to>
      <xdr:col>7</xdr:col>
      <xdr:colOff>790575</xdr:colOff>
      <xdr:row>374</xdr:row>
      <xdr:rowOff>152400</xdr:rowOff>
    </xdr:to>
    <xdr:graphicFrame macro="">
      <xdr:nvGraphicFramePr>
        <xdr:cNvPr id="16855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376</xdr:row>
      <xdr:rowOff>9525</xdr:rowOff>
    </xdr:from>
    <xdr:to>
      <xdr:col>7</xdr:col>
      <xdr:colOff>790575</xdr:colOff>
      <xdr:row>393</xdr:row>
      <xdr:rowOff>0</xdr:rowOff>
    </xdr:to>
    <xdr:graphicFrame macro="">
      <xdr:nvGraphicFramePr>
        <xdr:cNvPr id="168551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413</xdr:row>
      <xdr:rowOff>0</xdr:rowOff>
    </xdr:from>
    <xdr:to>
      <xdr:col>7</xdr:col>
      <xdr:colOff>790575</xdr:colOff>
      <xdr:row>429</xdr:row>
      <xdr:rowOff>142875</xdr:rowOff>
    </xdr:to>
    <xdr:graphicFrame macro="">
      <xdr:nvGraphicFramePr>
        <xdr:cNvPr id="168551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395</xdr:row>
      <xdr:rowOff>9525</xdr:rowOff>
    </xdr:from>
    <xdr:to>
      <xdr:col>7</xdr:col>
      <xdr:colOff>790575</xdr:colOff>
      <xdr:row>411</xdr:row>
      <xdr:rowOff>152400</xdr:rowOff>
    </xdr:to>
    <xdr:graphicFrame macro="">
      <xdr:nvGraphicFramePr>
        <xdr:cNvPr id="168551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0.4756</cdr:x>
      <cdr:y>0.53376</cdr:y>
    </cdr:from>
    <cdr:to>
      <cdr:x>0.48694</cdr:x>
      <cdr:y>0.6142</cdr:y>
    </cdr:to>
    <cdr:sp macro="" textlink="">
      <cdr:nvSpPr>
        <cdr:cNvPr id="185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4262" y="1203006"/>
          <a:ext cx="75581" cy="180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0.4756</cdr:x>
      <cdr:y>0.53376</cdr:y>
    </cdr:from>
    <cdr:to>
      <cdr:x>0.48694</cdr:x>
      <cdr:y>0.6142</cdr:y>
    </cdr:to>
    <cdr:sp macro="" textlink="">
      <cdr:nvSpPr>
        <cdr:cNvPr id="185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4262" y="1203006"/>
          <a:ext cx="75581" cy="180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0.47289</cdr:x>
      <cdr:y>0.53424</cdr:y>
    </cdr:from>
    <cdr:to>
      <cdr:x>0.48423</cdr:x>
      <cdr:y>0.61446</cdr:y>
    </cdr:to>
    <cdr:sp macro="" textlink="">
      <cdr:nvSpPr>
        <cdr:cNvPr id="800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0689" y="1209185"/>
          <a:ext cx="75690" cy="181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0.47289</cdr:x>
      <cdr:y>0.53424</cdr:y>
    </cdr:from>
    <cdr:to>
      <cdr:x>0.48423</cdr:x>
      <cdr:y>0.61446</cdr:y>
    </cdr:to>
    <cdr:sp macro="" textlink="">
      <cdr:nvSpPr>
        <cdr:cNvPr id="800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0689" y="1209185"/>
          <a:ext cx="75690" cy="181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0.47585</cdr:x>
      <cdr:y>0.54263</cdr:y>
    </cdr:from>
    <cdr:to>
      <cdr:x>0.48719</cdr:x>
      <cdr:y>0.62238</cdr:y>
    </cdr:to>
    <cdr:sp macro="" textlink="">
      <cdr:nvSpPr>
        <cdr:cNvPr id="802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63" y="1233291"/>
          <a:ext cx="75800" cy="180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0.47585</cdr:x>
      <cdr:y>0.54263</cdr:y>
    </cdr:from>
    <cdr:to>
      <cdr:x>0.48719</cdr:x>
      <cdr:y>0.62238</cdr:y>
    </cdr:to>
    <cdr:sp macro="" textlink="">
      <cdr:nvSpPr>
        <cdr:cNvPr id="802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63" y="1233291"/>
          <a:ext cx="75800" cy="180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0.50025</cdr:x>
      <cdr:y>0.5</cdr:y>
    </cdr:from>
    <cdr:to>
      <cdr:x>0.51158</cdr:x>
      <cdr:y>0.57975</cdr:y>
    </cdr:to>
    <cdr:sp macro="" textlink="">
      <cdr:nvSpPr>
        <cdr:cNvPr id="802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8098" y="1136650"/>
          <a:ext cx="75800" cy="1807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291</xdr:row>
      <xdr:rowOff>38100</xdr:rowOff>
    </xdr:from>
    <xdr:to>
      <xdr:col>7</xdr:col>
      <xdr:colOff>790575</xdr:colOff>
      <xdr:row>310</xdr:row>
      <xdr:rowOff>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273</xdr:row>
      <xdr:rowOff>47625</xdr:rowOff>
    </xdr:from>
    <xdr:to>
      <xdr:col>7</xdr:col>
      <xdr:colOff>781050</xdr:colOff>
      <xdr:row>290</xdr:row>
      <xdr:rowOff>152400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311</xdr:row>
      <xdr:rowOff>0</xdr:rowOff>
    </xdr:from>
    <xdr:to>
      <xdr:col>7</xdr:col>
      <xdr:colOff>752475</xdr:colOff>
      <xdr:row>311</xdr:row>
      <xdr:rowOff>0</xdr:rowOff>
    </xdr:to>
    <xdr:graphicFrame macro="">
      <xdr:nvGraphicFramePr>
        <xdr:cNvPr id="204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311</xdr:row>
      <xdr:rowOff>0</xdr:rowOff>
    </xdr:from>
    <xdr:to>
      <xdr:col>7</xdr:col>
      <xdr:colOff>781050</xdr:colOff>
      <xdr:row>311</xdr:row>
      <xdr:rowOff>0</xdr:rowOff>
    </xdr:to>
    <xdr:graphicFrame macro="">
      <xdr:nvGraphicFramePr>
        <xdr:cNvPr id="204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331</xdr:row>
      <xdr:rowOff>38100</xdr:rowOff>
    </xdr:from>
    <xdr:to>
      <xdr:col>7</xdr:col>
      <xdr:colOff>790575</xdr:colOff>
      <xdr:row>348</xdr:row>
      <xdr:rowOff>85725</xdr:rowOff>
    </xdr:to>
    <xdr:graphicFrame macro="">
      <xdr:nvGraphicFramePr>
        <xdr:cNvPr id="204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349</xdr:row>
      <xdr:rowOff>0</xdr:rowOff>
    </xdr:from>
    <xdr:to>
      <xdr:col>7</xdr:col>
      <xdr:colOff>752475</xdr:colOff>
      <xdr:row>349</xdr:row>
      <xdr:rowOff>0</xdr:rowOff>
    </xdr:to>
    <xdr:graphicFrame macro="">
      <xdr:nvGraphicFramePr>
        <xdr:cNvPr id="204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349</xdr:row>
      <xdr:rowOff>0</xdr:rowOff>
    </xdr:from>
    <xdr:to>
      <xdr:col>7</xdr:col>
      <xdr:colOff>781050</xdr:colOff>
      <xdr:row>349</xdr:row>
      <xdr:rowOff>0</xdr:rowOff>
    </xdr:to>
    <xdr:graphicFrame macro="">
      <xdr:nvGraphicFramePr>
        <xdr:cNvPr id="2048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</xdr:colOff>
      <xdr:row>313</xdr:row>
      <xdr:rowOff>0</xdr:rowOff>
    </xdr:from>
    <xdr:to>
      <xdr:col>7</xdr:col>
      <xdr:colOff>790575</xdr:colOff>
      <xdr:row>330</xdr:row>
      <xdr:rowOff>142875</xdr:rowOff>
    </xdr:to>
    <xdr:graphicFrame macro="">
      <xdr:nvGraphicFramePr>
        <xdr:cNvPr id="204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358</xdr:row>
      <xdr:rowOff>0</xdr:rowOff>
    </xdr:from>
    <xdr:to>
      <xdr:col>7</xdr:col>
      <xdr:colOff>790575</xdr:colOff>
      <xdr:row>374</xdr:row>
      <xdr:rowOff>152400</xdr:rowOff>
    </xdr:to>
    <xdr:graphicFrame macro="">
      <xdr:nvGraphicFramePr>
        <xdr:cNvPr id="2048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376</xdr:row>
      <xdr:rowOff>9525</xdr:rowOff>
    </xdr:from>
    <xdr:to>
      <xdr:col>7</xdr:col>
      <xdr:colOff>790575</xdr:colOff>
      <xdr:row>393</xdr:row>
      <xdr:rowOff>0</xdr:rowOff>
    </xdr:to>
    <xdr:graphicFrame macro="">
      <xdr:nvGraphicFramePr>
        <xdr:cNvPr id="2049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413</xdr:row>
      <xdr:rowOff>0</xdr:rowOff>
    </xdr:from>
    <xdr:to>
      <xdr:col>7</xdr:col>
      <xdr:colOff>790575</xdr:colOff>
      <xdr:row>429</xdr:row>
      <xdr:rowOff>142875</xdr:rowOff>
    </xdr:to>
    <xdr:graphicFrame macro="">
      <xdr:nvGraphicFramePr>
        <xdr:cNvPr id="2049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395</xdr:row>
      <xdr:rowOff>9525</xdr:rowOff>
    </xdr:from>
    <xdr:to>
      <xdr:col>7</xdr:col>
      <xdr:colOff>790575</xdr:colOff>
      <xdr:row>411</xdr:row>
      <xdr:rowOff>152400</xdr:rowOff>
    </xdr:to>
    <xdr:graphicFrame macro="">
      <xdr:nvGraphicFramePr>
        <xdr:cNvPr id="2049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0.50124</cdr:x>
      <cdr:y>0.50557</cdr:y>
    </cdr:from>
    <cdr:to>
      <cdr:x>0.51433</cdr:x>
      <cdr:y>0.56805</cdr:y>
    </cdr:to>
    <cdr:sp macro="" textlink="">
      <cdr:nvSpPr>
        <cdr:cNvPr id="533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1752" y="1544153"/>
          <a:ext cx="105761" cy="190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0.48345</cdr:x>
      <cdr:y>0.15805</cdr:y>
    </cdr:from>
    <cdr:to>
      <cdr:x>0.49876</cdr:x>
      <cdr:y>0.22755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6489" y="436739"/>
          <a:ext cx="124311" cy="19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113</xdr:row>
      <xdr:rowOff>0</xdr:rowOff>
    </xdr:from>
    <xdr:to>
      <xdr:col>7</xdr:col>
      <xdr:colOff>762000</xdr:colOff>
      <xdr:row>113</xdr:row>
      <xdr:rowOff>0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113</xdr:row>
      <xdr:rowOff>0</xdr:rowOff>
    </xdr:from>
    <xdr:to>
      <xdr:col>7</xdr:col>
      <xdr:colOff>781050</xdr:colOff>
      <xdr:row>113</xdr:row>
      <xdr:rowOff>0</xdr:rowOff>
    </xdr:to>
    <xdr:graphicFrame macro="">
      <xdr:nvGraphicFramePr>
        <xdr:cNvPr id="23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113</xdr:row>
      <xdr:rowOff>0</xdr:rowOff>
    </xdr:from>
    <xdr:to>
      <xdr:col>7</xdr:col>
      <xdr:colOff>752475</xdr:colOff>
      <xdr:row>113</xdr:row>
      <xdr:rowOff>0</xdr:rowOff>
    </xdr:to>
    <xdr:graphicFrame macro="">
      <xdr:nvGraphicFramePr>
        <xdr:cNvPr id="235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113</xdr:row>
      <xdr:rowOff>0</xdr:rowOff>
    </xdr:from>
    <xdr:to>
      <xdr:col>7</xdr:col>
      <xdr:colOff>781050</xdr:colOff>
      <xdr:row>113</xdr:row>
      <xdr:rowOff>0</xdr:rowOff>
    </xdr:to>
    <xdr:graphicFrame macro="">
      <xdr:nvGraphicFramePr>
        <xdr:cNvPr id="235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113</xdr:row>
      <xdr:rowOff>0</xdr:rowOff>
    </xdr:from>
    <xdr:to>
      <xdr:col>7</xdr:col>
      <xdr:colOff>790575</xdr:colOff>
      <xdr:row>113</xdr:row>
      <xdr:rowOff>0</xdr:rowOff>
    </xdr:to>
    <xdr:graphicFrame macro="">
      <xdr:nvGraphicFramePr>
        <xdr:cNvPr id="235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113</xdr:row>
      <xdr:rowOff>0</xdr:rowOff>
    </xdr:from>
    <xdr:to>
      <xdr:col>7</xdr:col>
      <xdr:colOff>752475</xdr:colOff>
      <xdr:row>113</xdr:row>
      <xdr:rowOff>0</xdr:rowOff>
    </xdr:to>
    <xdr:graphicFrame macro="">
      <xdr:nvGraphicFramePr>
        <xdr:cNvPr id="235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113</xdr:row>
      <xdr:rowOff>0</xdr:rowOff>
    </xdr:from>
    <xdr:to>
      <xdr:col>7</xdr:col>
      <xdr:colOff>781050</xdr:colOff>
      <xdr:row>113</xdr:row>
      <xdr:rowOff>0</xdr:rowOff>
    </xdr:to>
    <xdr:graphicFrame macro="">
      <xdr:nvGraphicFramePr>
        <xdr:cNvPr id="235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47625</xdr:colOff>
      <xdr:row>113</xdr:row>
      <xdr:rowOff>0</xdr:rowOff>
    </xdr:from>
    <xdr:to>
      <xdr:col>7</xdr:col>
      <xdr:colOff>790575</xdr:colOff>
      <xdr:row>113</xdr:row>
      <xdr:rowOff>0</xdr:rowOff>
    </xdr:to>
    <xdr:graphicFrame macro="">
      <xdr:nvGraphicFramePr>
        <xdr:cNvPr id="235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7</xdr:col>
      <xdr:colOff>790575</xdr:colOff>
      <xdr:row>113</xdr:row>
      <xdr:rowOff>0</xdr:rowOff>
    </xdr:to>
    <xdr:graphicFrame macro="">
      <xdr:nvGraphicFramePr>
        <xdr:cNvPr id="2356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7</xdr:col>
      <xdr:colOff>790575</xdr:colOff>
      <xdr:row>113</xdr:row>
      <xdr:rowOff>0</xdr:rowOff>
    </xdr:to>
    <xdr:graphicFrame macro="">
      <xdr:nvGraphicFramePr>
        <xdr:cNvPr id="2356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7</xdr:col>
      <xdr:colOff>790575</xdr:colOff>
      <xdr:row>113</xdr:row>
      <xdr:rowOff>0</xdr:rowOff>
    </xdr:to>
    <xdr:graphicFrame macro="">
      <xdr:nvGraphicFramePr>
        <xdr:cNvPr id="2356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9525</xdr:colOff>
      <xdr:row>113</xdr:row>
      <xdr:rowOff>0</xdr:rowOff>
    </xdr:from>
    <xdr:to>
      <xdr:col>7</xdr:col>
      <xdr:colOff>790575</xdr:colOff>
      <xdr:row>113</xdr:row>
      <xdr:rowOff>0</xdr:rowOff>
    </xdr:to>
    <xdr:graphicFrame macro="">
      <xdr:nvGraphicFramePr>
        <xdr:cNvPr id="2356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0.50321</cdr:x>
      <cdr:y>0.49637</cdr:y>
    </cdr:from>
    <cdr:to>
      <cdr:x>0.5126</cdr:x>
      <cdr:y>0.5557</cdr:y>
    </cdr:to>
    <cdr:sp macro="" textlink="">
      <cdr:nvSpPr>
        <cdr:cNvPr id="1686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716" y="1516102"/>
          <a:ext cx="75829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0.48443</cdr:x>
      <cdr:y>0.16191</cdr:y>
    </cdr:from>
    <cdr:to>
      <cdr:x>0.49728</cdr:x>
      <cdr:y>0.22779</cdr:y>
    </cdr:to>
    <cdr:sp macro="" textlink="">
      <cdr:nvSpPr>
        <cdr:cNvPr id="1689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4509" y="447331"/>
          <a:ext cx="104261" cy="1807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1535</xdr:row>
      <xdr:rowOff>0</xdr:rowOff>
    </xdr:from>
    <xdr:to>
      <xdr:col>8</xdr:col>
      <xdr:colOff>752475</xdr:colOff>
      <xdr:row>1535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1290</xdr:row>
      <xdr:rowOff>0</xdr:rowOff>
    </xdr:from>
    <xdr:to>
      <xdr:col>9</xdr:col>
      <xdr:colOff>514350</xdr:colOff>
      <xdr:row>1305</xdr:row>
      <xdr:rowOff>38100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1535</xdr:row>
      <xdr:rowOff>0</xdr:rowOff>
    </xdr:from>
    <xdr:to>
      <xdr:col>9</xdr:col>
      <xdr:colOff>571500</xdr:colOff>
      <xdr:row>1535</xdr:row>
      <xdr:rowOff>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1370</xdr:row>
      <xdr:rowOff>0</xdr:rowOff>
    </xdr:from>
    <xdr:to>
      <xdr:col>9</xdr:col>
      <xdr:colOff>495300</xdr:colOff>
      <xdr:row>1370</xdr:row>
      <xdr:rowOff>0</xdr:rowOff>
    </xdr:to>
    <xdr:graphicFrame macro="">
      <xdr:nvGraphicFramePr>
        <xdr:cNvPr id="104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1307</xdr:row>
      <xdr:rowOff>19050</xdr:rowOff>
    </xdr:from>
    <xdr:to>
      <xdr:col>9</xdr:col>
      <xdr:colOff>514350</xdr:colOff>
      <xdr:row>1323</xdr:row>
      <xdr:rowOff>104775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1325</xdr:row>
      <xdr:rowOff>19050</xdr:rowOff>
    </xdr:from>
    <xdr:to>
      <xdr:col>9</xdr:col>
      <xdr:colOff>523875</xdr:colOff>
      <xdr:row>1341</xdr:row>
      <xdr:rowOff>95250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1344</xdr:row>
      <xdr:rowOff>28575</xdr:rowOff>
    </xdr:from>
    <xdr:to>
      <xdr:col>9</xdr:col>
      <xdr:colOff>533400</xdr:colOff>
      <xdr:row>1359</xdr:row>
      <xdr:rowOff>104775</xdr:rowOff>
    </xdr:to>
    <xdr:graphicFrame macro="">
      <xdr:nvGraphicFramePr>
        <xdr:cNvPr id="105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1362</xdr:row>
      <xdr:rowOff>19050</xdr:rowOff>
    </xdr:from>
    <xdr:to>
      <xdr:col>9</xdr:col>
      <xdr:colOff>533400</xdr:colOff>
      <xdr:row>1377</xdr:row>
      <xdr:rowOff>123825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1272</xdr:row>
      <xdr:rowOff>47625</xdr:rowOff>
    </xdr:from>
    <xdr:to>
      <xdr:col>9</xdr:col>
      <xdr:colOff>485775</xdr:colOff>
      <xdr:row>1288</xdr:row>
      <xdr:rowOff>47625</xdr:rowOff>
    </xdr:to>
    <xdr:graphicFrame macro="">
      <xdr:nvGraphicFramePr>
        <xdr:cNvPr id="1060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180975</xdr:colOff>
      <xdr:row>0</xdr:row>
      <xdr:rowOff>114300</xdr:rowOff>
    </xdr:from>
    <xdr:to>
      <xdr:col>9</xdr:col>
      <xdr:colOff>38100</xdr:colOff>
      <xdr:row>6</xdr:row>
      <xdr:rowOff>57150</xdr:rowOff>
    </xdr:to>
    <xdr:grpSp>
      <xdr:nvGrpSpPr>
        <xdr:cNvPr id="1139" name="Group 115"/>
        <xdr:cNvGrpSpPr>
          <a:grpSpLocks/>
        </xdr:cNvGrpSpPr>
      </xdr:nvGrpSpPr>
      <xdr:grpSpPr bwMode="auto">
        <a:xfrm>
          <a:off x="381000" y="114300"/>
          <a:ext cx="5953125" cy="914400"/>
          <a:chOff x="49" y="82"/>
          <a:chExt cx="556" cy="96"/>
        </a:xfrm>
      </xdr:grpSpPr>
      <xdr:grpSp>
        <xdr:nvGrpSpPr>
          <xdr:cNvPr id="1140" name="Group 116"/>
          <xdr:cNvGrpSpPr>
            <a:grpSpLocks/>
          </xdr:cNvGrpSpPr>
        </xdr:nvGrpSpPr>
        <xdr:grpSpPr bwMode="auto">
          <a:xfrm>
            <a:off x="49" y="82"/>
            <a:ext cx="556" cy="96"/>
            <a:chOff x="49" y="82"/>
            <a:chExt cx="556" cy="96"/>
          </a:xfrm>
        </xdr:grpSpPr>
        <xdr:sp macro="" textlink="">
          <xdr:nvSpPr>
            <xdr:cNvPr id="1141" name="Rectangle 117"/>
            <xdr:cNvSpPr>
              <a:spLocks noChangeArrowheads="1"/>
            </xdr:cNvSpPr>
          </xdr:nvSpPr>
          <xdr:spPr bwMode="auto">
            <a:xfrm>
              <a:off x="49" y="82"/>
              <a:ext cx="556" cy="96"/>
            </a:xfrm>
            <a:prstGeom prst="rect">
              <a:avLst/>
            </a:prstGeom>
            <a:solidFill>
              <a:srgbClr val="FFFFFF"/>
            </a:solidFill>
            <a:ln w="25400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142" name="Group 118"/>
            <xdr:cNvGrpSpPr>
              <a:grpSpLocks/>
            </xdr:cNvGrpSpPr>
          </xdr:nvGrpSpPr>
          <xdr:grpSpPr bwMode="auto">
            <a:xfrm>
              <a:off x="50" y="83"/>
              <a:ext cx="554" cy="94"/>
              <a:chOff x="26" y="14"/>
              <a:chExt cx="554" cy="94"/>
            </a:xfrm>
          </xdr:grpSpPr>
          <xdr:sp macro="" textlink="">
            <xdr:nvSpPr>
              <xdr:cNvPr id="1143" name="Rectangle 119"/>
              <xdr:cNvSpPr>
                <a:spLocks noChangeArrowheads="1"/>
              </xdr:cNvSpPr>
            </xdr:nvSpPr>
            <xdr:spPr bwMode="auto">
              <a:xfrm>
                <a:off x="26" y="14"/>
                <a:ext cx="244" cy="9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grpSp>
            <xdr:nvGrpSpPr>
              <xdr:cNvPr id="1144" name="Group 120"/>
              <xdr:cNvGrpSpPr>
                <a:grpSpLocks/>
              </xdr:cNvGrpSpPr>
            </xdr:nvGrpSpPr>
            <xdr:grpSpPr bwMode="auto">
              <a:xfrm>
                <a:off x="32" y="14"/>
                <a:ext cx="548" cy="94"/>
                <a:chOff x="32" y="14"/>
                <a:chExt cx="548" cy="94"/>
              </a:xfrm>
            </xdr:grpSpPr>
            <xdr:pic>
              <xdr:nvPicPr>
                <xdr:cNvPr id="1145" name="Picture 121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0">
                  <a:grayscl/>
                  <a:biLevel thresh="50000"/>
                </a:blip>
                <a:srcRect/>
                <a:stretch>
                  <a:fillRect/>
                </a:stretch>
              </xdr:blipFill>
              <xdr:spPr bwMode="auto">
                <a:xfrm>
                  <a:off x="375" y="16"/>
                  <a:ext cx="106" cy="9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1146" name="Picture 12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0">
                  <a:grayscl/>
                  <a:biLevel thresh="50000"/>
                </a:blip>
                <a:srcRect/>
                <a:stretch>
                  <a:fillRect/>
                </a:stretch>
              </xdr:blipFill>
              <xdr:spPr bwMode="auto">
                <a:xfrm>
                  <a:off x="270" y="15"/>
                  <a:ext cx="106" cy="9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1147" name="Picture 123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0">
                  <a:grayscl/>
                  <a:biLevel thresh="50000"/>
                </a:blip>
                <a:srcRect/>
                <a:stretch>
                  <a:fillRect/>
                </a:stretch>
              </xdr:blipFill>
              <xdr:spPr bwMode="auto">
                <a:xfrm>
                  <a:off x="481" y="14"/>
                  <a:ext cx="99" cy="9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grpSp>
              <xdr:nvGrpSpPr>
                <xdr:cNvPr id="1148" name="Group 124"/>
                <xdr:cNvGrpSpPr>
                  <a:grpSpLocks/>
                </xdr:cNvGrpSpPr>
              </xdr:nvGrpSpPr>
              <xdr:grpSpPr bwMode="auto">
                <a:xfrm>
                  <a:off x="280" y="32"/>
                  <a:ext cx="296" cy="64"/>
                  <a:chOff x="318" y="32"/>
                  <a:chExt cx="250" cy="64"/>
                </a:xfrm>
              </xdr:grpSpPr>
              <xdr:sp macro="" textlink="">
                <xdr:nvSpPr>
                  <xdr:cNvPr id="1149" name="Freeform 125"/>
                  <xdr:cNvSpPr>
                    <a:spLocks/>
                  </xdr:cNvSpPr>
                </xdr:nvSpPr>
                <xdr:spPr bwMode="auto">
                  <a:xfrm>
                    <a:off x="318" y="33"/>
                    <a:ext cx="15" cy="48"/>
                  </a:xfrm>
                  <a:custGeom>
                    <a:avLst/>
                    <a:gdLst/>
                    <a:ahLst/>
                    <a:cxnLst>
                      <a:cxn ang="0">
                        <a:pos x="60" y="391"/>
                      </a:cxn>
                      <a:cxn ang="0">
                        <a:pos x="77" y="389"/>
                      </a:cxn>
                      <a:cxn ang="0">
                        <a:pos x="88" y="377"/>
                      </a:cxn>
                      <a:cxn ang="0">
                        <a:pos x="93" y="358"/>
                      </a:cxn>
                      <a:cxn ang="0">
                        <a:pos x="104" y="336"/>
                      </a:cxn>
                      <a:cxn ang="0">
                        <a:pos x="110" y="308"/>
                      </a:cxn>
                      <a:cxn ang="0">
                        <a:pos x="115" y="273"/>
                      </a:cxn>
                      <a:cxn ang="0">
                        <a:pos x="121" y="238"/>
                      </a:cxn>
                      <a:cxn ang="0">
                        <a:pos x="121" y="198"/>
                      </a:cxn>
                      <a:cxn ang="0">
                        <a:pos x="121" y="154"/>
                      </a:cxn>
                      <a:cxn ang="0">
                        <a:pos x="115" y="119"/>
                      </a:cxn>
                      <a:cxn ang="0">
                        <a:pos x="110" y="83"/>
                      </a:cxn>
                      <a:cxn ang="0">
                        <a:pos x="104" y="56"/>
                      </a:cxn>
                      <a:cxn ang="0">
                        <a:pos x="93" y="32"/>
                      </a:cxn>
                      <a:cxn ang="0">
                        <a:pos x="88" y="13"/>
                      </a:cxn>
                      <a:cxn ang="0">
                        <a:pos x="77" y="6"/>
                      </a:cxn>
                      <a:cxn ang="0">
                        <a:pos x="60" y="0"/>
                      </a:cxn>
                      <a:cxn ang="0">
                        <a:pos x="0" y="0"/>
                      </a:cxn>
                      <a:cxn ang="0">
                        <a:pos x="0" y="391"/>
                      </a:cxn>
                      <a:cxn ang="0">
                        <a:pos x="60" y="391"/>
                      </a:cxn>
                      <a:cxn ang="0">
                        <a:pos x="77" y="17"/>
                      </a:cxn>
                      <a:cxn ang="0">
                        <a:pos x="82" y="27"/>
                      </a:cxn>
                      <a:cxn ang="0">
                        <a:pos x="93" y="44"/>
                      </a:cxn>
                      <a:cxn ang="0">
                        <a:pos x="99" y="65"/>
                      </a:cxn>
                      <a:cxn ang="0">
                        <a:pos x="104" y="93"/>
                      </a:cxn>
                      <a:cxn ang="0">
                        <a:pos x="110" y="121"/>
                      </a:cxn>
                      <a:cxn ang="0">
                        <a:pos x="115" y="157"/>
                      </a:cxn>
                      <a:cxn ang="0">
                        <a:pos x="115" y="198"/>
                      </a:cxn>
                      <a:cxn ang="0">
                        <a:pos x="115" y="233"/>
                      </a:cxn>
                      <a:cxn ang="0">
                        <a:pos x="110" y="266"/>
                      </a:cxn>
                      <a:cxn ang="0">
                        <a:pos x="104" y="299"/>
                      </a:cxn>
                      <a:cxn ang="0">
                        <a:pos x="99" y="325"/>
                      </a:cxn>
                      <a:cxn ang="0">
                        <a:pos x="93" y="344"/>
                      </a:cxn>
                      <a:cxn ang="0">
                        <a:pos x="82" y="361"/>
                      </a:cxn>
                      <a:cxn ang="0">
                        <a:pos x="71" y="373"/>
                      </a:cxn>
                      <a:cxn ang="0">
                        <a:pos x="60" y="375"/>
                      </a:cxn>
                      <a:cxn ang="0">
                        <a:pos x="60" y="375"/>
                      </a:cxn>
                      <a:cxn ang="0">
                        <a:pos x="60" y="15"/>
                      </a:cxn>
                      <a:cxn ang="0">
                        <a:pos x="60" y="15"/>
                      </a:cxn>
                      <a:cxn ang="0">
                        <a:pos x="77" y="17"/>
                      </a:cxn>
                      <a:cxn ang="0">
                        <a:pos x="60" y="391"/>
                      </a:cxn>
                    </a:cxnLst>
                    <a:rect l="0" t="0" r="r" b="b"/>
                    <a:pathLst>
                      <a:path w="121" h="391">
                        <a:moveTo>
                          <a:pt x="60" y="391"/>
                        </a:moveTo>
                        <a:lnTo>
                          <a:pt x="77" y="389"/>
                        </a:lnTo>
                        <a:lnTo>
                          <a:pt x="88" y="377"/>
                        </a:lnTo>
                        <a:lnTo>
                          <a:pt x="93" y="358"/>
                        </a:lnTo>
                        <a:lnTo>
                          <a:pt x="104" y="336"/>
                        </a:lnTo>
                        <a:lnTo>
                          <a:pt x="110" y="308"/>
                        </a:lnTo>
                        <a:lnTo>
                          <a:pt x="115" y="273"/>
                        </a:lnTo>
                        <a:lnTo>
                          <a:pt x="121" y="238"/>
                        </a:lnTo>
                        <a:lnTo>
                          <a:pt x="121" y="198"/>
                        </a:lnTo>
                        <a:lnTo>
                          <a:pt x="121" y="154"/>
                        </a:lnTo>
                        <a:lnTo>
                          <a:pt x="115" y="119"/>
                        </a:lnTo>
                        <a:lnTo>
                          <a:pt x="110" y="83"/>
                        </a:lnTo>
                        <a:lnTo>
                          <a:pt x="104" y="56"/>
                        </a:lnTo>
                        <a:lnTo>
                          <a:pt x="93" y="32"/>
                        </a:lnTo>
                        <a:lnTo>
                          <a:pt x="88" y="13"/>
                        </a:lnTo>
                        <a:lnTo>
                          <a:pt x="77" y="6"/>
                        </a:lnTo>
                        <a:lnTo>
                          <a:pt x="60" y="0"/>
                        </a:lnTo>
                        <a:lnTo>
                          <a:pt x="0" y="0"/>
                        </a:lnTo>
                        <a:lnTo>
                          <a:pt x="0" y="391"/>
                        </a:lnTo>
                        <a:lnTo>
                          <a:pt x="60" y="391"/>
                        </a:lnTo>
                        <a:lnTo>
                          <a:pt x="77" y="17"/>
                        </a:lnTo>
                        <a:lnTo>
                          <a:pt x="82" y="27"/>
                        </a:lnTo>
                        <a:lnTo>
                          <a:pt x="93" y="44"/>
                        </a:lnTo>
                        <a:lnTo>
                          <a:pt x="99" y="65"/>
                        </a:lnTo>
                        <a:lnTo>
                          <a:pt x="104" y="93"/>
                        </a:lnTo>
                        <a:lnTo>
                          <a:pt x="110" y="121"/>
                        </a:lnTo>
                        <a:lnTo>
                          <a:pt x="115" y="157"/>
                        </a:lnTo>
                        <a:lnTo>
                          <a:pt x="115" y="198"/>
                        </a:lnTo>
                        <a:lnTo>
                          <a:pt x="115" y="233"/>
                        </a:lnTo>
                        <a:lnTo>
                          <a:pt x="110" y="266"/>
                        </a:lnTo>
                        <a:lnTo>
                          <a:pt x="104" y="299"/>
                        </a:lnTo>
                        <a:lnTo>
                          <a:pt x="99" y="325"/>
                        </a:lnTo>
                        <a:lnTo>
                          <a:pt x="93" y="344"/>
                        </a:lnTo>
                        <a:lnTo>
                          <a:pt x="82" y="361"/>
                        </a:lnTo>
                        <a:lnTo>
                          <a:pt x="71" y="373"/>
                        </a:lnTo>
                        <a:lnTo>
                          <a:pt x="60" y="375"/>
                        </a:lnTo>
                        <a:lnTo>
                          <a:pt x="60" y="375"/>
                        </a:lnTo>
                        <a:lnTo>
                          <a:pt x="60" y="15"/>
                        </a:lnTo>
                        <a:lnTo>
                          <a:pt x="60" y="15"/>
                        </a:lnTo>
                        <a:lnTo>
                          <a:pt x="77" y="17"/>
                        </a:lnTo>
                        <a:lnTo>
                          <a:pt x="60" y="39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0" name="Freeform 126"/>
                  <xdr:cNvSpPr>
                    <a:spLocks/>
                  </xdr:cNvSpPr>
                </xdr:nvSpPr>
                <xdr:spPr bwMode="auto">
                  <a:xfrm>
                    <a:off x="334" y="45"/>
                    <a:ext cx="13" cy="38"/>
                  </a:xfrm>
                  <a:custGeom>
                    <a:avLst/>
                    <a:gdLst/>
                    <a:ahLst/>
                    <a:cxnLst>
                      <a:cxn ang="0">
                        <a:pos x="55" y="102"/>
                      </a:cxn>
                      <a:cxn ang="0">
                        <a:pos x="38" y="98"/>
                      </a:cxn>
                      <a:cxn ang="0">
                        <a:pos x="33" y="100"/>
                      </a:cxn>
                      <a:cxn ang="0">
                        <a:pos x="22" y="104"/>
                      </a:cxn>
                      <a:cxn ang="0">
                        <a:pos x="16" y="114"/>
                      </a:cxn>
                      <a:cxn ang="0">
                        <a:pos x="11" y="125"/>
                      </a:cxn>
                      <a:cxn ang="0">
                        <a:pos x="5" y="138"/>
                      </a:cxn>
                      <a:cxn ang="0">
                        <a:pos x="0" y="154"/>
                      </a:cxn>
                      <a:cxn ang="0">
                        <a:pos x="0" y="196"/>
                      </a:cxn>
                      <a:cxn ang="0">
                        <a:pos x="0" y="237"/>
                      </a:cxn>
                      <a:cxn ang="0">
                        <a:pos x="5" y="256"/>
                      </a:cxn>
                      <a:cxn ang="0">
                        <a:pos x="11" y="270"/>
                      </a:cxn>
                      <a:cxn ang="0">
                        <a:pos x="16" y="282"/>
                      </a:cxn>
                      <a:cxn ang="0">
                        <a:pos x="22" y="291"/>
                      </a:cxn>
                      <a:cxn ang="0">
                        <a:pos x="33" y="298"/>
                      </a:cxn>
                      <a:cxn ang="0">
                        <a:pos x="38" y="300"/>
                      </a:cxn>
                      <a:cxn ang="0">
                        <a:pos x="49" y="298"/>
                      </a:cxn>
                      <a:cxn ang="0">
                        <a:pos x="55" y="294"/>
                      </a:cxn>
                      <a:cxn ang="0">
                        <a:pos x="66" y="282"/>
                      </a:cxn>
                      <a:cxn ang="0">
                        <a:pos x="66" y="291"/>
                      </a:cxn>
                      <a:cxn ang="0">
                        <a:pos x="104" y="291"/>
                      </a:cxn>
                      <a:cxn ang="0">
                        <a:pos x="104" y="67"/>
                      </a:cxn>
                      <a:cxn ang="0">
                        <a:pos x="104" y="48"/>
                      </a:cxn>
                      <a:cxn ang="0">
                        <a:pos x="99" y="31"/>
                      </a:cxn>
                      <a:cxn ang="0">
                        <a:pos x="93" y="20"/>
                      </a:cxn>
                      <a:cxn ang="0">
                        <a:pos x="88" y="12"/>
                      </a:cxn>
                      <a:cxn ang="0">
                        <a:pos x="71" y="2"/>
                      </a:cxn>
                      <a:cxn ang="0">
                        <a:pos x="55" y="0"/>
                      </a:cxn>
                      <a:cxn ang="0">
                        <a:pos x="38" y="2"/>
                      </a:cxn>
                      <a:cxn ang="0">
                        <a:pos x="22" y="12"/>
                      </a:cxn>
                      <a:cxn ang="0">
                        <a:pos x="16" y="20"/>
                      </a:cxn>
                      <a:cxn ang="0">
                        <a:pos x="11" y="31"/>
                      </a:cxn>
                      <a:cxn ang="0">
                        <a:pos x="5" y="46"/>
                      </a:cxn>
                      <a:cxn ang="0">
                        <a:pos x="5" y="64"/>
                      </a:cxn>
                      <a:cxn ang="0">
                        <a:pos x="11" y="64"/>
                      </a:cxn>
                      <a:cxn ang="0">
                        <a:pos x="11" y="50"/>
                      </a:cxn>
                      <a:cxn ang="0">
                        <a:pos x="16" y="40"/>
                      </a:cxn>
                      <a:cxn ang="0">
                        <a:pos x="27" y="25"/>
                      </a:cxn>
                      <a:cxn ang="0">
                        <a:pos x="38" y="19"/>
                      </a:cxn>
                      <a:cxn ang="0">
                        <a:pos x="49" y="17"/>
                      </a:cxn>
                      <a:cxn ang="0">
                        <a:pos x="55" y="19"/>
                      </a:cxn>
                      <a:cxn ang="0">
                        <a:pos x="60" y="29"/>
                      </a:cxn>
                      <a:cxn ang="0">
                        <a:pos x="66" y="43"/>
                      </a:cxn>
                      <a:cxn ang="0">
                        <a:pos x="66" y="64"/>
                      </a:cxn>
                      <a:cxn ang="0">
                        <a:pos x="66" y="114"/>
                      </a:cxn>
                      <a:cxn ang="0">
                        <a:pos x="55" y="102"/>
                      </a:cxn>
                      <a:cxn ang="0">
                        <a:pos x="55" y="119"/>
                      </a:cxn>
                      <a:cxn ang="0">
                        <a:pos x="60" y="123"/>
                      </a:cxn>
                      <a:cxn ang="0">
                        <a:pos x="66" y="129"/>
                      </a:cxn>
                      <a:cxn ang="0">
                        <a:pos x="66" y="265"/>
                      </a:cxn>
                      <a:cxn ang="0">
                        <a:pos x="60" y="273"/>
                      </a:cxn>
                      <a:cxn ang="0">
                        <a:pos x="55" y="277"/>
                      </a:cxn>
                      <a:cxn ang="0">
                        <a:pos x="38" y="282"/>
                      </a:cxn>
                      <a:cxn ang="0">
                        <a:pos x="38" y="114"/>
                      </a:cxn>
                      <a:cxn ang="0">
                        <a:pos x="55" y="119"/>
                      </a:cxn>
                      <a:cxn ang="0">
                        <a:pos x="55" y="102"/>
                      </a:cxn>
                    </a:cxnLst>
                    <a:rect l="0" t="0" r="r" b="b"/>
                    <a:pathLst>
                      <a:path w="104" h="300">
                        <a:moveTo>
                          <a:pt x="55" y="102"/>
                        </a:moveTo>
                        <a:lnTo>
                          <a:pt x="38" y="98"/>
                        </a:lnTo>
                        <a:lnTo>
                          <a:pt x="33" y="100"/>
                        </a:lnTo>
                        <a:lnTo>
                          <a:pt x="22" y="104"/>
                        </a:lnTo>
                        <a:lnTo>
                          <a:pt x="16" y="114"/>
                        </a:lnTo>
                        <a:lnTo>
                          <a:pt x="11" y="125"/>
                        </a:lnTo>
                        <a:lnTo>
                          <a:pt x="5" y="138"/>
                        </a:lnTo>
                        <a:lnTo>
                          <a:pt x="0" y="154"/>
                        </a:lnTo>
                        <a:lnTo>
                          <a:pt x="0" y="196"/>
                        </a:lnTo>
                        <a:lnTo>
                          <a:pt x="0" y="237"/>
                        </a:lnTo>
                        <a:lnTo>
                          <a:pt x="5" y="256"/>
                        </a:lnTo>
                        <a:lnTo>
                          <a:pt x="11" y="270"/>
                        </a:lnTo>
                        <a:lnTo>
                          <a:pt x="16" y="282"/>
                        </a:lnTo>
                        <a:lnTo>
                          <a:pt x="22" y="291"/>
                        </a:lnTo>
                        <a:lnTo>
                          <a:pt x="33" y="298"/>
                        </a:lnTo>
                        <a:lnTo>
                          <a:pt x="38" y="300"/>
                        </a:lnTo>
                        <a:lnTo>
                          <a:pt x="49" y="298"/>
                        </a:lnTo>
                        <a:lnTo>
                          <a:pt x="55" y="294"/>
                        </a:lnTo>
                        <a:lnTo>
                          <a:pt x="66" y="282"/>
                        </a:lnTo>
                        <a:lnTo>
                          <a:pt x="66" y="291"/>
                        </a:lnTo>
                        <a:lnTo>
                          <a:pt x="104" y="291"/>
                        </a:lnTo>
                        <a:lnTo>
                          <a:pt x="104" y="67"/>
                        </a:lnTo>
                        <a:lnTo>
                          <a:pt x="104" y="48"/>
                        </a:lnTo>
                        <a:lnTo>
                          <a:pt x="99" y="31"/>
                        </a:lnTo>
                        <a:lnTo>
                          <a:pt x="93" y="20"/>
                        </a:lnTo>
                        <a:lnTo>
                          <a:pt x="88" y="12"/>
                        </a:lnTo>
                        <a:lnTo>
                          <a:pt x="71" y="2"/>
                        </a:lnTo>
                        <a:lnTo>
                          <a:pt x="55" y="0"/>
                        </a:lnTo>
                        <a:lnTo>
                          <a:pt x="38" y="2"/>
                        </a:lnTo>
                        <a:lnTo>
                          <a:pt x="22" y="12"/>
                        </a:lnTo>
                        <a:lnTo>
                          <a:pt x="16" y="20"/>
                        </a:lnTo>
                        <a:lnTo>
                          <a:pt x="11" y="31"/>
                        </a:lnTo>
                        <a:lnTo>
                          <a:pt x="5" y="46"/>
                        </a:lnTo>
                        <a:lnTo>
                          <a:pt x="5" y="64"/>
                        </a:lnTo>
                        <a:lnTo>
                          <a:pt x="11" y="64"/>
                        </a:lnTo>
                        <a:lnTo>
                          <a:pt x="11" y="50"/>
                        </a:lnTo>
                        <a:lnTo>
                          <a:pt x="16" y="40"/>
                        </a:lnTo>
                        <a:lnTo>
                          <a:pt x="27" y="25"/>
                        </a:lnTo>
                        <a:lnTo>
                          <a:pt x="38" y="19"/>
                        </a:lnTo>
                        <a:lnTo>
                          <a:pt x="49" y="17"/>
                        </a:lnTo>
                        <a:lnTo>
                          <a:pt x="55" y="19"/>
                        </a:lnTo>
                        <a:lnTo>
                          <a:pt x="60" y="29"/>
                        </a:lnTo>
                        <a:lnTo>
                          <a:pt x="66" y="43"/>
                        </a:lnTo>
                        <a:lnTo>
                          <a:pt x="66" y="64"/>
                        </a:lnTo>
                        <a:lnTo>
                          <a:pt x="66" y="114"/>
                        </a:lnTo>
                        <a:lnTo>
                          <a:pt x="55" y="102"/>
                        </a:lnTo>
                        <a:lnTo>
                          <a:pt x="55" y="119"/>
                        </a:lnTo>
                        <a:lnTo>
                          <a:pt x="60" y="123"/>
                        </a:lnTo>
                        <a:lnTo>
                          <a:pt x="66" y="129"/>
                        </a:lnTo>
                        <a:lnTo>
                          <a:pt x="66" y="265"/>
                        </a:lnTo>
                        <a:lnTo>
                          <a:pt x="60" y="273"/>
                        </a:lnTo>
                        <a:lnTo>
                          <a:pt x="55" y="277"/>
                        </a:lnTo>
                        <a:lnTo>
                          <a:pt x="38" y="282"/>
                        </a:lnTo>
                        <a:lnTo>
                          <a:pt x="38" y="114"/>
                        </a:lnTo>
                        <a:lnTo>
                          <a:pt x="55" y="119"/>
                        </a:lnTo>
                        <a:lnTo>
                          <a:pt x="55" y="102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1" name="Freeform 127"/>
                  <xdr:cNvSpPr>
                    <a:spLocks/>
                  </xdr:cNvSpPr>
                </xdr:nvSpPr>
                <xdr:spPr bwMode="auto">
                  <a:xfrm>
                    <a:off x="350" y="32"/>
                    <a:ext cx="5" cy="49"/>
                  </a:xfrm>
                  <a:custGeom>
                    <a:avLst/>
                    <a:gdLst/>
                    <a:ahLst/>
                    <a:cxnLst>
                      <a:cxn ang="0">
                        <a:pos x="0" y="116"/>
                      </a:cxn>
                      <a:cxn ang="0">
                        <a:pos x="0" y="397"/>
                      </a:cxn>
                      <a:cxn ang="0">
                        <a:pos x="39" y="397"/>
                      </a:cxn>
                      <a:cxn ang="0">
                        <a:pos x="39" y="116"/>
                      </a:cxn>
                      <a:cxn ang="0">
                        <a:pos x="0" y="116"/>
                      </a:cxn>
                      <a:cxn ang="0">
                        <a:pos x="22" y="81"/>
                      </a:cxn>
                      <a:cxn ang="0">
                        <a:pos x="34" y="71"/>
                      </a:cxn>
                      <a:cxn ang="0">
                        <a:pos x="34" y="60"/>
                      </a:cxn>
                      <a:cxn ang="0">
                        <a:pos x="39" y="38"/>
                      </a:cxn>
                      <a:cxn ang="0">
                        <a:pos x="34" y="19"/>
                      </a:cxn>
                      <a:cxn ang="0">
                        <a:pos x="34" y="10"/>
                      </a:cxn>
                      <a:cxn ang="0">
                        <a:pos x="22" y="2"/>
                      </a:cxn>
                      <a:cxn ang="0">
                        <a:pos x="17" y="0"/>
                      </a:cxn>
                      <a:cxn ang="0">
                        <a:pos x="11" y="2"/>
                      </a:cxn>
                      <a:cxn ang="0">
                        <a:pos x="6" y="10"/>
                      </a:cxn>
                      <a:cxn ang="0">
                        <a:pos x="0" y="19"/>
                      </a:cxn>
                      <a:cxn ang="0">
                        <a:pos x="0" y="38"/>
                      </a:cxn>
                      <a:cxn ang="0">
                        <a:pos x="0" y="60"/>
                      </a:cxn>
                      <a:cxn ang="0">
                        <a:pos x="6" y="71"/>
                      </a:cxn>
                      <a:cxn ang="0">
                        <a:pos x="11" y="81"/>
                      </a:cxn>
                      <a:cxn ang="0">
                        <a:pos x="17" y="83"/>
                      </a:cxn>
                      <a:cxn ang="0">
                        <a:pos x="22" y="81"/>
                      </a:cxn>
                      <a:cxn ang="0">
                        <a:pos x="0" y="116"/>
                      </a:cxn>
                    </a:cxnLst>
                    <a:rect l="0" t="0" r="r" b="b"/>
                    <a:pathLst>
                      <a:path w="39" h="397">
                        <a:moveTo>
                          <a:pt x="0" y="116"/>
                        </a:moveTo>
                        <a:lnTo>
                          <a:pt x="0" y="397"/>
                        </a:lnTo>
                        <a:lnTo>
                          <a:pt x="39" y="397"/>
                        </a:lnTo>
                        <a:lnTo>
                          <a:pt x="39" y="116"/>
                        </a:lnTo>
                        <a:lnTo>
                          <a:pt x="0" y="116"/>
                        </a:lnTo>
                        <a:lnTo>
                          <a:pt x="22" y="81"/>
                        </a:lnTo>
                        <a:lnTo>
                          <a:pt x="34" y="71"/>
                        </a:lnTo>
                        <a:lnTo>
                          <a:pt x="34" y="60"/>
                        </a:lnTo>
                        <a:lnTo>
                          <a:pt x="39" y="38"/>
                        </a:lnTo>
                        <a:lnTo>
                          <a:pt x="34" y="19"/>
                        </a:lnTo>
                        <a:lnTo>
                          <a:pt x="34" y="10"/>
                        </a:lnTo>
                        <a:lnTo>
                          <a:pt x="22" y="2"/>
                        </a:lnTo>
                        <a:lnTo>
                          <a:pt x="17" y="0"/>
                        </a:lnTo>
                        <a:lnTo>
                          <a:pt x="11" y="2"/>
                        </a:lnTo>
                        <a:lnTo>
                          <a:pt x="6" y="10"/>
                        </a:lnTo>
                        <a:lnTo>
                          <a:pt x="0" y="19"/>
                        </a:lnTo>
                        <a:lnTo>
                          <a:pt x="0" y="38"/>
                        </a:lnTo>
                        <a:lnTo>
                          <a:pt x="0" y="60"/>
                        </a:lnTo>
                        <a:lnTo>
                          <a:pt x="6" y="71"/>
                        </a:lnTo>
                        <a:lnTo>
                          <a:pt x="11" y="81"/>
                        </a:lnTo>
                        <a:lnTo>
                          <a:pt x="17" y="83"/>
                        </a:lnTo>
                        <a:lnTo>
                          <a:pt x="22" y="81"/>
                        </a:lnTo>
                        <a:lnTo>
                          <a:pt x="0" y="11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2" name="Rectangle 128"/>
                  <xdr:cNvSpPr>
                    <a:spLocks noChangeArrowheads="1"/>
                  </xdr:cNvSpPr>
                </xdr:nvSpPr>
                <xdr:spPr bwMode="auto">
                  <a:xfrm>
                    <a:off x="357" y="33"/>
                    <a:ext cx="5" cy="48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1153" name="Freeform 129"/>
                  <xdr:cNvSpPr>
                    <a:spLocks/>
                  </xdr:cNvSpPr>
                </xdr:nvSpPr>
                <xdr:spPr bwMode="auto">
                  <a:xfrm>
                    <a:off x="364" y="46"/>
                    <a:ext cx="11" cy="43"/>
                  </a:xfrm>
                  <a:custGeom>
                    <a:avLst/>
                    <a:gdLst/>
                    <a:ahLst/>
                    <a:cxnLst>
                      <a:cxn ang="0">
                        <a:pos x="44" y="269"/>
                      </a:cxn>
                      <a:cxn ang="0">
                        <a:pos x="0" y="0"/>
                      </a:cxn>
                      <a:cxn ang="0">
                        <a:pos x="38" y="0"/>
                      </a:cxn>
                      <a:cxn ang="0">
                        <a:pos x="60" y="140"/>
                      </a:cxn>
                      <a:cxn ang="0">
                        <a:pos x="82" y="0"/>
                      </a:cxn>
                      <a:cxn ang="0">
                        <a:pos x="88" y="0"/>
                      </a:cxn>
                      <a:cxn ang="0">
                        <a:pos x="49" y="262"/>
                      </a:cxn>
                      <a:cxn ang="0">
                        <a:pos x="44" y="290"/>
                      </a:cxn>
                      <a:cxn ang="0">
                        <a:pos x="38" y="311"/>
                      </a:cxn>
                      <a:cxn ang="0">
                        <a:pos x="38" y="328"/>
                      </a:cxn>
                      <a:cxn ang="0">
                        <a:pos x="33" y="338"/>
                      </a:cxn>
                      <a:cxn ang="0">
                        <a:pos x="27" y="342"/>
                      </a:cxn>
                      <a:cxn ang="0">
                        <a:pos x="27" y="348"/>
                      </a:cxn>
                      <a:cxn ang="0">
                        <a:pos x="22" y="348"/>
                      </a:cxn>
                      <a:cxn ang="0">
                        <a:pos x="11" y="345"/>
                      </a:cxn>
                      <a:cxn ang="0">
                        <a:pos x="11" y="340"/>
                      </a:cxn>
                      <a:cxn ang="0">
                        <a:pos x="11" y="333"/>
                      </a:cxn>
                      <a:cxn ang="0">
                        <a:pos x="11" y="326"/>
                      </a:cxn>
                      <a:cxn ang="0">
                        <a:pos x="11" y="321"/>
                      </a:cxn>
                      <a:cxn ang="0">
                        <a:pos x="11" y="321"/>
                      </a:cxn>
                      <a:cxn ang="0">
                        <a:pos x="16" y="323"/>
                      </a:cxn>
                      <a:cxn ang="0">
                        <a:pos x="16" y="328"/>
                      </a:cxn>
                      <a:cxn ang="0">
                        <a:pos x="22" y="333"/>
                      </a:cxn>
                      <a:cxn ang="0">
                        <a:pos x="27" y="331"/>
                      </a:cxn>
                      <a:cxn ang="0">
                        <a:pos x="33" y="319"/>
                      </a:cxn>
                      <a:cxn ang="0">
                        <a:pos x="33" y="309"/>
                      </a:cxn>
                      <a:cxn ang="0">
                        <a:pos x="38" y="300"/>
                      </a:cxn>
                      <a:cxn ang="0">
                        <a:pos x="38" y="286"/>
                      </a:cxn>
                      <a:cxn ang="0">
                        <a:pos x="44" y="269"/>
                      </a:cxn>
                    </a:cxnLst>
                    <a:rect l="0" t="0" r="r" b="b"/>
                    <a:pathLst>
                      <a:path w="88" h="348">
                        <a:moveTo>
                          <a:pt x="44" y="269"/>
                        </a:moveTo>
                        <a:lnTo>
                          <a:pt x="0" y="0"/>
                        </a:lnTo>
                        <a:lnTo>
                          <a:pt x="38" y="0"/>
                        </a:lnTo>
                        <a:lnTo>
                          <a:pt x="60" y="140"/>
                        </a:lnTo>
                        <a:lnTo>
                          <a:pt x="82" y="0"/>
                        </a:lnTo>
                        <a:lnTo>
                          <a:pt x="88" y="0"/>
                        </a:lnTo>
                        <a:lnTo>
                          <a:pt x="49" y="262"/>
                        </a:lnTo>
                        <a:lnTo>
                          <a:pt x="44" y="290"/>
                        </a:lnTo>
                        <a:lnTo>
                          <a:pt x="38" y="311"/>
                        </a:lnTo>
                        <a:lnTo>
                          <a:pt x="38" y="328"/>
                        </a:lnTo>
                        <a:lnTo>
                          <a:pt x="33" y="338"/>
                        </a:lnTo>
                        <a:lnTo>
                          <a:pt x="27" y="342"/>
                        </a:lnTo>
                        <a:lnTo>
                          <a:pt x="27" y="348"/>
                        </a:lnTo>
                        <a:lnTo>
                          <a:pt x="22" y="348"/>
                        </a:lnTo>
                        <a:lnTo>
                          <a:pt x="11" y="345"/>
                        </a:lnTo>
                        <a:lnTo>
                          <a:pt x="11" y="340"/>
                        </a:lnTo>
                        <a:lnTo>
                          <a:pt x="11" y="333"/>
                        </a:lnTo>
                        <a:lnTo>
                          <a:pt x="11" y="326"/>
                        </a:lnTo>
                        <a:lnTo>
                          <a:pt x="11" y="321"/>
                        </a:lnTo>
                        <a:lnTo>
                          <a:pt x="11" y="321"/>
                        </a:lnTo>
                        <a:lnTo>
                          <a:pt x="16" y="323"/>
                        </a:lnTo>
                        <a:lnTo>
                          <a:pt x="16" y="328"/>
                        </a:lnTo>
                        <a:lnTo>
                          <a:pt x="22" y="333"/>
                        </a:lnTo>
                        <a:lnTo>
                          <a:pt x="27" y="331"/>
                        </a:lnTo>
                        <a:lnTo>
                          <a:pt x="33" y="319"/>
                        </a:lnTo>
                        <a:lnTo>
                          <a:pt x="33" y="309"/>
                        </a:lnTo>
                        <a:lnTo>
                          <a:pt x="38" y="300"/>
                        </a:lnTo>
                        <a:lnTo>
                          <a:pt x="38" y="286"/>
                        </a:lnTo>
                        <a:lnTo>
                          <a:pt x="44" y="269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4" name="Freeform 130"/>
                  <xdr:cNvSpPr>
                    <a:spLocks/>
                  </xdr:cNvSpPr>
                </xdr:nvSpPr>
                <xdr:spPr bwMode="auto">
                  <a:xfrm>
                    <a:off x="385" y="33"/>
                    <a:ext cx="14" cy="48"/>
                  </a:xfrm>
                  <a:custGeom>
                    <a:avLst/>
                    <a:gdLst/>
                    <a:ahLst/>
                    <a:cxnLst>
                      <a:cxn ang="0">
                        <a:pos x="104" y="233"/>
                      </a:cxn>
                      <a:cxn ang="0">
                        <a:pos x="99" y="223"/>
                      </a:cxn>
                      <a:cxn ang="0">
                        <a:pos x="99" y="212"/>
                      </a:cxn>
                      <a:cxn ang="0">
                        <a:pos x="93" y="204"/>
                      </a:cxn>
                      <a:cxn ang="0">
                        <a:pos x="88" y="202"/>
                      </a:cxn>
                      <a:cxn ang="0">
                        <a:pos x="93" y="202"/>
                      </a:cxn>
                      <a:cxn ang="0">
                        <a:pos x="99" y="195"/>
                      </a:cxn>
                      <a:cxn ang="0">
                        <a:pos x="104" y="185"/>
                      </a:cxn>
                      <a:cxn ang="0">
                        <a:pos x="110" y="173"/>
                      </a:cxn>
                      <a:cxn ang="0">
                        <a:pos x="110" y="140"/>
                      </a:cxn>
                      <a:cxn ang="0">
                        <a:pos x="110" y="105"/>
                      </a:cxn>
                      <a:cxn ang="0">
                        <a:pos x="110" y="75"/>
                      </a:cxn>
                      <a:cxn ang="0">
                        <a:pos x="110" y="50"/>
                      </a:cxn>
                      <a:cxn ang="0">
                        <a:pos x="104" y="32"/>
                      </a:cxn>
                      <a:cxn ang="0">
                        <a:pos x="99" y="17"/>
                      </a:cxn>
                      <a:cxn ang="0">
                        <a:pos x="88" y="10"/>
                      </a:cxn>
                      <a:cxn ang="0">
                        <a:pos x="77" y="6"/>
                      </a:cxn>
                      <a:cxn ang="0">
                        <a:pos x="60" y="0"/>
                      </a:cxn>
                      <a:cxn ang="0">
                        <a:pos x="0" y="0"/>
                      </a:cxn>
                      <a:cxn ang="0">
                        <a:pos x="0" y="391"/>
                      </a:cxn>
                      <a:cxn ang="0">
                        <a:pos x="60" y="391"/>
                      </a:cxn>
                      <a:cxn ang="0">
                        <a:pos x="77" y="389"/>
                      </a:cxn>
                      <a:cxn ang="0">
                        <a:pos x="88" y="382"/>
                      </a:cxn>
                      <a:cxn ang="0">
                        <a:pos x="99" y="375"/>
                      </a:cxn>
                      <a:cxn ang="0">
                        <a:pos x="104" y="361"/>
                      </a:cxn>
                      <a:cxn ang="0">
                        <a:pos x="110" y="344"/>
                      </a:cxn>
                      <a:cxn ang="0">
                        <a:pos x="110" y="323"/>
                      </a:cxn>
                      <a:cxn ang="0">
                        <a:pos x="110" y="294"/>
                      </a:cxn>
                      <a:cxn ang="0">
                        <a:pos x="104" y="233"/>
                      </a:cxn>
                      <a:cxn ang="0">
                        <a:pos x="82" y="206"/>
                      </a:cxn>
                      <a:cxn ang="0">
                        <a:pos x="88" y="212"/>
                      </a:cxn>
                      <a:cxn ang="0">
                        <a:pos x="93" y="219"/>
                      </a:cxn>
                      <a:cxn ang="0">
                        <a:pos x="99" y="235"/>
                      </a:cxn>
                      <a:cxn ang="0">
                        <a:pos x="104" y="261"/>
                      </a:cxn>
                      <a:cxn ang="0">
                        <a:pos x="110" y="294"/>
                      </a:cxn>
                      <a:cxn ang="0">
                        <a:pos x="104" y="318"/>
                      </a:cxn>
                      <a:cxn ang="0">
                        <a:pos x="104" y="336"/>
                      </a:cxn>
                      <a:cxn ang="0">
                        <a:pos x="99" y="352"/>
                      </a:cxn>
                      <a:cxn ang="0">
                        <a:pos x="93" y="361"/>
                      </a:cxn>
                      <a:cxn ang="0">
                        <a:pos x="88" y="367"/>
                      </a:cxn>
                      <a:cxn ang="0">
                        <a:pos x="77" y="373"/>
                      </a:cxn>
                      <a:cxn ang="0">
                        <a:pos x="60" y="375"/>
                      </a:cxn>
                      <a:cxn ang="0">
                        <a:pos x="60" y="15"/>
                      </a:cxn>
                      <a:cxn ang="0">
                        <a:pos x="77" y="17"/>
                      </a:cxn>
                      <a:cxn ang="0">
                        <a:pos x="88" y="23"/>
                      </a:cxn>
                      <a:cxn ang="0">
                        <a:pos x="93" y="29"/>
                      </a:cxn>
                      <a:cxn ang="0">
                        <a:pos x="99" y="41"/>
                      </a:cxn>
                      <a:cxn ang="0">
                        <a:pos x="104" y="58"/>
                      </a:cxn>
                      <a:cxn ang="0">
                        <a:pos x="104" y="79"/>
                      </a:cxn>
                      <a:cxn ang="0">
                        <a:pos x="110" y="108"/>
                      </a:cxn>
                      <a:cxn ang="0">
                        <a:pos x="104" y="162"/>
                      </a:cxn>
                      <a:cxn ang="0">
                        <a:pos x="99" y="181"/>
                      </a:cxn>
                      <a:cxn ang="0">
                        <a:pos x="93" y="188"/>
                      </a:cxn>
                      <a:cxn ang="0">
                        <a:pos x="88" y="190"/>
                      </a:cxn>
                      <a:cxn ang="0">
                        <a:pos x="71" y="181"/>
                      </a:cxn>
                      <a:cxn ang="0">
                        <a:pos x="66" y="183"/>
                      </a:cxn>
                      <a:cxn ang="0">
                        <a:pos x="66" y="188"/>
                      </a:cxn>
                      <a:cxn ang="0">
                        <a:pos x="66" y="198"/>
                      </a:cxn>
                      <a:cxn ang="0">
                        <a:pos x="66" y="202"/>
                      </a:cxn>
                      <a:cxn ang="0">
                        <a:pos x="66" y="206"/>
                      </a:cxn>
                      <a:cxn ang="0">
                        <a:pos x="71" y="209"/>
                      </a:cxn>
                      <a:cxn ang="0">
                        <a:pos x="82" y="206"/>
                      </a:cxn>
                      <a:cxn ang="0">
                        <a:pos x="104" y="233"/>
                      </a:cxn>
                    </a:cxnLst>
                    <a:rect l="0" t="0" r="r" b="b"/>
                    <a:pathLst>
                      <a:path w="110" h="391">
                        <a:moveTo>
                          <a:pt x="104" y="233"/>
                        </a:moveTo>
                        <a:lnTo>
                          <a:pt x="99" y="223"/>
                        </a:lnTo>
                        <a:lnTo>
                          <a:pt x="99" y="212"/>
                        </a:lnTo>
                        <a:lnTo>
                          <a:pt x="93" y="204"/>
                        </a:lnTo>
                        <a:lnTo>
                          <a:pt x="88" y="202"/>
                        </a:lnTo>
                        <a:lnTo>
                          <a:pt x="93" y="202"/>
                        </a:lnTo>
                        <a:lnTo>
                          <a:pt x="99" y="195"/>
                        </a:lnTo>
                        <a:lnTo>
                          <a:pt x="104" y="185"/>
                        </a:lnTo>
                        <a:lnTo>
                          <a:pt x="110" y="173"/>
                        </a:lnTo>
                        <a:lnTo>
                          <a:pt x="110" y="140"/>
                        </a:lnTo>
                        <a:lnTo>
                          <a:pt x="110" y="105"/>
                        </a:lnTo>
                        <a:lnTo>
                          <a:pt x="110" y="75"/>
                        </a:lnTo>
                        <a:lnTo>
                          <a:pt x="110" y="50"/>
                        </a:lnTo>
                        <a:lnTo>
                          <a:pt x="104" y="32"/>
                        </a:lnTo>
                        <a:lnTo>
                          <a:pt x="99" y="17"/>
                        </a:lnTo>
                        <a:lnTo>
                          <a:pt x="88" y="10"/>
                        </a:lnTo>
                        <a:lnTo>
                          <a:pt x="77" y="6"/>
                        </a:lnTo>
                        <a:lnTo>
                          <a:pt x="60" y="0"/>
                        </a:lnTo>
                        <a:lnTo>
                          <a:pt x="0" y="0"/>
                        </a:lnTo>
                        <a:lnTo>
                          <a:pt x="0" y="391"/>
                        </a:lnTo>
                        <a:lnTo>
                          <a:pt x="60" y="391"/>
                        </a:lnTo>
                        <a:lnTo>
                          <a:pt x="77" y="389"/>
                        </a:lnTo>
                        <a:lnTo>
                          <a:pt x="88" y="382"/>
                        </a:lnTo>
                        <a:lnTo>
                          <a:pt x="99" y="375"/>
                        </a:lnTo>
                        <a:lnTo>
                          <a:pt x="104" y="361"/>
                        </a:lnTo>
                        <a:lnTo>
                          <a:pt x="110" y="344"/>
                        </a:lnTo>
                        <a:lnTo>
                          <a:pt x="110" y="323"/>
                        </a:lnTo>
                        <a:lnTo>
                          <a:pt x="110" y="294"/>
                        </a:lnTo>
                        <a:lnTo>
                          <a:pt x="104" y="233"/>
                        </a:lnTo>
                        <a:lnTo>
                          <a:pt x="82" y="206"/>
                        </a:lnTo>
                        <a:lnTo>
                          <a:pt x="88" y="212"/>
                        </a:lnTo>
                        <a:lnTo>
                          <a:pt x="93" y="219"/>
                        </a:lnTo>
                        <a:lnTo>
                          <a:pt x="99" y="235"/>
                        </a:lnTo>
                        <a:lnTo>
                          <a:pt x="104" y="261"/>
                        </a:lnTo>
                        <a:lnTo>
                          <a:pt x="110" y="294"/>
                        </a:lnTo>
                        <a:lnTo>
                          <a:pt x="104" y="318"/>
                        </a:lnTo>
                        <a:lnTo>
                          <a:pt x="104" y="336"/>
                        </a:lnTo>
                        <a:lnTo>
                          <a:pt x="99" y="352"/>
                        </a:lnTo>
                        <a:lnTo>
                          <a:pt x="93" y="361"/>
                        </a:lnTo>
                        <a:lnTo>
                          <a:pt x="88" y="367"/>
                        </a:lnTo>
                        <a:lnTo>
                          <a:pt x="77" y="373"/>
                        </a:lnTo>
                        <a:lnTo>
                          <a:pt x="60" y="375"/>
                        </a:lnTo>
                        <a:lnTo>
                          <a:pt x="60" y="15"/>
                        </a:lnTo>
                        <a:lnTo>
                          <a:pt x="77" y="17"/>
                        </a:lnTo>
                        <a:lnTo>
                          <a:pt x="88" y="23"/>
                        </a:lnTo>
                        <a:lnTo>
                          <a:pt x="93" y="29"/>
                        </a:lnTo>
                        <a:lnTo>
                          <a:pt x="99" y="41"/>
                        </a:lnTo>
                        <a:lnTo>
                          <a:pt x="104" y="58"/>
                        </a:lnTo>
                        <a:lnTo>
                          <a:pt x="104" y="79"/>
                        </a:lnTo>
                        <a:lnTo>
                          <a:pt x="110" y="108"/>
                        </a:lnTo>
                        <a:lnTo>
                          <a:pt x="104" y="162"/>
                        </a:lnTo>
                        <a:lnTo>
                          <a:pt x="99" y="181"/>
                        </a:lnTo>
                        <a:lnTo>
                          <a:pt x="93" y="188"/>
                        </a:lnTo>
                        <a:lnTo>
                          <a:pt x="88" y="190"/>
                        </a:lnTo>
                        <a:lnTo>
                          <a:pt x="71" y="181"/>
                        </a:lnTo>
                        <a:lnTo>
                          <a:pt x="66" y="183"/>
                        </a:lnTo>
                        <a:lnTo>
                          <a:pt x="66" y="188"/>
                        </a:lnTo>
                        <a:lnTo>
                          <a:pt x="66" y="198"/>
                        </a:lnTo>
                        <a:lnTo>
                          <a:pt x="66" y="202"/>
                        </a:lnTo>
                        <a:lnTo>
                          <a:pt x="66" y="206"/>
                        </a:lnTo>
                        <a:lnTo>
                          <a:pt x="71" y="209"/>
                        </a:lnTo>
                        <a:lnTo>
                          <a:pt x="82" y="206"/>
                        </a:lnTo>
                        <a:lnTo>
                          <a:pt x="104" y="23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5" name="Freeform 131"/>
                  <xdr:cNvSpPr>
                    <a:spLocks/>
                  </xdr:cNvSpPr>
                </xdr:nvSpPr>
                <xdr:spPr bwMode="auto">
                  <a:xfrm>
                    <a:off x="401" y="46"/>
                    <a:ext cx="13" cy="37"/>
                  </a:xfrm>
                  <a:custGeom>
                    <a:avLst/>
                    <a:gdLst/>
                    <a:ahLst/>
                    <a:cxnLst>
                      <a:cxn ang="0">
                        <a:pos x="59" y="238"/>
                      </a:cxn>
                      <a:cxn ang="0">
                        <a:pos x="59" y="0"/>
                      </a:cxn>
                      <a:cxn ang="0">
                        <a:pos x="98" y="0"/>
                      </a:cxn>
                      <a:cxn ang="0">
                        <a:pos x="98" y="283"/>
                      </a:cxn>
                      <a:cxn ang="0">
                        <a:pos x="59" y="283"/>
                      </a:cxn>
                      <a:cxn ang="0">
                        <a:pos x="59" y="257"/>
                      </a:cxn>
                      <a:cxn ang="0">
                        <a:pos x="48" y="279"/>
                      </a:cxn>
                      <a:cxn ang="0">
                        <a:pos x="39" y="288"/>
                      </a:cxn>
                      <a:cxn ang="0">
                        <a:pos x="27" y="292"/>
                      </a:cxn>
                      <a:cxn ang="0">
                        <a:pos x="22" y="290"/>
                      </a:cxn>
                      <a:cxn ang="0">
                        <a:pos x="11" y="281"/>
                      </a:cxn>
                      <a:cxn ang="0">
                        <a:pos x="5" y="267"/>
                      </a:cxn>
                      <a:cxn ang="0">
                        <a:pos x="0" y="255"/>
                      </a:cxn>
                      <a:cxn ang="0">
                        <a:pos x="0" y="240"/>
                      </a:cxn>
                      <a:cxn ang="0">
                        <a:pos x="0" y="0"/>
                      </a:cxn>
                      <a:cxn ang="0">
                        <a:pos x="39" y="0"/>
                      </a:cxn>
                      <a:cxn ang="0">
                        <a:pos x="39" y="227"/>
                      </a:cxn>
                      <a:cxn ang="0">
                        <a:pos x="44" y="246"/>
                      </a:cxn>
                      <a:cxn ang="0">
                        <a:pos x="44" y="253"/>
                      </a:cxn>
                      <a:cxn ang="0">
                        <a:pos x="48" y="255"/>
                      </a:cxn>
                      <a:cxn ang="0">
                        <a:pos x="48" y="255"/>
                      </a:cxn>
                      <a:cxn ang="0">
                        <a:pos x="54" y="250"/>
                      </a:cxn>
                      <a:cxn ang="0">
                        <a:pos x="59" y="238"/>
                      </a:cxn>
                    </a:cxnLst>
                    <a:rect l="0" t="0" r="r" b="b"/>
                    <a:pathLst>
                      <a:path w="98" h="292">
                        <a:moveTo>
                          <a:pt x="59" y="238"/>
                        </a:moveTo>
                        <a:lnTo>
                          <a:pt x="59" y="0"/>
                        </a:lnTo>
                        <a:lnTo>
                          <a:pt x="98" y="0"/>
                        </a:lnTo>
                        <a:lnTo>
                          <a:pt x="98" y="283"/>
                        </a:lnTo>
                        <a:lnTo>
                          <a:pt x="59" y="283"/>
                        </a:lnTo>
                        <a:lnTo>
                          <a:pt x="59" y="257"/>
                        </a:lnTo>
                        <a:lnTo>
                          <a:pt x="48" y="279"/>
                        </a:lnTo>
                        <a:lnTo>
                          <a:pt x="39" y="288"/>
                        </a:lnTo>
                        <a:lnTo>
                          <a:pt x="27" y="292"/>
                        </a:lnTo>
                        <a:lnTo>
                          <a:pt x="22" y="290"/>
                        </a:lnTo>
                        <a:lnTo>
                          <a:pt x="11" y="281"/>
                        </a:lnTo>
                        <a:lnTo>
                          <a:pt x="5" y="267"/>
                        </a:lnTo>
                        <a:lnTo>
                          <a:pt x="0" y="255"/>
                        </a:lnTo>
                        <a:lnTo>
                          <a:pt x="0" y="240"/>
                        </a:lnTo>
                        <a:lnTo>
                          <a:pt x="0" y="0"/>
                        </a:lnTo>
                        <a:lnTo>
                          <a:pt x="39" y="0"/>
                        </a:lnTo>
                        <a:lnTo>
                          <a:pt x="39" y="227"/>
                        </a:lnTo>
                        <a:lnTo>
                          <a:pt x="44" y="246"/>
                        </a:lnTo>
                        <a:lnTo>
                          <a:pt x="44" y="253"/>
                        </a:lnTo>
                        <a:lnTo>
                          <a:pt x="48" y="255"/>
                        </a:lnTo>
                        <a:lnTo>
                          <a:pt x="48" y="255"/>
                        </a:lnTo>
                        <a:lnTo>
                          <a:pt x="54" y="250"/>
                        </a:lnTo>
                        <a:lnTo>
                          <a:pt x="59" y="238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6" name="Freeform 132"/>
                  <xdr:cNvSpPr>
                    <a:spLocks/>
                  </xdr:cNvSpPr>
                </xdr:nvSpPr>
                <xdr:spPr bwMode="auto">
                  <a:xfrm>
                    <a:off x="415" y="45"/>
                    <a:ext cx="10" cy="38"/>
                  </a:xfrm>
                  <a:custGeom>
                    <a:avLst/>
                    <a:gdLst/>
                    <a:ahLst/>
                    <a:cxnLst>
                      <a:cxn ang="0">
                        <a:pos x="0" y="248"/>
                      </a:cxn>
                      <a:cxn ang="0">
                        <a:pos x="6" y="248"/>
                      </a:cxn>
                      <a:cxn ang="0">
                        <a:pos x="6" y="263"/>
                      </a:cxn>
                      <a:cxn ang="0">
                        <a:pos x="11" y="273"/>
                      </a:cxn>
                      <a:cxn ang="0">
                        <a:pos x="17" y="279"/>
                      </a:cxn>
                      <a:cxn ang="0">
                        <a:pos x="22" y="284"/>
                      </a:cxn>
                      <a:cxn ang="0">
                        <a:pos x="28" y="282"/>
                      </a:cxn>
                      <a:cxn ang="0">
                        <a:pos x="33" y="277"/>
                      </a:cxn>
                      <a:cxn ang="0">
                        <a:pos x="33" y="265"/>
                      </a:cxn>
                      <a:cxn ang="0">
                        <a:pos x="39" y="256"/>
                      </a:cxn>
                      <a:cxn ang="0">
                        <a:pos x="39" y="244"/>
                      </a:cxn>
                      <a:cxn ang="0">
                        <a:pos x="33" y="213"/>
                      </a:cxn>
                      <a:cxn ang="0">
                        <a:pos x="17" y="183"/>
                      </a:cxn>
                      <a:cxn ang="0">
                        <a:pos x="11" y="166"/>
                      </a:cxn>
                      <a:cxn ang="0">
                        <a:pos x="6" y="148"/>
                      </a:cxn>
                      <a:cxn ang="0">
                        <a:pos x="0" y="125"/>
                      </a:cxn>
                      <a:cxn ang="0">
                        <a:pos x="0" y="98"/>
                      </a:cxn>
                      <a:cxn ang="0">
                        <a:pos x="0" y="77"/>
                      </a:cxn>
                      <a:cxn ang="0">
                        <a:pos x="0" y="54"/>
                      </a:cxn>
                      <a:cxn ang="0">
                        <a:pos x="6" y="38"/>
                      </a:cxn>
                      <a:cxn ang="0">
                        <a:pos x="11" y="25"/>
                      </a:cxn>
                      <a:cxn ang="0">
                        <a:pos x="11" y="14"/>
                      </a:cxn>
                      <a:cxn ang="0">
                        <a:pos x="22" y="8"/>
                      </a:cxn>
                      <a:cxn ang="0">
                        <a:pos x="28" y="0"/>
                      </a:cxn>
                      <a:cxn ang="0">
                        <a:pos x="39" y="0"/>
                      </a:cxn>
                      <a:cxn ang="0">
                        <a:pos x="50" y="0"/>
                      </a:cxn>
                      <a:cxn ang="0">
                        <a:pos x="61" y="5"/>
                      </a:cxn>
                      <a:cxn ang="0">
                        <a:pos x="61" y="12"/>
                      </a:cxn>
                      <a:cxn ang="0">
                        <a:pos x="66" y="20"/>
                      </a:cxn>
                      <a:cxn ang="0">
                        <a:pos x="72" y="31"/>
                      </a:cxn>
                      <a:cxn ang="0">
                        <a:pos x="77" y="48"/>
                      </a:cxn>
                      <a:cxn ang="0">
                        <a:pos x="72" y="48"/>
                      </a:cxn>
                      <a:cxn ang="0">
                        <a:pos x="61" y="25"/>
                      </a:cxn>
                      <a:cxn ang="0">
                        <a:pos x="55" y="19"/>
                      </a:cxn>
                      <a:cxn ang="0">
                        <a:pos x="50" y="14"/>
                      </a:cxn>
                      <a:cxn ang="0">
                        <a:pos x="44" y="14"/>
                      </a:cxn>
                      <a:cxn ang="0">
                        <a:pos x="44" y="20"/>
                      </a:cxn>
                      <a:cxn ang="0">
                        <a:pos x="39" y="29"/>
                      </a:cxn>
                      <a:cxn ang="0">
                        <a:pos x="39" y="38"/>
                      </a:cxn>
                      <a:cxn ang="0">
                        <a:pos x="39" y="50"/>
                      </a:cxn>
                      <a:cxn ang="0">
                        <a:pos x="44" y="83"/>
                      </a:cxn>
                      <a:cxn ang="0">
                        <a:pos x="55" y="114"/>
                      </a:cxn>
                      <a:cxn ang="0">
                        <a:pos x="61" y="129"/>
                      </a:cxn>
                      <a:cxn ang="0">
                        <a:pos x="72" y="148"/>
                      </a:cxn>
                      <a:cxn ang="0">
                        <a:pos x="72" y="171"/>
                      </a:cxn>
                      <a:cxn ang="0">
                        <a:pos x="77" y="196"/>
                      </a:cxn>
                      <a:cxn ang="0">
                        <a:pos x="72" y="220"/>
                      </a:cxn>
                      <a:cxn ang="0">
                        <a:pos x="72" y="240"/>
                      </a:cxn>
                      <a:cxn ang="0">
                        <a:pos x="72" y="258"/>
                      </a:cxn>
                      <a:cxn ang="0">
                        <a:pos x="66" y="273"/>
                      </a:cxn>
                      <a:cxn ang="0">
                        <a:pos x="61" y="284"/>
                      </a:cxn>
                      <a:cxn ang="0">
                        <a:pos x="55" y="294"/>
                      </a:cxn>
                      <a:cxn ang="0">
                        <a:pos x="44" y="298"/>
                      </a:cxn>
                      <a:cxn ang="0">
                        <a:pos x="39" y="300"/>
                      </a:cxn>
                      <a:cxn ang="0">
                        <a:pos x="28" y="298"/>
                      </a:cxn>
                      <a:cxn ang="0">
                        <a:pos x="17" y="294"/>
                      </a:cxn>
                      <a:cxn ang="0">
                        <a:pos x="11" y="287"/>
                      </a:cxn>
                      <a:cxn ang="0">
                        <a:pos x="6" y="279"/>
                      </a:cxn>
                      <a:cxn ang="0">
                        <a:pos x="0" y="265"/>
                      </a:cxn>
                      <a:cxn ang="0">
                        <a:pos x="0" y="248"/>
                      </a:cxn>
                    </a:cxnLst>
                    <a:rect l="0" t="0" r="r" b="b"/>
                    <a:pathLst>
                      <a:path w="77" h="300">
                        <a:moveTo>
                          <a:pt x="0" y="248"/>
                        </a:moveTo>
                        <a:lnTo>
                          <a:pt x="6" y="248"/>
                        </a:lnTo>
                        <a:lnTo>
                          <a:pt x="6" y="263"/>
                        </a:lnTo>
                        <a:lnTo>
                          <a:pt x="11" y="273"/>
                        </a:lnTo>
                        <a:lnTo>
                          <a:pt x="17" y="279"/>
                        </a:lnTo>
                        <a:lnTo>
                          <a:pt x="22" y="284"/>
                        </a:lnTo>
                        <a:lnTo>
                          <a:pt x="28" y="282"/>
                        </a:lnTo>
                        <a:lnTo>
                          <a:pt x="33" y="277"/>
                        </a:lnTo>
                        <a:lnTo>
                          <a:pt x="33" y="265"/>
                        </a:lnTo>
                        <a:lnTo>
                          <a:pt x="39" y="256"/>
                        </a:lnTo>
                        <a:lnTo>
                          <a:pt x="39" y="244"/>
                        </a:lnTo>
                        <a:lnTo>
                          <a:pt x="33" y="213"/>
                        </a:lnTo>
                        <a:lnTo>
                          <a:pt x="17" y="183"/>
                        </a:lnTo>
                        <a:lnTo>
                          <a:pt x="11" y="166"/>
                        </a:lnTo>
                        <a:lnTo>
                          <a:pt x="6" y="148"/>
                        </a:lnTo>
                        <a:lnTo>
                          <a:pt x="0" y="125"/>
                        </a:lnTo>
                        <a:lnTo>
                          <a:pt x="0" y="98"/>
                        </a:lnTo>
                        <a:lnTo>
                          <a:pt x="0" y="77"/>
                        </a:lnTo>
                        <a:lnTo>
                          <a:pt x="0" y="54"/>
                        </a:lnTo>
                        <a:lnTo>
                          <a:pt x="6" y="38"/>
                        </a:lnTo>
                        <a:lnTo>
                          <a:pt x="11" y="25"/>
                        </a:lnTo>
                        <a:lnTo>
                          <a:pt x="11" y="14"/>
                        </a:lnTo>
                        <a:lnTo>
                          <a:pt x="22" y="8"/>
                        </a:lnTo>
                        <a:lnTo>
                          <a:pt x="28" y="0"/>
                        </a:lnTo>
                        <a:lnTo>
                          <a:pt x="39" y="0"/>
                        </a:lnTo>
                        <a:lnTo>
                          <a:pt x="50" y="0"/>
                        </a:lnTo>
                        <a:lnTo>
                          <a:pt x="61" y="5"/>
                        </a:lnTo>
                        <a:lnTo>
                          <a:pt x="61" y="12"/>
                        </a:lnTo>
                        <a:lnTo>
                          <a:pt x="66" y="20"/>
                        </a:lnTo>
                        <a:lnTo>
                          <a:pt x="72" y="31"/>
                        </a:lnTo>
                        <a:lnTo>
                          <a:pt x="77" y="48"/>
                        </a:lnTo>
                        <a:lnTo>
                          <a:pt x="72" y="48"/>
                        </a:lnTo>
                        <a:lnTo>
                          <a:pt x="61" y="25"/>
                        </a:lnTo>
                        <a:lnTo>
                          <a:pt x="55" y="19"/>
                        </a:lnTo>
                        <a:lnTo>
                          <a:pt x="50" y="14"/>
                        </a:lnTo>
                        <a:lnTo>
                          <a:pt x="44" y="14"/>
                        </a:lnTo>
                        <a:lnTo>
                          <a:pt x="44" y="20"/>
                        </a:lnTo>
                        <a:lnTo>
                          <a:pt x="39" y="29"/>
                        </a:lnTo>
                        <a:lnTo>
                          <a:pt x="39" y="38"/>
                        </a:lnTo>
                        <a:lnTo>
                          <a:pt x="39" y="50"/>
                        </a:lnTo>
                        <a:lnTo>
                          <a:pt x="44" y="83"/>
                        </a:lnTo>
                        <a:lnTo>
                          <a:pt x="55" y="114"/>
                        </a:lnTo>
                        <a:lnTo>
                          <a:pt x="61" y="129"/>
                        </a:lnTo>
                        <a:lnTo>
                          <a:pt x="72" y="148"/>
                        </a:lnTo>
                        <a:lnTo>
                          <a:pt x="72" y="171"/>
                        </a:lnTo>
                        <a:lnTo>
                          <a:pt x="77" y="196"/>
                        </a:lnTo>
                        <a:lnTo>
                          <a:pt x="72" y="220"/>
                        </a:lnTo>
                        <a:lnTo>
                          <a:pt x="72" y="240"/>
                        </a:lnTo>
                        <a:lnTo>
                          <a:pt x="72" y="258"/>
                        </a:lnTo>
                        <a:lnTo>
                          <a:pt x="66" y="273"/>
                        </a:lnTo>
                        <a:lnTo>
                          <a:pt x="61" y="284"/>
                        </a:lnTo>
                        <a:lnTo>
                          <a:pt x="55" y="294"/>
                        </a:lnTo>
                        <a:lnTo>
                          <a:pt x="44" y="298"/>
                        </a:lnTo>
                        <a:lnTo>
                          <a:pt x="39" y="300"/>
                        </a:lnTo>
                        <a:lnTo>
                          <a:pt x="28" y="298"/>
                        </a:lnTo>
                        <a:lnTo>
                          <a:pt x="17" y="294"/>
                        </a:lnTo>
                        <a:lnTo>
                          <a:pt x="11" y="287"/>
                        </a:lnTo>
                        <a:lnTo>
                          <a:pt x="6" y="279"/>
                        </a:lnTo>
                        <a:lnTo>
                          <a:pt x="0" y="265"/>
                        </a:lnTo>
                        <a:lnTo>
                          <a:pt x="0" y="248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7" name="Freeform 133"/>
                  <xdr:cNvSpPr>
                    <a:spLocks/>
                  </xdr:cNvSpPr>
                </xdr:nvSpPr>
                <xdr:spPr bwMode="auto">
                  <a:xfrm>
                    <a:off x="426" y="32"/>
                    <a:ext cx="5" cy="49"/>
                  </a:xfrm>
                  <a:custGeom>
                    <a:avLst/>
                    <a:gdLst/>
                    <a:ahLst/>
                    <a:cxnLst>
                      <a:cxn ang="0">
                        <a:pos x="0" y="116"/>
                      </a:cxn>
                      <a:cxn ang="0">
                        <a:pos x="0" y="397"/>
                      </a:cxn>
                      <a:cxn ang="0">
                        <a:pos x="39" y="397"/>
                      </a:cxn>
                      <a:cxn ang="0">
                        <a:pos x="39" y="116"/>
                      </a:cxn>
                      <a:cxn ang="0">
                        <a:pos x="0" y="116"/>
                      </a:cxn>
                      <a:cxn ang="0">
                        <a:pos x="28" y="81"/>
                      </a:cxn>
                      <a:cxn ang="0">
                        <a:pos x="33" y="71"/>
                      </a:cxn>
                      <a:cxn ang="0">
                        <a:pos x="39" y="60"/>
                      </a:cxn>
                      <a:cxn ang="0">
                        <a:pos x="39" y="38"/>
                      </a:cxn>
                      <a:cxn ang="0">
                        <a:pos x="39" y="19"/>
                      </a:cxn>
                      <a:cxn ang="0">
                        <a:pos x="33" y="10"/>
                      </a:cxn>
                      <a:cxn ang="0">
                        <a:pos x="28" y="2"/>
                      </a:cxn>
                      <a:cxn ang="0">
                        <a:pos x="22" y="0"/>
                      </a:cxn>
                      <a:cxn ang="0">
                        <a:pos x="11" y="2"/>
                      </a:cxn>
                      <a:cxn ang="0">
                        <a:pos x="6" y="10"/>
                      </a:cxn>
                      <a:cxn ang="0">
                        <a:pos x="6" y="19"/>
                      </a:cxn>
                      <a:cxn ang="0">
                        <a:pos x="0" y="38"/>
                      </a:cxn>
                      <a:cxn ang="0">
                        <a:pos x="6" y="60"/>
                      </a:cxn>
                      <a:cxn ang="0">
                        <a:pos x="6" y="71"/>
                      </a:cxn>
                      <a:cxn ang="0">
                        <a:pos x="11" y="81"/>
                      </a:cxn>
                      <a:cxn ang="0">
                        <a:pos x="22" y="83"/>
                      </a:cxn>
                      <a:cxn ang="0">
                        <a:pos x="28" y="81"/>
                      </a:cxn>
                      <a:cxn ang="0">
                        <a:pos x="0" y="116"/>
                      </a:cxn>
                    </a:cxnLst>
                    <a:rect l="0" t="0" r="r" b="b"/>
                    <a:pathLst>
                      <a:path w="39" h="397">
                        <a:moveTo>
                          <a:pt x="0" y="116"/>
                        </a:moveTo>
                        <a:lnTo>
                          <a:pt x="0" y="397"/>
                        </a:lnTo>
                        <a:lnTo>
                          <a:pt x="39" y="397"/>
                        </a:lnTo>
                        <a:lnTo>
                          <a:pt x="39" y="116"/>
                        </a:lnTo>
                        <a:lnTo>
                          <a:pt x="0" y="116"/>
                        </a:lnTo>
                        <a:lnTo>
                          <a:pt x="28" y="81"/>
                        </a:lnTo>
                        <a:lnTo>
                          <a:pt x="33" y="71"/>
                        </a:lnTo>
                        <a:lnTo>
                          <a:pt x="39" y="60"/>
                        </a:lnTo>
                        <a:lnTo>
                          <a:pt x="39" y="38"/>
                        </a:lnTo>
                        <a:lnTo>
                          <a:pt x="39" y="19"/>
                        </a:lnTo>
                        <a:lnTo>
                          <a:pt x="33" y="10"/>
                        </a:lnTo>
                        <a:lnTo>
                          <a:pt x="28" y="2"/>
                        </a:lnTo>
                        <a:lnTo>
                          <a:pt x="22" y="0"/>
                        </a:lnTo>
                        <a:lnTo>
                          <a:pt x="11" y="2"/>
                        </a:lnTo>
                        <a:lnTo>
                          <a:pt x="6" y="10"/>
                        </a:lnTo>
                        <a:lnTo>
                          <a:pt x="6" y="19"/>
                        </a:lnTo>
                        <a:lnTo>
                          <a:pt x="0" y="38"/>
                        </a:lnTo>
                        <a:lnTo>
                          <a:pt x="6" y="60"/>
                        </a:lnTo>
                        <a:lnTo>
                          <a:pt x="6" y="71"/>
                        </a:lnTo>
                        <a:lnTo>
                          <a:pt x="11" y="81"/>
                        </a:lnTo>
                        <a:lnTo>
                          <a:pt x="22" y="83"/>
                        </a:lnTo>
                        <a:lnTo>
                          <a:pt x="28" y="81"/>
                        </a:lnTo>
                        <a:lnTo>
                          <a:pt x="0" y="11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8" name="Freeform 134"/>
                  <xdr:cNvSpPr>
                    <a:spLocks/>
                  </xdr:cNvSpPr>
                </xdr:nvSpPr>
                <xdr:spPr bwMode="auto">
                  <a:xfrm>
                    <a:off x="434" y="45"/>
                    <a:ext cx="12" cy="36"/>
                  </a:xfrm>
                  <a:custGeom>
                    <a:avLst/>
                    <a:gdLst/>
                    <a:ahLst/>
                    <a:cxnLst>
                      <a:cxn ang="0">
                        <a:pos x="98" y="291"/>
                      </a:cxn>
                      <a:cxn ang="0">
                        <a:pos x="60" y="291"/>
                      </a:cxn>
                      <a:cxn ang="0">
                        <a:pos x="60" y="64"/>
                      </a:cxn>
                      <a:cxn ang="0">
                        <a:pos x="54" y="43"/>
                      </a:cxn>
                      <a:cxn ang="0">
                        <a:pos x="54" y="36"/>
                      </a:cxn>
                      <a:cxn ang="0">
                        <a:pos x="49" y="33"/>
                      </a:cxn>
                      <a:cxn ang="0">
                        <a:pos x="43" y="38"/>
                      </a:cxn>
                      <a:cxn ang="0">
                        <a:pos x="37" y="48"/>
                      </a:cxn>
                      <a:cxn ang="0">
                        <a:pos x="37" y="291"/>
                      </a:cxn>
                      <a:cxn ang="0">
                        <a:pos x="0" y="291"/>
                      </a:cxn>
                      <a:cxn ang="0">
                        <a:pos x="0" y="10"/>
                      </a:cxn>
                      <a:cxn ang="0">
                        <a:pos x="37" y="10"/>
                      </a:cxn>
                      <a:cxn ang="0">
                        <a:pos x="37" y="31"/>
                      </a:cxn>
                      <a:cxn ang="0">
                        <a:pos x="49" y="12"/>
                      </a:cxn>
                      <a:cxn ang="0">
                        <a:pos x="60" y="5"/>
                      </a:cxn>
                      <a:cxn ang="0">
                        <a:pos x="65" y="0"/>
                      </a:cxn>
                      <a:cxn ang="0">
                        <a:pos x="76" y="2"/>
                      </a:cxn>
                      <a:cxn ang="0">
                        <a:pos x="87" y="12"/>
                      </a:cxn>
                      <a:cxn ang="0">
                        <a:pos x="93" y="25"/>
                      </a:cxn>
                      <a:cxn ang="0">
                        <a:pos x="93" y="36"/>
                      </a:cxn>
                      <a:cxn ang="0">
                        <a:pos x="98" y="48"/>
                      </a:cxn>
                      <a:cxn ang="0">
                        <a:pos x="98" y="291"/>
                      </a:cxn>
                    </a:cxnLst>
                    <a:rect l="0" t="0" r="r" b="b"/>
                    <a:pathLst>
                      <a:path w="98" h="291">
                        <a:moveTo>
                          <a:pt x="98" y="291"/>
                        </a:moveTo>
                        <a:lnTo>
                          <a:pt x="60" y="291"/>
                        </a:lnTo>
                        <a:lnTo>
                          <a:pt x="60" y="64"/>
                        </a:lnTo>
                        <a:lnTo>
                          <a:pt x="54" y="43"/>
                        </a:lnTo>
                        <a:lnTo>
                          <a:pt x="54" y="36"/>
                        </a:lnTo>
                        <a:lnTo>
                          <a:pt x="49" y="33"/>
                        </a:lnTo>
                        <a:lnTo>
                          <a:pt x="43" y="38"/>
                        </a:lnTo>
                        <a:lnTo>
                          <a:pt x="37" y="48"/>
                        </a:lnTo>
                        <a:lnTo>
                          <a:pt x="37" y="291"/>
                        </a:lnTo>
                        <a:lnTo>
                          <a:pt x="0" y="291"/>
                        </a:lnTo>
                        <a:lnTo>
                          <a:pt x="0" y="10"/>
                        </a:lnTo>
                        <a:lnTo>
                          <a:pt x="37" y="10"/>
                        </a:lnTo>
                        <a:lnTo>
                          <a:pt x="37" y="31"/>
                        </a:lnTo>
                        <a:lnTo>
                          <a:pt x="49" y="12"/>
                        </a:lnTo>
                        <a:lnTo>
                          <a:pt x="60" y="5"/>
                        </a:lnTo>
                        <a:lnTo>
                          <a:pt x="65" y="0"/>
                        </a:lnTo>
                        <a:lnTo>
                          <a:pt x="76" y="2"/>
                        </a:lnTo>
                        <a:lnTo>
                          <a:pt x="87" y="12"/>
                        </a:lnTo>
                        <a:lnTo>
                          <a:pt x="93" y="25"/>
                        </a:lnTo>
                        <a:lnTo>
                          <a:pt x="93" y="36"/>
                        </a:lnTo>
                        <a:lnTo>
                          <a:pt x="98" y="48"/>
                        </a:lnTo>
                        <a:lnTo>
                          <a:pt x="98" y="291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59" name="Freeform 135"/>
                  <xdr:cNvSpPr>
                    <a:spLocks/>
                  </xdr:cNvSpPr>
                </xdr:nvSpPr>
                <xdr:spPr bwMode="auto">
                  <a:xfrm>
                    <a:off x="447" y="45"/>
                    <a:ext cx="11" cy="38"/>
                  </a:xfrm>
                  <a:custGeom>
                    <a:avLst/>
                    <a:gdLst/>
                    <a:ahLst/>
                    <a:cxnLst>
                      <a:cxn ang="0">
                        <a:pos x="88" y="123"/>
                      </a:cxn>
                      <a:cxn ang="0">
                        <a:pos x="88" y="92"/>
                      </a:cxn>
                      <a:cxn ang="0">
                        <a:pos x="83" y="64"/>
                      </a:cxn>
                      <a:cxn ang="0">
                        <a:pos x="77" y="40"/>
                      </a:cxn>
                      <a:cxn ang="0">
                        <a:pos x="72" y="21"/>
                      </a:cxn>
                      <a:cxn ang="0">
                        <a:pos x="66" y="12"/>
                      </a:cxn>
                      <a:cxn ang="0">
                        <a:pos x="55" y="2"/>
                      </a:cxn>
                      <a:cxn ang="0">
                        <a:pos x="44" y="0"/>
                      </a:cxn>
                      <a:cxn ang="0">
                        <a:pos x="33" y="2"/>
                      </a:cxn>
                      <a:cxn ang="0">
                        <a:pos x="28" y="10"/>
                      </a:cxn>
                      <a:cxn ang="0">
                        <a:pos x="17" y="21"/>
                      </a:cxn>
                      <a:cxn ang="0">
                        <a:pos x="11" y="40"/>
                      </a:cxn>
                      <a:cxn ang="0">
                        <a:pos x="6" y="62"/>
                      </a:cxn>
                      <a:cxn ang="0">
                        <a:pos x="0" y="88"/>
                      </a:cxn>
                      <a:cxn ang="0">
                        <a:pos x="0" y="116"/>
                      </a:cxn>
                      <a:cxn ang="0">
                        <a:pos x="0" y="148"/>
                      </a:cxn>
                      <a:cxn ang="0">
                        <a:pos x="0" y="181"/>
                      </a:cxn>
                      <a:cxn ang="0">
                        <a:pos x="0" y="208"/>
                      </a:cxn>
                      <a:cxn ang="0">
                        <a:pos x="6" y="235"/>
                      </a:cxn>
                      <a:cxn ang="0">
                        <a:pos x="11" y="256"/>
                      </a:cxn>
                      <a:cxn ang="0">
                        <a:pos x="17" y="275"/>
                      </a:cxn>
                      <a:cxn ang="0">
                        <a:pos x="28" y="289"/>
                      </a:cxn>
                      <a:cxn ang="0">
                        <a:pos x="33" y="296"/>
                      </a:cxn>
                      <a:cxn ang="0">
                        <a:pos x="44" y="300"/>
                      </a:cxn>
                      <a:cxn ang="0">
                        <a:pos x="55" y="298"/>
                      </a:cxn>
                      <a:cxn ang="0">
                        <a:pos x="61" y="291"/>
                      </a:cxn>
                      <a:cxn ang="0">
                        <a:pos x="77" y="270"/>
                      </a:cxn>
                      <a:cxn ang="0">
                        <a:pos x="83" y="246"/>
                      </a:cxn>
                      <a:cxn ang="0">
                        <a:pos x="88" y="227"/>
                      </a:cxn>
                      <a:cxn ang="0">
                        <a:pos x="83" y="220"/>
                      </a:cxn>
                      <a:cxn ang="0">
                        <a:pos x="83" y="236"/>
                      </a:cxn>
                      <a:cxn ang="0">
                        <a:pos x="72" y="256"/>
                      </a:cxn>
                      <a:cxn ang="0">
                        <a:pos x="61" y="275"/>
                      </a:cxn>
                      <a:cxn ang="0">
                        <a:pos x="50" y="282"/>
                      </a:cxn>
                      <a:cxn ang="0">
                        <a:pos x="39" y="284"/>
                      </a:cxn>
                      <a:cxn ang="0">
                        <a:pos x="39" y="154"/>
                      </a:cxn>
                      <a:cxn ang="0">
                        <a:pos x="88" y="154"/>
                      </a:cxn>
                      <a:cxn ang="0">
                        <a:pos x="88" y="123"/>
                      </a:cxn>
                      <a:cxn ang="0">
                        <a:pos x="50" y="19"/>
                      </a:cxn>
                      <a:cxn ang="0">
                        <a:pos x="61" y="25"/>
                      </a:cxn>
                      <a:cxn ang="0">
                        <a:pos x="66" y="33"/>
                      </a:cxn>
                      <a:cxn ang="0">
                        <a:pos x="72" y="50"/>
                      </a:cxn>
                      <a:cxn ang="0">
                        <a:pos x="77" y="69"/>
                      </a:cxn>
                      <a:cxn ang="0">
                        <a:pos x="83" y="90"/>
                      </a:cxn>
                      <a:cxn ang="0">
                        <a:pos x="83" y="114"/>
                      </a:cxn>
                      <a:cxn ang="0">
                        <a:pos x="83" y="140"/>
                      </a:cxn>
                      <a:cxn ang="0">
                        <a:pos x="39" y="140"/>
                      </a:cxn>
                      <a:cxn ang="0">
                        <a:pos x="39" y="17"/>
                      </a:cxn>
                      <a:cxn ang="0">
                        <a:pos x="50" y="19"/>
                      </a:cxn>
                      <a:cxn ang="0">
                        <a:pos x="88" y="123"/>
                      </a:cxn>
                    </a:cxnLst>
                    <a:rect l="0" t="0" r="r" b="b"/>
                    <a:pathLst>
                      <a:path w="88" h="300">
                        <a:moveTo>
                          <a:pt x="88" y="123"/>
                        </a:moveTo>
                        <a:lnTo>
                          <a:pt x="88" y="92"/>
                        </a:lnTo>
                        <a:lnTo>
                          <a:pt x="83" y="64"/>
                        </a:lnTo>
                        <a:lnTo>
                          <a:pt x="77" y="40"/>
                        </a:lnTo>
                        <a:lnTo>
                          <a:pt x="72" y="21"/>
                        </a:lnTo>
                        <a:lnTo>
                          <a:pt x="66" y="12"/>
                        </a:lnTo>
                        <a:lnTo>
                          <a:pt x="55" y="2"/>
                        </a:lnTo>
                        <a:lnTo>
                          <a:pt x="44" y="0"/>
                        </a:lnTo>
                        <a:lnTo>
                          <a:pt x="33" y="2"/>
                        </a:lnTo>
                        <a:lnTo>
                          <a:pt x="28" y="10"/>
                        </a:lnTo>
                        <a:lnTo>
                          <a:pt x="17" y="21"/>
                        </a:lnTo>
                        <a:lnTo>
                          <a:pt x="11" y="40"/>
                        </a:lnTo>
                        <a:lnTo>
                          <a:pt x="6" y="62"/>
                        </a:lnTo>
                        <a:lnTo>
                          <a:pt x="0" y="88"/>
                        </a:lnTo>
                        <a:lnTo>
                          <a:pt x="0" y="116"/>
                        </a:lnTo>
                        <a:lnTo>
                          <a:pt x="0" y="148"/>
                        </a:lnTo>
                        <a:lnTo>
                          <a:pt x="0" y="181"/>
                        </a:lnTo>
                        <a:lnTo>
                          <a:pt x="0" y="208"/>
                        </a:lnTo>
                        <a:lnTo>
                          <a:pt x="6" y="235"/>
                        </a:lnTo>
                        <a:lnTo>
                          <a:pt x="11" y="256"/>
                        </a:lnTo>
                        <a:lnTo>
                          <a:pt x="17" y="275"/>
                        </a:lnTo>
                        <a:lnTo>
                          <a:pt x="28" y="289"/>
                        </a:lnTo>
                        <a:lnTo>
                          <a:pt x="33" y="296"/>
                        </a:lnTo>
                        <a:lnTo>
                          <a:pt x="44" y="300"/>
                        </a:lnTo>
                        <a:lnTo>
                          <a:pt x="55" y="298"/>
                        </a:lnTo>
                        <a:lnTo>
                          <a:pt x="61" y="291"/>
                        </a:lnTo>
                        <a:lnTo>
                          <a:pt x="77" y="270"/>
                        </a:lnTo>
                        <a:lnTo>
                          <a:pt x="83" y="246"/>
                        </a:lnTo>
                        <a:lnTo>
                          <a:pt x="88" y="227"/>
                        </a:lnTo>
                        <a:lnTo>
                          <a:pt x="83" y="220"/>
                        </a:lnTo>
                        <a:lnTo>
                          <a:pt x="83" y="236"/>
                        </a:lnTo>
                        <a:lnTo>
                          <a:pt x="72" y="256"/>
                        </a:lnTo>
                        <a:lnTo>
                          <a:pt x="61" y="275"/>
                        </a:lnTo>
                        <a:lnTo>
                          <a:pt x="50" y="282"/>
                        </a:lnTo>
                        <a:lnTo>
                          <a:pt x="39" y="284"/>
                        </a:lnTo>
                        <a:lnTo>
                          <a:pt x="39" y="154"/>
                        </a:lnTo>
                        <a:lnTo>
                          <a:pt x="88" y="154"/>
                        </a:lnTo>
                        <a:lnTo>
                          <a:pt x="88" y="123"/>
                        </a:lnTo>
                        <a:lnTo>
                          <a:pt x="50" y="19"/>
                        </a:lnTo>
                        <a:lnTo>
                          <a:pt x="61" y="25"/>
                        </a:lnTo>
                        <a:lnTo>
                          <a:pt x="66" y="33"/>
                        </a:lnTo>
                        <a:lnTo>
                          <a:pt x="72" y="50"/>
                        </a:lnTo>
                        <a:lnTo>
                          <a:pt x="77" y="69"/>
                        </a:lnTo>
                        <a:lnTo>
                          <a:pt x="83" y="90"/>
                        </a:lnTo>
                        <a:lnTo>
                          <a:pt x="83" y="114"/>
                        </a:lnTo>
                        <a:lnTo>
                          <a:pt x="83" y="140"/>
                        </a:lnTo>
                        <a:lnTo>
                          <a:pt x="39" y="140"/>
                        </a:lnTo>
                        <a:lnTo>
                          <a:pt x="39" y="17"/>
                        </a:lnTo>
                        <a:lnTo>
                          <a:pt x="50" y="19"/>
                        </a:lnTo>
                        <a:lnTo>
                          <a:pt x="88" y="12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0" name="Freeform 136"/>
                  <xdr:cNvSpPr>
                    <a:spLocks/>
                  </xdr:cNvSpPr>
                </xdr:nvSpPr>
                <xdr:spPr bwMode="auto">
                  <a:xfrm>
                    <a:off x="460" y="45"/>
                    <a:ext cx="10" cy="38"/>
                  </a:xfrm>
                  <a:custGeom>
                    <a:avLst/>
                    <a:gdLst/>
                    <a:ahLst/>
                    <a:cxnLst>
                      <a:cxn ang="0">
                        <a:pos x="0" y="248"/>
                      </a:cxn>
                      <a:cxn ang="0">
                        <a:pos x="5" y="248"/>
                      </a:cxn>
                      <a:cxn ang="0">
                        <a:pos x="5" y="263"/>
                      </a:cxn>
                      <a:cxn ang="0">
                        <a:pos x="11" y="273"/>
                      </a:cxn>
                      <a:cxn ang="0">
                        <a:pos x="17" y="279"/>
                      </a:cxn>
                      <a:cxn ang="0">
                        <a:pos x="22" y="284"/>
                      </a:cxn>
                      <a:cxn ang="0">
                        <a:pos x="28" y="282"/>
                      </a:cxn>
                      <a:cxn ang="0">
                        <a:pos x="33" y="277"/>
                      </a:cxn>
                      <a:cxn ang="0">
                        <a:pos x="33" y="265"/>
                      </a:cxn>
                      <a:cxn ang="0">
                        <a:pos x="39" y="256"/>
                      </a:cxn>
                      <a:cxn ang="0">
                        <a:pos x="39" y="244"/>
                      </a:cxn>
                      <a:cxn ang="0">
                        <a:pos x="33" y="213"/>
                      </a:cxn>
                      <a:cxn ang="0">
                        <a:pos x="17" y="183"/>
                      </a:cxn>
                      <a:cxn ang="0">
                        <a:pos x="11" y="166"/>
                      </a:cxn>
                      <a:cxn ang="0">
                        <a:pos x="5" y="148"/>
                      </a:cxn>
                      <a:cxn ang="0">
                        <a:pos x="0" y="125"/>
                      </a:cxn>
                      <a:cxn ang="0">
                        <a:pos x="0" y="98"/>
                      </a:cxn>
                      <a:cxn ang="0">
                        <a:pos x="0" y="77"/>
                      </a:cxn>
                      <a:cxn ang="0">
                        <a:pos x="0" y="54"/>
                      </a:cxn>
                      <a:cxn ang="0">
                        <a:pos x="5" y="38"/>
                      </a:cxn>
                      <a:cxn ang="0">
                        <a:pos x="11" y="25"/>
                      </a:cxn>
                      <a:cxn ang="0">
                        <a:pos x="11" y="14"/>
                      </a:cxn>
                      <a:cxn ang="0">
                        <a:pos x="22" y="8"/>
                      </a:cxn>
                      <a:cxn ang="0">
                        <a:pos x="28" y="0"/>
                      </a:cxn>
                      <a:cxn ang="0">
                        <a:pos x="39" y="0"/>
                      </a:cxn>
                      <a:cxn ang="0">
                        <a:pos x="48" y="0"/>
                      </a:cxn>
                      <a:cxn ang="0">
                        <a:pos x="60" y="5"/>
                      </a:cxn>
                      <a:cxn ang="0">
                        <a:pos x="60" y="12"/>
                      </a:cxn>
                      <a:cxn ang="0">
                        <a:pos x="65" y="20"/>
                      </a:cxn>
                      <a:cxn ang="0">
                        <a:pos x="71" y="31"/>
                      </a:cxn>
                      <a:cxn ang="0">
                        <a:pos x="76" y="48"/>
                      </a:cxn>
                      <a:cxn ang="0">
                        <a:pos x="71" y="48"/>
                      </a:cxn>
                      <a:cxn ang="0">
                        <a:pos x="60" y="25"/>
                      </a:cxn>
                      <a:cxn ang="0">
                        <a:pos x="54" y="19"/>
                      </a:cxn>
                      <a:cxn ang="0">
                        <a:pos x="48" y="14"/>
                      </a:cxn>
                      <a:cxn ang="0">
                        <a:pos x="43" y="14"/>
                      </a:cxn>
                      <a:cxn ang="0">
                        <a:pos x="43" y="20"/>
                      </a:cxn>
                      <a:cxn ang="0">
                        <a:pos x="39" y="29"/>
                      </a:cxn>
                      <a:cxn ang="0">
                        <a:pos x="39" y="38"/>
                      </a:cxn>
                      <a:cxn ang="0">
                        <a:pos x="39" y="50"/>
                      </a:cxn>
                      <a:cxn ang="0">
                        <a:pos x="43" y="83"/>
                      </a:cxn>
                      <a:cxn ang="0">
                        <a:pos x="54" y="114"/>
                      </a:cxn>
                      <a:cxn ang="0">
                        <a:pos x="60" y="129"/>
                      </a:cxn>
                      <a:cxn ang="0">
                        <a:pos x="71" y="148"/>
                      </a:cxn>
                      <a:cxn ang="0">
                        <a:pos x="71" y="171"/>
                      </a:cxn>
                      <a:cxn ang="0">
                        <a:pos x="76" y="196"/>
                      </a:cxn>
                      <a:cxn ang="0">
                        <a:pos x="71" y="220"/>
                      </a:cxn>
                      <a:cxn ang="0">
                        <a:pos x="71" y="240"/>
                      </a:cxn>
                      <a:cxn ang="0">
                        <a:pos x="71" y="258"/>
                      </a:cxn>
                      <a:cxn ang="0">
                        <a:pos x="65" y="273"/>
                      </a:cxn>
                      <a:cxn ang="0">
                        <a:pos x="60" y="284"/>
                      </a:cxn>
                      <a:cxn ang="0">
                        <a:pos x="54" y="294"/>
                      </a:cxn>
                      <a:cxn ang="0">
                        <a:pos x="43" y="298"/>
                      </a:cxn>
                      <a:cxn ang="0">
                        <a:pos x="39" y="300"/>
                      </a:cxn>
                      <a:cxn ang="0">
                        <a:pos x="28" y="298"/>
                      </a:cxn>
                      <a:cxn ang="0">
                        <a:pos x="17" y="294"/>
                      </a:cxn>
                      <a:cxn ang="0">
                        <a:pos x="11" y="287"/>
                      </a:cxn>
                      <a:cxn ang="0">
                        <a:pos x="5" y="279"/>
                      </a:cxn>
                      <a:cxn ang="0">
                        <a:pos x="0" y="265"/>
                      </a:cxn>
                      <a:cxn ang="0">
                        <a:pos x="0" y="248"/>
                      </a:cxn>
                    </a:cxnLst>
                    <a:rect l="0" t="0" r="r" b="b"/>
                    <a:pathLst>
                      <a:path w="76" h="300">
                        <a:moveTo>
                          <a:pt x="0" y="248"/>
                        </a:moveTo>
                        <a:lnTo>
                          <a:pt x="5" y="248"/>
                        </a:lnTo>
                        <a:lnTo>
                          <a:pt x="5" y="263"/>
                        </a:lnTo>
                        <a:lnTo>
                          <a:pt x="11" y="273"/>
                        </a:lnTo>
                        <a:lnTo>
                          <a:pt x="17" y="279"/>
                        </a:lnTo>
                        <a:lnTo>
                          <a:pt x="22" y="284"/>
                        </a:lnTo>
                        <a:lnTo>
                          <a:pt x="28" y="282"/>
                        </a:lnTo>
                        <a:lnTo>
                          <a:pt x="33" y="277"/>
                        </a:lnTo>
                        <a:lnTo>
                          <a:pt x="33" y="265"/>
                        </a:lnTo>
                        <a:lnTo>
                          <a:pt x="39" y="256"/>
                        </a:lnTo>
                        <a:lnTo>
                          <a:pt x="39" y="244"/>
                        </a:lnTo>
                        <a:lnTo>
                          <a:pt x="33" y="213"/>
                        </a:lnTo>
                        <a:lnTo>
                          <a:pt x="17" y="183"/>
                        </a:lnTo>
                        <a:lnTo>
                          <a:pt x="11" y="166"/>
                        </a:lnTo>
                        <a:lnTo>
                          <a:pt x="5" y="148"/>
                        </a:lnTo>
                        <a:lnTo>
                          <a:pt x="0" y="125"/>
                        </a:lnTo>
                        <a:lnTo>
                          <a:pt x="0" y="98"/>
                        </a:lnTo>
                        <a:lnTo>
                          <a:pt x="0" y="77"/>
                        </a:lnTo>
                        <a:lnTo>
                          <a:pt x="0" y="54"/>
                        </a:lnTo>
                        <a:lnTo>
                          <a:pt x="5" y="38"/>
                        </a:lnTo>
                        <a:lnTo>
                          <a:pt x="11" y="25"/>
                        </a:lnTo>
                        <a:lnTo>
                          <a:pt x="11" y="14"/>
                        </a:lnTo>
                        <a:lnTo>
                          <a:pt x="22" y="8"/>
                        </a:lnTo>
                        <a:lnTo>
                          <a:pt x="28" y="0"/>
                        </a:lnTo>
                        <a:lnTo>
                          <a:pt x="39" y="0"/>
                        </a:lnTo>
                        <a:lnTo>
                          <a:pt x="48" y="0"/>
                        </a:lnTo>
                        <a:lnTo>
                          <a:pt x="60" y="5"/>
                        </a:lnTo>
                        <a:lnTo>
                          <a:pt x="60" y="12"/>
                        </a:lnTo>
                        <a:lnTo>
                          <a:pt x="65" y="20"/>
                        </a:lnTo>
                        <a:lnTo>
                          <a:pt x="71" y="31"/>
                        </a:lnTo>
                        <a:lnTo>
                          <a:pt x="76" y="48"/>
                        </a:lnTo>
                        <a:lnTo>
                          <a:pt x="71" y="48"/>
                        </a:lnTo>
                        <a:lnTo>
                          <a:pt x="60" y="25"/>
                        </a:lnTo>
                        <a:lnTo>
                          <a:pt x="54" y="19"/>
                        </a:lnTo>
                        <a:lnTo>
                          <a:pt x="48" y="14"/>
                        </a:lnTo>
                        <a:lnTo>
                          <a:pt x="43" y="14"/>
                        </a:lnTo>
                        <a:lnTo>
                          <a:pt x="43" y="20"/>
                        </a:lnTo>
                        <a:lnTo>
                          <a:pt x="39" y="29"/>
                        </a:lnTo>
                        <a:lnTo>
                          <a:pt x="39" y="38"/>
                        </a:lnTo>
                        <a:lnTo>
                          <a:pt x="39" y="50"/>
                        </a:lnTo>
                        <a:lnTo>
                          <a:pt x="43" y="83"/>
                        </a:lnTo>
                        <a:lnTo>
                          <a:pt x="54" y="114"/>
                        </a:lnTo>
                        <a:lnTo>
                          <a:pt x="60" y="129"/>
                        </a:lnTo>
                        <a:lnTo>
                          <a:pt x="71" y="148"/>
                        </a:lnTo>
                        <a:lnTo>
                          <a:pt x="71" y="171"/>
                        </a:lnTo>
                        <a:lnTo>
                          <a:pt x="76" y="196"/>
                        </a:lnTo>
                        <a:lnTo>
                          <a:pt x="71" y="220"/>
                        </a:lnTo>
                        <a:lnTo>
                          <a:pt x="71" y="240"/>
                        </a:lnTo>
                        <a:lnTo>
                          <a:pt x="71" y="258"/>
                        </a:lnTo>
                        <a:lnTo>
                          <a:pt x="65" y="273"/>
                        </a:lnTo>
                        <a:lnTo>
                          <a:pt x="60" y="284"/>
                        </a:lnTo>
                        <a:lnTo>
                          <a:pt x="54" y="294"/>
                        </a:lnTo>
                        <a:lnTo>
                          <a:pt x="43" y="298"/>
                        </a:lnTo>
                        <a:lnTo>
                          <a:pt x="39" y="300"/>
                        </a:lnTo>
                        <a:lnTo>
                          <a:pt x="28" y="298"/>
                        </a:lnTo>
                        <a:lnTo>
                          <a:pt x="17" y="294"/>
                        </a:lnTo>
                        <a:lnTo>
                          <a:pt x="11" y="287"/>
                        </a:lnTo>
                        <a:lnTo>
                          <a:pt x="5" y="279"/>
                        </a:lnTo>
                        <a:lnTo>
                          <a:pt x="0" y="265"/>
                        </a:lnTo>
                        <a:lnTo>
                          <a:pt x="0" y="248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1" name="Freeform 137"/>
                  <xdr:cNvSpPr>
                    <a:spLocks/>
                  </xdr:cNvSpPr>
                </xdr:nvSpPr>
                <xdr:spPr bwMode="auto">
                  <a:xfrm>
                    <a:off x="471" y="45"/>
                    <a:ext cx="9" cy="38"/>
                  </a:xfrm>
                  <a:custGeom>
                    <a:avLst/>
                    <a:gdLst/>
                    <a:ahLst/>
                    <a:cxnLst>
                      <a:cxn ang="0">
                        <a:pos x="0" y="248"/>
                      </a:cxn>
                      <a:cxn ang="0">
                        <a:pos x="5" y="248"/>
                      </a:cxn>
                      <a:cxn ang="0">
                        <a:pos x="11" y="263"/>
                      </a:cxn>
                      <a:cxn ang="0">
                        <a:pos x="16" y="273"/>
                      </a:cxn>
                      <a:cxn ang="0">
                        <a:pos x="22" y="279"/>
                      </a:cxn>
                      <a:cxn ang="0">
                        <a:pos x="27" y="284"/>
                      </a:cxn>
                      <a:cxn ang="0">
                        <a:pos x="27" y="282"/>
                      </a:cxn>
                      <a:cxn ang="0">
                        <a:pos x="33" y="277"/>
                      </a:cxn>
                      <a:cxn ang="0">
                        <a:pos x="38" y="265"/>
                      </a:cxn>
                      <a:cxn ang="0">
                        <a:pos x="38" y="256"/>
                      </a:cxn>
                      <a:cxn ang="0">
                        <a:pos x="38" y="244"/>
                      </a:cxn>
                      <a:cxn ang="0">
                        <a:pos x="33" y="213"/>
                      </a:cxn>
                      <a:cxn ang="0">
                        <a:pos x="22" y="183"/>
                      </a:cxn>
                      <a:cxn ang="0">
                        <a:pos x="11" y="166"/>
                      </a:cxn>
                      <a:cxn ang="0">
                        <a:pos x="5" y="148"/>
                      </a:cxn>
                      <a:cxn ang="0">
                        <a:pos x="5" y="125"/>
                      </a:cxn>
                      <a:cxn ang="0">
                        <a:pos x="0" y="98"/>
                      </a:cxn>
                      <a:cxn ang="0">
                        <a:pos x="0" y="77"/>
                      </a:cxn>
                      <a:cxn ang="0">
                        <a:pos x="5" y="54"/>
                      </a:cxn>
                      <a:cxn ang="0">
                        <a:pos x="5" y="38"/>
                      </a:cxn>
                      <a:cxn ang="0">
                        <a:pos x="11" y="25"/>
                      </a:cxn>
                      <a:cxn ang="0">
                        <a:pos x="16" y="14"/>
                      </a:cxn>
                      <a:cxn ang="0">
                        <a:pos x="22" y="8"/>
                      </a:cxn>
                      <a:cxn ang="0">
                        <a:pos x="33" y="0"/>
                      </a:cxn>
                      <a:cxn ang="0">
                        <a:pos x="38" y="0"/>
                      </a:cxn>
                      <a:cxn ang="0">
                        <a:pos x="49" y="0"/>
                      </a:cxn>
                      <a:cxn ang="0">
                        <a:pos x="60" y="5"/>
                      </a:cxn>
                      <a:cxn ang="0">
                        <a:pos x="66" y="12"/>
                      </a:cxn>
                      <a:cxn ang="0">
                        <a:pos x="71" y="20"/>
                      </a:cxn>
                      <a:cxn ang="0">
                        <a:pos x="77" y="31"/>
                      </a:cxn>
                      <a:cxn ang="0">
                        <a:pos x="77" y="48"/>
                      </a:cxn>
                      <a:cxn ang="0">
                        <a:pos x="71" y="48"/>
                      </a:cxn>
                      <a:cxn ang="0">
                        <a:pos x="66" y="25"/>
                      </a:cxn>
                      <a:cxn ang="0">
                        <a:pos x="60" y="19"/>
                      </a:cxn>
                      <a:cxn ang="0">
                        <a:pos x="55" y="14"/>
                      </a:cxn>
                      <a:cxn ang="0">
                        <a:pos x="49" y="14"/>
                      </a:cxn>
                      <a:cxn ang="0">
                        <a:pos x="44" y="20"/>
                      </a:cxn>
                      <a:cxn ang="0">
                        <a:pos x="38" y="29"/>
                      </a:cxn>
                      <a:cxn ang="0">
                        <a:pos x="38" y="38"/>
                      </a:cxn>
                      <a:cxn ang="0">
                        <a:pos x="38" y="50"/>
                      </a:cxn>
                      <a:cxn ang="0">
                        <a:pos x="44" y="83"/>
                      </a:cxn>
                      <a:cxn ang="0">
                        <a:pos x="60" y="114"/>
                      </a:cxn>
                      <a:cxn ang="0">
                        <a:pos x="66" y="129"/>
                      </a:cxn>
                      <a:cxn ang="0">
                        <a:pos x="71" y="148"/>
                      </a:cxn>
                      <a:cxn ang="0">
                        <a:pos x="77" y="171"/>
                      </a:cxn>
                      <a:cxn ang="0">
                        <a:pos x="77" y="196"/>
                      </a:cxn>
                      <a:cxn ang="0">
                        <a:pos x="77" y="220"/>
                      </a:cxn>
                      <a:cxn ang="0">
                        <a:pos x="77" y="240"/>
                      </a:cxn>
                      <a:cxn ang="0">
                        <a:pos x="71" y="258"/>
                      </a:cxn>
                      <a:cxn ang="0">
                        <a:pos x="66" y="273"/>
                      </a:cxn>
                      <a:cxn ang="0">
                        <a:pos x="60" y="284"/>
                      </a:cxn>
                      <a:cxn ang="0">
                        <a:pos x="55" y="294"/>
                      </a:cxn>
                      <a:cxn ang="0">
                        <a:pos x="49" y="298"/>
                      </a:cxn>
                      <a:cxn ang="0">
                        <a:pos x="38" y="300"/>
                      </a:cxn>
                      <a:cxn ang="0">
                        <a:pos x="27" y="298"/>
                      </a:cxn>
                      <a:cxn ang="0">
                        <a:pos x="16" y="294"/>
                      </a:cxn>
                      <a:cxn ang="0">
                        <a:pos x="11" y="287"/>
                      </a:cxn>
                      <a:cxn ang="0">
                        <a:pos x="11" y="279"/>
                      </a:cxn>
                      <a:cxn ang="0">
                        <a:pos x="5" y="265"/>
                      </a:cxn>
                      <a:cxn ang="0">
                        <a:pos x="0" y="248"/>
                      </a:cxn>
                    </a:cxnLst>
                    <a:rect l="0" t="0" r="r" b="b"/>
                    <a:pathLst>
                      <a:path w="77" h="300">
                        <a:moveTo>
                          <a:pt x="0" y="248"/>
                        </a:moveTo>
                        <a:lnTo>
                          <a:pt x="5" y="248"/>
                        </a:lnTo>
                        <a:lnTo>
                          <a:pt x="11" y="263"/>
                        </a:lnTo>
                        <a:lnTo>
                          <a:pt x="16" y="273"/>
                        </a:lnTo>
                        <a:lnTo>
                          <a:pt x="22" y="279"/>
                        </a:lnTo>
                        <a:lnTo>
                          <a:pt x="27" y="284"/>
                        </a:lnTo>
                        <a:lnTo>
                          <a:pt x="27" y="282"/>
                        </a:lnTo>
                        <a:lnTo>
                          <a:pt x="33" y="277"/>
                        </a:lnTo>
                        <a:lnTo>
                          <a:pt x="38" y="265"/>
                        </a:lnTo>
                        <a:lnTo>
                          <a:pt x="38" y="256"/>
                        </a:lnTo>
                        <a:lnTo>
                          <a:pt x="38" y="244"/>
                        </a:lnTo>
                        <a:lnTo>
                          <a:pt x="33" y="213"/>
                        </a:lnTo>
                        <a:lnTo>
                          <a:pt x="22" y="183"/>
                        </a:lnTo>
                        <a:lnTo>
                          <a:pt x="11" y="166"/>
                        </a:lnTo>
                        <a:lnTo>
                          <a:pt x="5" y="148"/>
                        </a:lnTo>
                        <a:lnTo>
                          <a:pt x="5" y="125"/>
                        </a:lnTo>
                        <a:lnTo>
                          <a:pt x="0" y="98"/>
                        </a:lnTo>
                        <a:lnTo>
                          <a:pt x="0" y="77"/>
                        </a:lnTo>
                        <a:lnTo>
                          <a:pt x="5" y="54"/>
                        </a:lnTo>
                        <a:lnTo>
                          <a:pt x="5" y="38"/>
                        </a:lnTo>
                        <a:lnTo>
                          <a:pt x="11" y="25"/>
                        </a:lnTo>
                        <a:lnTo>
                          <a:pt x="16" y="14"/>
                        </a:lnTo>
                        <a:lnTo>
                          <a:pt x="22" y="8"/>
                        </a:lnTo>
                        <a:lnTo>
                          <a:pt x="33" y="0"/>
                        </a:lnTo>
                        <a:lnTo>
                          <a:pt x="38" y="0"/>
                        </a:lnTo>
                        <a:lnTo>
                          <a:pt x="49" y="0"/>
                        </a:lnTo>
                        <a:lnTo>
                          <a:pt x="60" y="5"/>
                        </a:lnTo>
                        <a:lnTo>
                          <a:pt x="66" y="12"/>
                        </a:lnTo>
                        <a:lnTo>
                          <a:pt x="71" y="20"/>
                        </a:lnTo>
                        <a:lnTo>
                          <a:pt x="77" y="31"/>
                        </a:lnTo>
                        <a:lnTo>
                          <a:pt x="77" y="48"/>
                        </a:lnTo>
                        <a:lnTo>
                          <a:pt x="71" y="48"/>
                        </a:lnTo>
                        <a:lnTo>
                          <a:pt x="66" y="25"/>
                        </a:lnTo>
                        <a:lnTo>
                          <a:pt x="60" y="19"/>
                        </a:lnTo>
                        <a:lnTo>
                          <a:pt x="55" y="14"/>
                        </a:lnTo>
                        <a:lnTo>
                          <a:pt x="49" y="14"/>
                        </a:lnTo>
                        <a:lnTo>
                          <a:pt x="44" y="20"/>
                        </a:lnTo>
                        <a:lnTo>
                          <a:pt x="38" y="29"/>
                        </a:lnTo>
                        <a:lnTo>
                          <a:pt x="38" y="38"/>
                        </a:lnTo>
                        <a:lnTo>
                          <a:pt x="38" y="50"/>
                        </a:lnTo>
                        <a:lnTo>
                          <a:pt x="44" y="83"/>
                        </a:lnTo>
                        <a:lnTo>
                          <a:pt x="60" y="114"/>
                        </a:lnTo>
                        <a:lnTo>
                          <a:pt x="66" y="129"/>
                        </a:lnTo>
                        <a:lnTo>
                          <a:pt x="71" y="148"/>
                        </a:lnTo>
                        <a:lnTo>
                          <a:pt x="77" y="171"/>
                        </a:lnTo>
                        <a:lnTo>
                          <a:pt x="77" y="196"/>
                        </a:lnTo>
                        <a:lnTo>
                          <a:pt x="77" y="220"/>
                        </a:lnTo>
                        <a:lnTo>
                          <a:pt x="77" y="240"/>
                        </a:lnTo>
                        <a:lnTo>
                          <a:pt x="71" y="258"/>
                        </a:lnTo>
                        <a:lnTo>
                          <a:pt x="66" y="273"/>
                        </a:lnTo>
                        <a:lnTo>
                          <a:pt x="60" y="284"/>
                        </a:lnTo>
                        <a:lnTo>
                          <a:pt x="55" y="294"/>
                        </a:lnTo>
                        <a:lnTo>
                          <a:pt x="49" y="298"/>
                        </a:lnTo>
                        <a:lnTo>
                          <a:pt x="38" y="300"/>
                        </a:lnTo>
                        <a:lnTo>
                          <a:pt x="27" y="298"/>
                        </a:lnTo>
                        <a:lnTo>
                          <a:pt x="16" y="294"/>
                        </a:lnTo>
                        <a:lnTo>
                          <a:pt x="11" y="287"/>
                        </a:lnTo>
                        <a:lnTo>
                          <a:pt x="11" y="279"/>
                        </a:lnTo>
                        <a:lnTo>
                          <a:pt x="5" y="265"/>
                        </a:lnTo>
                        <a:lnTo>
                          <a:pt x="0" y="248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2" name="Freeform 138"/>
                  <xdr:cNvSpPr>
                    <a:spLocks/>
                  </xdr:cNvSpPr>
                </xdr:nvSpPr>
                <xdr:spPr bwMode="auto">
                  <a:xfrm>
                    <a:off x="491" y="33"/>
                    <a:ext cx="14" cy="48"/>
                  </a:xfrm>
                  <a:custGeom>
                    <a:avLst/>
                    <a:gdLst/>
                    <a:ahLst/>
                    <a:cxnLst>
                      <a:cxn ang="0">
                        <a:pos x="109" y="114"/>
                      </a:cxn>
                      <a:cxn ang="0">
                        <a:pos x="109" y="81"/>
                      </a:cxn>
                      <a:cxn ang="0">
                        <a:pos x="104" y="56"/>
                      </a:cxn>
                      <a:cxn ang="0">
                        <a:pos x="98" y="34"/>
                      </a:cxn>
                      <a:cxn ang="0">
                        <a:pos x="87" y="17"/>
                      </a:cxn>
                      <a:cxn ang="0">
                        <a:pos x="76" y="8"/>
                      </a:cxn>
                      <a:cxn ang="0">
                        <a:pos x="65" y="4"/>
                      </a:cxn>
                      <a:cxn ang="0">
                        <a:pos x="54" y="0"/>
                      </a:cxn>
                      <a:cxn ang="0">
                        <a:pos x="0" y="0"/>
                      </a:cxn>
                      <a:cxn ang="0">
                        <a:pos x="0" y="391"/>
                      </a:cxn>
                      <a:cxn ang="0">
                        <a:pos x="54" y="391"/>
                      </a:cxn>
                      <a:cxn ang="0">
                        <a:pos x="54" y="294"/>
                      </a:cxn>
                      <a:cxn ang="0">
                        <a:pos x="59" y="318"/>
                      </a:cxn>
                      <a:cxn ang="0">
                        <a:pos x="65" y="336"/>
                      </a:cxn>
                      <a:cxn ang="0">
                        <a:pos x="76" y="354"/>
                      </a:cxn>
                      <a:cxn ang="0">
                        <a:pos x="82" y="367"/>
                      </a:cxn>
                      <a:cxn ang="0">
                        <a:pos x="87" y="377"/>
                      </a:cxn>
                      <a:cxn ang="0">
                        <a:pos x="98" y="387"/>
                      </a:cxn>
                      <a:cxn ang="0">
                        <a:pos x="104" y="391"/>
                      </a:cxn>
                      <a:cxn ang="0">
                        <a:pos x="109" y="391"/>
                      </a:cxn>
                      <a:cxn ang="0">
                        <a:pos x="109" y="375"/>
                      </a:cxn>
                      <a:cxn ang="0">
                        <a:pos x="104" y="375"/>
                      </a:cxn>
                      <a:cxn ang="0">
                        <a:pos x="98" y="370"/>
                      </a:cxn>
                      <a:cxn ang="0">
                        <a:pos x="87" y="361"/>
                      </a:cxn>
                      <a:cxn ang="0">
                        <a:pos x="82" y="352"/>
                      </a:cxn>
                      <a:cxn ang="0">
                        <a:pos x="76" y="337"/>
                      </a:cxn>
                      <a:cxn ang="0">
                        <a:pos x="70" y="325"/>
                      </a:cxn>
                      <a:cxn ang="0">
                        <a:pos x="65" y="306"/>
                      </a:cxn>
                      <a:cxn ang="0">
                        <a:pos x="59" y="285"/>
                      </a:cxn>
                      <a:cxn ang="0">
                        <a:pos x="70" y="290"/>
                      </a:cxn>
                      <a:cxn ang="0">
                        <a:pos x="82" y="287"/>
                      </a:cxn>
                      <a:cxn ang="0">
                        <a:pos x="87" y="277"/>
                      </a:cxn>
                      <a:cxn ang="0">
                        <a:pos x="98" y="261"/>
                      </a:cxn>
                      <a:cxn ang="0">
                        <a:pos x="104" y="240"/>
                      </a:cxn>
                      <a:cxn ang="0">
                        <a:pos x="109" y="216"/>
                      </a:cxn>
                      <a:cxn ang="0">
                        <a:pos x="109" y="185"/>
                      </a:cxn>
                      <a:cxn ang="0">
                        <a:pos x="109" y="152"/>
                      </a:cxn>
                      <a:cxn ang="0">
                        <a:pos x="109" y="114"/>
                      </a:cxn>
                      <a:cxn ang="0">
                        <a:pos x="104" y="183"/>
                      </a:cxn>
                      <a:cxn ang="0">
                        <a:pos x="104" y="212"/>
                      </a:cxn>
                      <a:cxn ang="0">
                        <a:pos x="98" y="233"/>
                      </a:cxn>
                      <a:cxn ang="0">
                        <a:pos x="93" y="252"/>
                      </a:cxn>
                      <a:cxn ang="0">
                        <a:pos x="87" y="266"/>
                      </a:cxn>
                      <a:cxn ang="0">
                        <a:pos x="76" y="273"/>
                      </a:cxn>
                      <a:cxn ang="0">
                        <a:pos x="65" y="275"/>
                      </a:cxn>
                      <a:cxn ang="0">
                        <a:pos x="54" y="269"/>
                      </a:cxn>
                      <a:cxn ang="0">
                        <a:pos x="54" y="15"/>
                      </a:cxn>
                      <a:cxn ang="0">
                        <a:pos x="65" y="15"/>
                      </a:cxn>
                      <a:cxn ang="0">
                        <a:pos x="76" y="20"/>
                      </a:cxn>
                      <a:cxn ang="0">
                        <a:pos x="87" y="29"/>
                      </a:cxn>
                      <a:cxn ang="0">
                        <a:pos x="93" y="44"/>
                      </a:cxn>
                      <a:cxn ang="0">
                        <a:pos x="98" y="60"/>
                      </a:cxn>
                      <a:cxn ang="0">
                        <a:pos x="104" y="86"/>
                      </a:cxn>
                      <a:cxn ang="0">
                        <a:pos x="104" y="117"/>
                      </a:cxn>
                      <a:cxn ang="0">
                        <a:pos x="109" y="152"/>
                      </a:cxn>
                      <a:cxn ang="0">
                        <a:pos x="104" y="183"/>
                      </a:cxn>
                      <a:cxn ang="0">
                        <a:pos x="109" y="114"/>
                      </a:cxn>
                    </a:cxnLst>
                    <a:rect l="0" t="0" r="r" b="b"/>
                    <a:pathLst>
                      <a:path w="109" h="391">
                        <a:moveTo>
                          <a:pt x="109" y="114"/>
                        </a:moveTo>
                        <a:lnTo>
                          <a:pt x="109" y="81"/>
                        </a:lnTo>
                        <a:lnTo>
                          <a:pt x="104" y="56"/>
                        </a:lnTo>
                        <a:lnTo>
                          <a:pt x="98" y="34"/>
                        </a:lnTo>
                        <a:lnTo>
                          <a:pt x="87" y="17"/>
                        </a:lnTo>
                        <a:lnTo>
                          <a:pt x="76" y="8"/>
                        </a:lnTo>
                        <a:lnTo>
                          <a:pt x="65" y="4"/>
                        </a:lnTo>
                        <a:lnTo>
                          <a:pt x="54" y="0"/>
                        </a:lnTo>
                        <a:lnTo>
                          <a:pt x="0" y="0"/>
                        </a:lnTo>
                        <a:lnTo>
                          <a:pt x="0" y="391"/>
                        </a:lnTo>
                        <a:lnTo>
                          <a:pt x="54" y="391"/>
                        </a:lnTo>
                        <a:lnTo>
                          <a:pt x="54" y="294"/>
                        </a:lnTo>
                        <a:lnTo>
                          <a:pt x="59" y="318"/>
                        </a:lnTo>
                        <a:lnTo>
                          <a:pt x="65" y="336"/>
                        </a:lnTo>
                        <a:lnTo>
                          <a:pt x="76" y="354"/>
                        </a:lnTo>
                        <a:lnTo>
                          <a:pt x="82" y="367"/>
                        </a:lnTo>
                        <a:lnTo>
                          <a:pt x="87" y="377"/>
                        </a:lnTo>
                        <a:lnTo>
                          <a:pt x="98" y="387"/>
                        </a:lnTo>
                        <a:lnTo>
                          <a:pt x="104" y="391"/>
                        </a:lnTo>
                        <a:lnTo>
                          <a:pt x="109" y="391"/>
                        </a:lnTo>
                        <a:lnTo>
                          <a:pt x="109" y="375"/>
                        </a:lnTo>
                        <a:lnTo>
                          <a:pt x="104" y="375"/>
                        </a:lnTo>
                        <a:lnTo>
                          <a:pt x="98" y="370"/>
                        </a:lnTo>
                        <a:lnTo>
                          <a:pt x="87" y="361"/>
                        </a:lnTo>
                        <a:lnTo>
                          <a:pt x="82" y="352"/>
                        </a:lnTo>
                        <a:lnTo>
                          <a:pt x="76" y="337"/>
                        </a:lnTo>
                        <a:lnTo>
                          <a:pt x="70" y="325"/>
                        </a:lnTo>
                        <a:lnTo>
                          <a:pt x="65" y="306"/>
                        </a:lnTo>
                        <a:lnTo>
                          <a:pt x="59" y="285"/>
                        </a:lnTo>
                        <a:lnTo>
                          <a:pt x="70" y="290"/>
                        </a:lnTo>
                        <a:lnTo>
                          <a:pt x="82" y="287"/>
                        </a:lnTo>
                        <a:lnTo>
                          <a:pt x="87" y="277"/>
                        </a:lnTo>
                        <a:lnTo>
                          <a:pt x="98" y="261"/>
                        </a:lnTo>
                        <a:lnTo>
                          <a:pt x="104" y="240"/>
                        </a:lnTo>
                        <a:lnTo>
                          <a:pt x="109" y="216"/>
                        </a:lnTo>
                        <a:lnTo>
                          <a:pt x="109" y="185"/>
                        </a:lnTo>
                        <a:lnTo>
                          <a:pt x="109" y="152"/>
                        </a:lnTo>
                        <a:lnTo>
                          <a:pt x="109" y="114"/>
                        </a:lnTo>
                        <a:lnTo>
                          <a:pt x="104" y="183"/>
                        </a:lnTo>
                        <a:lnTo>
                          <a:pt x="104" y="212"/>
                        </a:lnTo>
                        <a:lnTo>
                          <a:pt x="98" y="233"/>
                        </a:lnTo>
                        <a:lnTo>
                          <a:pt x="93" y="252"/>
                        </a:lnTo>
                        <a:lnTo>
                          <a:pt x="87" y="266"/>
                        </a:lnTo>
                        <a:lnTo>
                          <a:pt x="76" y="273"/>
                        </a:lnTo>
                        <a:lnTo>
                          <a:pt x="65" y="275"/>
                        </a:lnTo>
                        <a:lnTo>
                          <a:pt x="54" y="269"/>
                        </a:lnTo>
                        <a:lnTo>
                          <a:pt x="54" y="15"/>
                        </a:lnTo>
                        <a:lnTo>
                          <a:pt x="65" y="15"/>
                        </a:lnTo>
                        <a:lnTo>
                          <a:pt x="76" y="20"/>
                        </a:lnTo>
                        <a:lnTo>
                          <a:pt x="87" y="29"/>
                        </a:lnTo>
                        <a:lnTo>
                          <a:pt x="93" y="44"/>
                        </a:lnTo>
                        <a:lnTo>
                          <a:pt x="98" y="60"/>
                        </a:lnTo>
                        <a:lnTo>
                          <a:pt x="104" y="86"/>
                        </a:lnTo>
                        <a:lnTo>
                          <a:pt x="104" y="117"/>
                        </a:lnTo>
                        <a:lnTo>
                          <a:pt x="109" y="152"/>
                        </a:lnTo>
                        <a:lnTo>
                          <a:pt x="104" y="183"/>
                        </a:lnTo>
                        <a:lnTo>
                          <a:pt x="109" y="114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3" name="Freeform 139"/>
                  <xdr:cNvSpPr>
                    <a:spLocks/>
                  </xdr:cNvSpPr>
                </xdr:nvSpPr>
                <xdr:spPr bwMode="auto">
                  <a:xfrm>
                    <a:off x="506" y="45"/>
                    <a:ext cx="12" cy="38"/>
                  </a:xfrm>
                  <a:custGeom>
                    <a:avLst/>
                    <a:gdLst/>
                    <a:ahLst/>
                    <a:cxnLst>
                      <a:cxn ang="0">
                        <a:pos x="94" y="123"/>
                      </a:cxn>
                      <a:cxn ang="0">
                        <a:pos x="88" y="92"/>
                      </a:cxn>
                      <a:cxn ang="0">
                        <a:pos x="88" y="64"/>
                      </a:cxn>
                      <a:cxn ang="0">
                        <a:pos x="83" y="40"/>
                      </a:cxn>
                      <a:cxn ang="0">
                        <a:pos x="77" y="21"/>
                      </a:cxn>
                      <a:cxn ang="0">
                        <a:pos x="66" y="12"/>
                      </a:cxn>
                      <a:cxn ang="0">
                        <a:pos x="55" y="2"/>
                      </a:cxn>
                      <a:cxn ang="0">
                        <a:pos x="50" y="0"/>
                      </a:cxn>
                      <a:cxn ang="0">
                        <a:pos x="39" y="2"/>
                      </a:cxn>
                      <a:cxn ang="0">
                        <a:pos x="28" y="10"/>
                      </a:cxn>
                      <a:cxn ang="0">
                        <a:pos x="22" y="21"/>
                      </a:cxn>
                      <a:cxn ang="0">
                        <a:pos x="11" y="40"/>
                      </a:cxn>
                      <a:cxn ang="0">
                        <a:pos x="6" y="62"/>
                      </a:cxn>
                      <a:cxn ang="0">
                        <a:pos x="6" y="88"/>
                      </a:cxn>
                      <a:cxn ang="0">
                        <a:pos x="0" y="116"/>
                      </a:cxn>
                      <a:cxn ang="0">
                        <a:pos x="0" y="148"/>
                      </a:cxn>
                      <a:cxn ang="0">
                        <a:pos x="0" y="181"/>
                      </a:cxn>
                      <a:cxn ang="0">
                        <a:pos x="6" y="208"/>
                      </a:cxn>
                      <a:cxn ang="0">
                        <a:pos x="6" y="235"/>
                      </a:cxn>
                      <a:cxn ang="0">
                        <a:pos x="11" y="256"/>
                      </a:cxn>
                      <a:cxn ang="0">
                        <a:pos x="22" y="275"/>
                      </a:cxn>
                      <a:cxn ang="0">
                        <a:pos x="28" y="289"/>
                      </a:cxn>
                      <a:cxn ang="0">
                        <a:pos x="39" y="296"/>
                      </a:cxn>
                      <a:cxn ang="0">
                        <a:pos x="50" y="300"/>
                      </a:cxn>
                      <a:cxn ang="0">
                        <a:pos x="55" y="298"/>
                      </a:cxn>
                      <a:cxn ang="0">
                        <a:pos x="66" y="291"/>
                      </a:cxn>
                      <a:cxn ang="0">
                        <a:pos x="77" y="270"/>
                      </a:cxn>
                      <a:cxn ang="0">
                        <a:pos x="88" y="246"/>
                      </a:cxn>
                      <a:cxn ang="0">
                        <a:pos x="88" y="227"/>
                      </a:cxn>
                      <a:cxn ang="0">
                        <a:pos x="83" y="220"/>
                      </a:cxn>
                      <a:cxn ang="0">
                        <a:pos x="83" y="236"/>
                      </a:cxn>
                      <a:cxn ang="0">
                        <a:pos x="77" y="256"/>
                      </a:cxn>
                      <a:cxn ang="0">
                        <a:pos x="61" y="275"/>
                      </a:cxn>
                      <a:cxn ang="0">
                        <a:pos x="55" y="282"/>
                      </a:cxn>
                      <a:cxn ang="0">
                        <a:pos x="44" y="284"/>
                      </a:cxn>
                      <a:cxn ang="0">
                        <a:pos x="44" y="154"/>
                      </a:cxn>
                      <a:cxn ang="0">
                        <a:pos x="94" y="154"/>
                      </a:cxn>
                      <a:cxn ang="0">
                        <a:pos x="94" y="123"/>
                      </a:cxn>
                      <a:cxn ang="0">
                        <a:pos x="55" y="19"/>
                      </a:cxn>
                      <a:cxn ang="0">
                        <a:pos x="66" y="25"/>
                      </a:cxn>
                      <a:cxn ang="0">
                        <a:pos x="72" y="33"/>
                      </a:cxn>
                      <a:cxn ang="0">
                        <a:pos x="77" y="50"/>
                      </a:cxn>
                      <a:cxn ang="0">
                        <a:pos x="83" y="69"/>
                      </a:cxn>
                      <a:cxn ang="0">
                        <a:pos x="83" y="90"/>
                      </a:cxn>
                      <a:cxn ang="0">
                        <a:pos x="88" y="114"/>
                      </a:cxn>
                      <a:cxn ang="0">
                        <a:pos x="88" y="140"/>
                      </a:cxn>
                      <a:cxn ang="0">
                        <a:pos x="44" y="140"/>
                      </a:cxn>
                      <a:cxn ang="0">
                        <a:pos x="44" y="17"/>
                      </a:cxn>
                      <a:cxn ang="0">
                        <a:pos x="55" y="19"/>
                      </a:cxn>
                      <a:cxn ang="0">
                        <a:pos x="94" y="123"/>
                      </a:cxn>
                    </a:cxnLst>
                    <a:rect l="0" t="0" r="r" b="b"/>
                    <a:pathLst>
                      <a:path w="94" h="300">
                        <a:moveTo>
                          <a:pt x="94" y="123"/>
                        </a:moveTo>
                        <a:lnTo>
                          <a:pt x="88" y="92"/>
                        </a:lnTo>
                        <a:lnTo>
                          <a:pt x="88" y="64"/>
                        </a:lnTo>
                        <a:lnTo>
                          <a:pt x="83" y="40"/>
                        </a:lnTo>
                        <a:lnTo>
                          <a:pt x="77" y="21"/>
                        </a:lnTo>
                        <a:lnTo>
                          <a:pt x="66" y="12"/>
                        </a:lnTo>
                        <a:lnTo>
                          <a:pt x="55" y="2"/>
                        </a:lnTo>
                        <a:lnTo>
                          <a:pt x="50" y="0"/>
                        </a:lnTo>
                        <a:lnTo>
                          <a:pt x="39" y="2"/>
                        </a:lnTo>
                        <a:lnTo>
                          <a:pt x="28" y="10"/>
                        </a:lnTo>
                        <a:lnTo>
                          <a:pt x="22" y="21"/>
                        </a:lnTo>
                        <a:lnTo>
                          <a:pt x="11" y="40"/>
                        </a:lnTo>
                        <a:lnTo>
                          <a:pt x="6" y="62"/>
                        </a:lnTo>
                        <a:lnTo>
                          <a:pt x="6" y="88"/>
                        </a:lnTo>
                        <a:lnTo>
                          <a:pt x="0" y="116"/>
                        </a:lnTo>
                        <a:lnTo>
                          <a:pt x="0" y="148"/>
                        </a:lnTo>
                        <a:lnTo>
                          <a:pt x="0" y="181"/>
                        </a:lnTo>
                        <a:lnTo>
                          <a:pt x="6" y="208"/>
                        </a:lnTo>
                        <a:lnTo>
                          <a:pt x="6" y="235"/>
                        </a:lnTo>
                        <a:lnTo>
                          <a:pt x="11" y="256"/>
                        </a:lnTo>
                        <a:lnTo>
                          <a:pt x="22" y="275"/>
                        </a:lnTo>
                        <a:lnTo>
                          <a:pt x="28" y="289"/>
                        </a:lnTo>
                        <a:lnTo>
                          <a:pt x="39" y="296"/>
                        </a:lnTo>
                        <a:lnTo>
                          <a:pt x="50" y="300"/>
                        </a:lnTo>
                        <a:lnTo>
                          <a:pt x="55" y="298"/>
                        </a:lnTo>
                        <a:lnTo>
                          <a:pt x="66" y="291"/>
                        </a:lnTo>
                        <a:lnTo>
                          <a:pt x="77" y="270"/>
                        </a:lnTo>
                        <a:lnTo>
                          <a:pt x="88" y="246"/>
                        </a:lnTo>
                        <a:lnTo>
                          <a:pt x="88" y="227"/>
                        </a:lnTo>
                        <a:lnTo>
                          <a:pt x="83" y="220"/>
                        </a:lnTo>
                        <a:lnTo>
                          <a:pt x="83" y="236"/>
                        </a:lnTo>
                        <a:lnTo>
                          <a:pt x="77" y="256"/>
                        </a:lnTo>
                        <a:lnTo>
                          <a:pt x="61" y="275"/>
                        </a:lnTo>
                        <a:lnTo>
                          <a:pt x="55" y="282"/>
                        </a:lnTo>
                        <a:lnTo>
                          <a:pt x="44" y="284"/>
                        </a:lnTo>
                        <a:lnTo>
                          <a:pt x="44" y="154"/>
                        </a:lnTo>
                        <a:lnTo>
                          <a:pt x="94" y="154"/>
                        </a:lnTo>
                        <a:lnTo>
                          <a:pt x="94" y="123"/>
                        </a:lnTo>
                        <a:lnTo>
                          <a:pt x="55" y="19"/>
                        </a:lnTo>
                        <a:lnTo>
                          <a:pt x="66" y="25"/>
                        </a:lnTo>
                        <a:lnTo>
                          <a:pt x="72" y="33"/>
                        </a:lnTo>
                        <a:lnTo>
                          <a:pt x="77" y="50"/>
                        </a:lnTo>
                        <a:lnTo>
                          <a:pt x="83" y="69"/>
                        </a:lnTo>
                        <a:lnTo>
                          <a:pt x="83" y="90"/>
                        </a:lnTo>
                        <a:lnTo>
                          <a:pt x="88" y="114"/>
                        </a:lnTo>
                        <a:lnTo>
                          <a:pt x="88" y="140"/>
                        </a:lnTo>
                        <a:lnTo>
                          <a:pt x="44" y="140"/>
                        </a:lnTo>
                        <a:lnTo>
                          <a:pt x="44" y="17"/>
                        </a:lnTo>
                        <a:lnTo>
                          <a:pt x="55" y="19"/>
                        </a:lnTo>
                        <a:lnTo>
                          <a:pt x="94" y="12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4" name="Freeform 140"/>
                  <xdr:cNvSpPr>
                    <a:spLocks/>
                  </xdr:cNvSpPr>
                </xdr:nvSpPr>
                <xdr:spPr bwMode="auto">
                  <a:xfrm>
                    <a:off x="520" y="45"/>
                    <a:ext cx="13" cy="51"/>
                  </a:xfrm>
                  <a:custGeom>
                    <a:avLst/>
                    <a:gdLst/>
                    <a:ahLst/>
                    <a:cxnLst>
                      <a:cxn ang="0">
                        <a:pos x="0" y="407"/>
                      </a:cxn>
                      <a:cxn ang="0">
                        <a:pos x="38" y="407"/>
                      </a:cxn>
                      <a:cxn ang="0">
                        <a:pos x="38" y="275"/>
                      </a:cxn>
                      <a:cxn ang="0">
                        <a:pos x="43" y="287"/>
                      </a:cxn>
                      <a:cxn ang="0">
                        <a:pos x="49" y="294"/>
                      </a:cxn>
                      <a:cxn ang="0">
                        <a:pos x="54" y="298"/>
                      </a:cxn>
                      <a:cxn ang="0">
                        <a:pos x="60" y="298"/>
                      </a:cxn>
                      <a:cxn ang="0">
                        <a:pos x="71" y="296"/>
                      </a:cxn>
                      <a:cxn ang="0">
                        <a:pos x="77" y="289"/>
                      </a:cxn>
                      <a:cxn ang="0">
                        <a:pos x="88" y="275"/>
                      </a:cxn>
                      <a:cxn ang="0">
                        <a:pos x="93" y="256"/>
                      </a:cxn>
                      <a:cxn ang="0">
                        <a:pos x="99" y="236"/>
                      </a:cxn>
                      <a:cxn ang="0">
                        <a:pos x="99" y="211"/>
                      </a:cxn>
                      <a:cxn ang="0">
                        <a:pos x="104" y="181"/>
                      </a:cxn>
                      <a:cxn ang="0">
                        <a:pos x="104" y="150"/>
                      </a:cxn>
                      <a:cxn ang="0">
                        <a:pos x="104" y="119"/>
                      </a:cxn>
                      <a:cxn ang="0">
                        <a:pos x="99" y="90"/>
                      </a:cxn>
                      <a:cxn ang="0">
                        <a:pos x="99" y="64"/>
                      </a:cxn>
                      <a:cxn ang="0">
                        <a:pos x="93" y="40"/>
                      </a:cxn>
                      <a:cxn ang="0">
                        <a:pos x="88" y="25"/>
                      </a:cxn>
                      <a:cxn ang="0">
                        <a:pos x="77" y="12"/>
                      </a:cxn>
                      <a:cxn ang="0">
                        <a:pos x="71" y="2"/>
                      </a:cxn>
                      <a:cxn ang="0">
                        <a:pos x="60" y="0"/>
                      </a:cxn>
                      <a:cxn ang="0">
                        <a:pos x="54" y="2"/>
                      </a:cxn>
                      <a:cxn ang="0">
                        <a:pos x="49" y="8"/>
                      </a:cxn>
                      <a:cxn ang="0">
                        <a:pos x="43" y="14"/>
                      </a:cxn>
                      <a:cxn ang="0">
                        <a:pos x="38" y="21"/>
                      </a:cxn>
                      <a:cxn ang="0">
                        <a:pos x="38" y="10"/>
                      </a:cxn>
                      <a:cxn ang="0">
                        <a:pos x="0" y="10"/>
                      </a:cxn>
                      <a:cxn ang="0">
                        <a:pos x="0" y="407"/>
                      </a:cxn>
                      <a:cxn ang="0">
                        <a:pos x="43" y="29"/>
                      </a:cxn>
                      <a:cxn ang="0">
                        <a:pos x="49" y="20"/>
                      </a:cxn>
                      <a:cxn ang="0">
                        <a:pos x="54" y="19"/>
                      </a:cxn>
                      <a:cxn ang="0">
                        <a:pos x="60" y="17"/>
                      </a:cxn>
                      <a:cxn ang="0">
                        <a:pos x="60" y="282"/>
                      </a:cxn>
                      <a:cxn ang="0">
                        <a:pos x="54" y="282"/>
                      </a:cxn>
                      <a:cxn ang="0">
                        <a:pos x="49" y="277"/>
                      </a:cxn>
                      <a:cxn ang="0">
                        <a:pos x="43" y="270"/>
                      </a:cxn>
                      <a:cxn ang="0">
                        <a:pos x="38" y="258"/>
                      </a:cxn>
                      <a:cxn ang="0">
                        <a:pos x="38" y="40"/>
                      </a:cxn>
                      <a:cxn ang="0">
                        <a:pos x="43" y="29"/>
                      </a:cxn>
                      <a:cxn ang="0">
                        <a:pos x="0" y="407"/>
                      </a:cxn>
                    </a:cxnLst>
                    <a:rect l="0" t="0" r="r" b="b"/>
                    <a:pathLst>
                      <a:path w="104" h="407">
                        <a:moveTo>
                          <a:pt x="0" y="407"/>
                        </a:moveTo>
                        <a:lnTo>
                          <a:pt x="38" y="407"/>
                        </a:lnTo>
                        <a:lnTo>
                          <a:pt x="38" y="275"/>
                        </a:lnTo>
                        <a:lnTo>
                          <a:pt x="43" y="287"/>
                        </a:lnTo>
                        <a:lnTo>
                          <a:pt x="49" y="294"/>
                        </a:lnTo>
                        <a:lnTo>
                          <a:pt x="54" y="298"/>
                        </a:lnTo>
                        <a:lnTo>
                          <a:pt x="60" y="298"/>
                        </a:lnTo>
                        <a:lnTo>
                          <a:pt x="71" y="296"/>
                        </a:lnTo>
                        <a:lnTo>
                          <a:pt x="77" y="289"/>
                        </a:lnTo>
                        <a:lnTo>
                          <a:pt x="88" y="275"/>
                        </a:lnTo>
                        <a:lnTo>
                          <a:pt x="93" y="256"/>
                        </a:lnTo>
                        <a:lnTo>
                          <a:pt x="99" y="236"/>
                        </a:lnTo>
                        <a:lnTo>
                          <a:pt x="99" y="211"/>
                        </a:lnTo>
                        <a:lnTo>
                          <a:pt x="104" y="181"/>
                        </a:lnTo>
                        <a:lnTo>
                          <a:pt x="104" y="150"/>
                        </a:lnTo>
                        <a:lnTo>
                          <a:pt x="104" y="119"/>
                        </a:lnTo>
                        <a:lnTo>
                          <a:pt x="99" y="90"/>
                        </a:lnTo>
                        <a:lnTo>
                          <a:pt x="99" y="64"/>
                        </a:lnTo>
                        <a:lnTo>
                          <a:pt x="93" y="40"/>
                        </a:lnTo>
                        <a:lnTo>
                          <a:pt x="88" y="25"/>
                        </a:lnTo>
                        <a:lnTo>
                          <a:pt x="77" y="12"/>
                        </a:lnTo>
                        <a:lnTo>
                          <a:pt x="71" y="2"/>
                        </a:lnTo>
                        <a:lnTo>
                          <a:pt x="60" y="0"/>
                        </a:lnTo>
                        <a:lnTo>
                          <a:pt x="54" y="2"/>
                        </a:lnTo>
                        <a:lnTo>
                          <a:pt x="49" y="8"/>
                        </a:lnTo>
                        <a:lnTo>
                          <a:pt x="43" y="14"/>
                        </a:lnTo>
                        <a:lnTo>
                          <a:pt x="38" y="21"/>
                        </a:lnTo>
                        <a:lnTo>
                          <a:pt x="38" y="10"/>
                        </a:lnTo>
                        <a:lnTo>
                          <a:pt x="0" y="10"/>
                        </a:lnTo>
                        <a:lnTo>
                          <a:pt x="0" y="407"/>
                        </a:lnTo>
                        <a:lnTo>
                          <a:pt x="43" y="29"/>
                        </a:lnTo>
                        <a:lnTo>
                          <a:pt x="49" y="20"/>
                        </a:lnTo>
                        <a:lnTo>
                          <a:pt x="54" y="19"/>
                        </a:lnTo>
                        <a:lnTo>
                          <a:pt x="60" y="17"/>
                        </a:lnTo>
                        <a:lnTo>
                          <a:pt x="60" y="282"/>
                        </a:lnTo>
                        <a:lnTo>
                          <a:pt x="54" y="282"/>
                        </a:lnTo>
                        <a:lnTo>
                          <a:pt x="49" y="277"/>
                        </a:lnTo>
                        <a:lnTo>
                          <a:pt x="43" y="270"/>
                        </a:lnTo>
                        <a:lnTo>
                          <a:pt x="38" y="258"/>
                        </a:lnTo>
                        <a:lnTo>
                          <a:pt x="38" y="40"/>
                        </a:lnTo>
                        <a:lnTo>
                          <a:pt x="43" y="29"/>
                        </a:lnTo>
                        <a:lnTo>
                          <a:pt x="0" y="407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5" name="Freeform 141"/>
                  <xdr:cNvSpPr>
                    <a:spLocks/>
                  </xdr:cNvSpPr>
                </xdr:nvSpPr>
                <xdr:spPr bwMode="auto">
                  <a:xfrm>
                    <a:off x="534" y="45"/>
                    <a:ext cx="11" cy="38"/>
                  </a:xfrm>
                  <a:custGeom>
                    <a:avLst/>
                    <a:gdLst/>
                    <a:ahLst/>
                    <a:cxnLst>
                      <a:cxn ang="0">
                        <a:pos x="50" y="296"/>
                      </a:cxn>
                      <a:cxn ang="0">
                        <a:pos x="61" y="289"/>
                      </a:cxn>
                      <a:cxn ang="0">
                        <a:pos x="66" y="275"/>
                      </a:cxn>
                      <a:cxn ang="0">
                        <a:pos x="72" y="256"/>
                      </a:cxn>
                      <a:cxn ang="0">
                        <a:pos x="77" y="236"/>
                      </a:cxn>
                      <a:cxn ang="0">
                        <a:pos x="83" y="211"/>
                      </a:cxn>
                      <a:cxn ang="0">
                        <a:pos x="83" y="181"/>
                      </a:cxn>
                      <a:cxn ang="0">
                        <a:pos x="83" y="150"/>
                      </a:cxn>
                      <a:cxn ang="0">
                        <a:pos x="83" y="119"/>
                      </a:cxn>
                      <a:cxn ang="0">
                        <a:pos x="83" y="90"/>
                      </a:cxn>
                      <a:cxn ang="0">
                        <a:pos x="77" y="64"/>
                      </a:cxn>
                      <a:cxn ang="0">
                        <a:pos x="72" y="40"/>
                      </a:cxn>
                      <a:cxn ang="0">
                        <a:pos x="66" y="21"/>
                      </a:cxn>
                      <a:cxn ang="0">
                        <a:pos x="61" y="12"/>
                      </a:cxn>
                      <a:cxn ang="0">
                        <a:pos x="50" y="2"/>
                      </a:cxn>
                      <a:cxn ang="0">
                        <a:pos x="44" y="0"/>
                      </a:cxn>
                      <a:cxn ang="0">
                        <a:pos x="33" y="2"/>
                      </a:cxn>
                      <a:cxn ang="0">
                        <a:pos x="28" y="12"/>
                      </a:cxn>
                      <a:cxn ang="0">
                        <a:pos x="17" y="21"/>
                      </a:cxn>
                      <a:cxn ang="0">
                        <a:pos x="11" y="40"/>
                      </a:cxn>
                      <a:cxn ang="0">
                        <a:pos x="6" y="64"/>
                      </a:cxn>
                      <a:cxn ang="0">
                        <a:pos x="6" y="90"/>
                      </a:cxn>
                      <a:cxn ang="0">
                        <a:pos x="0" y="119"/>
                      </a:cxn>
                      <a:cxn ang="0">
                        <a:pos x="0" y="150"/>
                      </a:cxn>
                      <a:cxn ang="0">
                        <a:pos x="0" y="181"/>
                      </a:cxn>
                      <a:cxn ang="0">
                        <a:pos x="6" y="211"/>
                      </a:cxn>
                      <a:cxn ang="0">
                        <a:pos x="6" y="236"/>
                      </a:cxn>
                      <a:cxn ang="0">
                        <a:pos x="11" y="256"/>
                      </a:cxn>
                      <a:cxn ang="0">
                        <a:pos x="17" y="275"/>
                      </a:cxn>
                      <a:cxn ang="0">
                        <a:pos x="28" y="289"/>
                      </a:cxn>
                      <a:cxn ang="0">
                        <a:pos x="33" y="296"/>
                      </a:cxn>
                      <a:cxn ang="0">
                        <a:pos x="44" y="300"/>
                      </a:cxn>
                      <a:cxn ang="0">
                        <a:pos x="50" y="296"/>
                      </a:cxn>
                      <a:cxn ang="0">
                        <a:pos x="50" y="19"/>
                      </a:cxn>
                      <a:cxn ang="0">
                        <a:pos x="61" y="25"/>
                      </a:cxn>
                      <a:cxn ang="0">
                        <a:pos x="66" y="38"/>
                      </a:cxn>
                      <a:cxn ang="0">
                        <a:pos x="72" y="54"/>
                      </a:cxn>
                      <a:cxn ang="0">
                        <a:pos x="72" y="73"/>
                      </a:cxn>
                      <a:cxn ang="0">
                        <a:pos x="77" y="98"/>
                      </a:cxn>
                      <a:cxn ang="0">
                        <a:pos x="77" y="150"/>
                      </a:cxn>
                      <a:cxn ang="0">
                        <a:pos x="77" y="202"/>
                      </a:cxn>
                      <a:cxn ang="0">
                        <a:pos x="72" y="225"/>
                      </a:cxn>
                      <a:cxn ang="0">
                        <a:pos x="72" y="242"/>
                      </a:cxn>
                      <a:cxn ang="0">
                        <a:pos x="66" y="261"/>
                      </a:cxn>
                      <a:cxn ang="0">
                        <a:pos x="61" y="273"/>
                      </a:cxn>
                      <a:cxn ang="0">
                        <a:pos x="50" y="279"/>
                      </a:cxn>
                      <a:cxn ang="0">
                        <a:pos x="44" y="284"/>
                      </a:cxn>
                      <a:cxn ang="0">
                        <a:pos x="44" y="17"/>
                      </a:cxn>
                      <a:cxn ang="0">
                        <a:pos x="50" y="19"/>
                      </a:cxn>
                      <a:cxn ang="0">
                        <a:pos x="50" y="296"/>
                      </a:cxn>
                    </a:cxnLst>
                    <a:rect l="0" t="0" r="r" b="b"/>
                    <a:pathLst>
                      <a:path w="83" h="300">
                        <a:moveTo>
                          <a:pt x="50" y="296"/>
                        </a:moveTo>
                        <a:lnTo>
                          <a:pt x="61" y="289"/>
                        </a:lnTo>
                        <a:lnTo>
                          <a:pt x="66" y="275"/>
                        </a:lnTo>
                        <a:lnTo>
                          <a:pt x="72" y="256"/>
                        </a:lnTo>
                        <a:lnTo>
                          <a:pt x="77" y="236"/>
                        </a:lnTo>
                        <a:lnTo>
                          <a:pt x="83" y="211"/>
                        </a:lnTo>
                        <a:lnTo>
                          <a:pt x="83" y="181"/>
                        </a:lnTo>
                        <a:lnTo>
                          <a:pt x="83" y="150"/>
                        </a:lnTo>
                        <a:lnTo>
                          <a:pt x="83" y="119"/>
                        </a:lnTo>
                        <a:lnTo>
                          <a:pt x="83" y="90"/>
                        </a:lnTo>
                        <a:lnTo>
                          <a:pt x="77" y="64"/>
                        </a:lnTo>
                        <a:lnTo>
                          <a:pt x="72" y="40"/>
                        </a:lnTo>
                        <a:lnTo>
                          <a:pt x="66" y="21"/>
                        </a:lnTo>
                        <a:lnTo>
                          <a:pt x="61" y="12"/>
                        </a:lnTo>
                        <a:lnTo>
                          <a:pt x="50" y="2"/>
                        </a:lnTo>
                        <a:lnTo>
                          <a:pt x="44" y="0"/>
                        </a:lnTo>
                        <a:lnTo>
                          <a:pt x="33" y="2"/>
                        </a:lnTo>
                        <a:lnTo>
                          <a:pt x="28" y="12"/>
                        </a:lnTo>
                        <a:lnTo>
                          <a:pt x="17" y="21"/>
                        </a:lnTo>
                        <a:lnTo>
                          <a:pt x="11" y="40"/>
                        </a:lnTo>
                        <a:lnTo>
                          <a:pt x="6" y="64"/>
                        </a:lnTo>
                        <a:lnTo>
                          <a:pt x="6" y="90"/>
                        </a:lnTo>
                        <a:lnTo>
                          <a:pt x="0" y="119"/>
                        </a:lnTo>
                        <a:lnTo>
                          <a:pt x="0" y="150"/>
                        </a:lnTo>
                        <a:lnTo>
                          <a:pt x="0" y="181"/>
                        </a:lnTo>
                        <a:lnTo>
                          <a:pt x="6" y="211"/>
                        </a:lnTo>
                        <a:lnTo>
                          <a:pt x="6" y="236"/>
                        </a:lnTo>
                        <a:lnTo>
                          <a:pt x="11" y="256"/>
                        </a:lnTo>
                        <a:lnTo>
                          <a:pt x="17" y="275"/>
                        </a:lnTo>
                        <a:lnTo>
                          <a:pt x="28" y="289"/>
                        </a:lnTo>
                        <a:lnTo>
                          <a:pt x="33" y="296"/>
                        </a:lnTo>
                        <a:lnTo>
                          <a:pt x="44" y="300"/>
                        </a:lnTo>
                        <a:lnTo>
                          <a:pt x="50" y="296"/>
                        </a:lnTo>
                        <a:lnTo>
                          <a:pt x="50" y="19"/>
                        </a:lnTo>
                        <a:lnTo>
                          <a:pt x="61" y="25"/>
                        </a:lnTo>
                        <a:lnTo>
                          <a:pt x="66" y="38"/>
                        </a:lnTo>
                        <a:lnTo>
                          <a:pt x="72" y="54"/>
                        </a:lnTo>
                        <a:lnTo>
                          <a:pt x="72" y="73"/>
                        </a:lnTo>
                        <a:lnTo>
                          <a:pt x="77" y="98"/>
                        </a:lnTo>
                        <a:lnTo>
                          <a:pt x="77" y="150"/>
                        </a:lnTo>
                        <a:lnTo>
                          <a:pt x="77" y="202"/>
                        </a:lnTo>
                        <a:lnTo>
                          <a:pt x="72" y="225"/>
                        </a:lnTo>
                        <a:lnTo>
                          <a:pt x="72" y="242"/>
                        </a:lnTo>
                        <a:lnTo>
                          <a:pt x="66" y="261"/>
                        </a:lnTo>
                        <a:lnTo>
                          <a:pt x="61" y="273"/>
                        </a:lnTo>
                        <a:lnTo>
                          <a:pt x="50" y="279"/>
                        </a:lnTo>
                        <a:lnTo>
                          <a:pt x="44" y="284"/>
                        </a:lnTo>
                        <a:lnTo>
                          <a:pt x="44" y="17"/>
                        </a:lnTo>
                        <a:lnTo>
                          <a:pt x="50" y="19"/>
                        </a:lnTo>
                        <a:lnTo>
                          <a:pt x="50" y="296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6" name="Freeform 142"/>
                  <xdr:cNvSpPr>
                    <a:spLocks/>
                  </xdr:cNvSpPr>
                </xdr:nvSpPr>
                <xdr:spPr bwMode="auto">
                  <a:xfrm>
                    <a:off x="546" y="45"/>
                    <a:ext cx="10" cy="36"/>
                  </a:xfrm>
                  <a:custGeom>
                    <a:avLst/>
                    <a:gdLst/>
                    <a:ahLst/>
                    <a:cxnLst>
                      <a:cxn ang="0">
                        <a:pos x="81" y="17"/>
                      </a:cxn>
                      <a:cxn ang="0">
                        <a:pos x="81" y="27"/>
                      </a:cxn>
                      <a:cxn ang="0">
                        <a:pos x="76" y="33"/>
                      </a:cxn>
                      <a:cxn ang="0">
                        <a:pos x="76" y="38"/>
                      </a:cxn>
                      <a:cxn ang="0">
                        <a:pos x="70" y="38"/>
                      </a:cxn>
                      <a:cxn ang="0">
                        <a:pos x="65" y="36"/>
                      </a:cxn>
                      <a:cxn ang="0">
                        <a:pos x="59" y="31"/>
                      </a:cxn>
                      <a:cxn ang="0">
                        <a:pos x="59" y="27"/>
                      </a:cxn>
                      <a:cxn ang="0">
                        <a:pos x="55" y="25"/>
                      </a:cxn>
                      <a:cxn ang="0">
                        <a:pos x="49" y="25"/>
                      </a:cxn>
                      <a:cxn ang="0">
                        <a:pos x="44" y="29"/>
                      </a:cxn>
                      <a:cxn ang="0">
                        <a:pos x="44" y="36"/>
                      </a:cxn>
                      <a:cxn ang="0">
                        <a:pos x="38" y="46"/>
                      </a:cxn>
                      <a:cxn ang="0">
                        <a:pos x="38" y="291"/>
                      </a:cxn>
                      <a:cxn ang="0">
                        <a:pos x="0" y="291"/>
                      </a:cxn>
                      <a:cxn ang="0">
                        <a:pos x="0" y="10"/>
                      </a:cxn>
                      <a:cxn ang="0">
                        <a:pos x="38" y="10"/>
                      </a:cxn>
                      <a:cxn ang="0">
                        <a:pos x="38" y="31"/>
                      </a:cxn>
                      <a:cxn ang="0">
                        <a:pos x="44" y="20"/>
                      </a:cxn>
                      <a:cxn ang="0">
                        <a:pos x="49" y="14"/>
                      </a:cxn>
                      <a:cxn ang="0">
                        <a:pos x="55" y="5"/>
                      </a:cxn>
                      <a:cxn ang="0">
                        <a:pos x="59" y="0"/>
                      </a:cxn>
                      <a:cxn ang="0">
                        <a:pos x="65" y="0"/>
                      </a:cxn>
                      <a:cxn ang="0">
                        <a:pos x="76" y="5"/>
                      </a:cxn>
                      <a:cxn ang="0">
                        <a:pos x="76" y="10"/>
                      </a:cxn>
                      <a:cxn ang="0">
                        <a:pos x="81" y="17"/>
                      </a:cxn>
                    </a:cxnLst>
                    <a:rect l="0" t="0" r="r" b="b"/>
                    <a:pathLst>
                      <a:path w="81" h="291">
                        <a:moveTo>
                          <a:pt x="81" y="17"/>
                        </a:moveTo>
                        <a:lnTo>
                          <a:pt x="81" y="27"/>
                        </a:lnTo>
                        <a:lnTo>
                          <a:pt x="76" y="33"/>
                        </a:lnTo>
                        <a:lnTo>
                          <a:pt x="76" y="38"/>
                        </a:lnTo>
                        <a:lnTo>
                          <a:pt x="70" y="38"/>
                        </a:lnTo>
                        <a:lnTo>
                          <a:pt x="65" y="36"/>
                        </a:lnTo>
                        <a:lnTo>
                          <a:pt x="59" y="31"/>
                        </a:lnTo>
                        <a:lnTo>
                          <a:pt x="59" y="27"/>
                        </a:lnTo>
                        <a:lnTo>
                          <a:pt x="55" y="25"/>
                        </a:lnTo>
                        <a:lnTo>
                          <a:pt x="49" y="25"/>
                        </a:lnTo>
                        <a:lnTo>
                          <a:pt x="44" y="29"/>
                        </a:lnTo>
                        <a:lnTo>
                          <a:pt x="44" y="36"/>
                        </a:lnTo>
                        <a:lnTo>
                          <a:pt x="38" y="46"/>
                        </a:lnTo>
                        <a:lnTo>
                          <a:pt x="38" y="291"/>
                        </a:lnTo>
                        <a:lnTo>
                          <a:pt x="0" y="291"/>
                        </a:lnTo>
                        <a:lnTo>
                          <a:pt x="0" y="10"/>
                        </a:lnTo>
                        <a:lnTo>
                          <a:pt x="38" y="10"/>
                        </a:lnTo>
                        <a:lnTo>
                          <a:pt x="38" y="31"/>
                        </a:lnTo>
                        <a:lnTo>
                          <a:pt x="44" y="20"/>
                        </a:lnTo>
                        <a:lnTo>
                          <a:pt x="49" y="14"/>
                        </a:lnTo>
                        <a:lnTo>
                          <a:pt x="55" y="5"/>
                        </a:lnTo>
                        <a:lnTo>
                          <a:pt x="59" y="0"/>
                        </a:lnTo>
                        <a:lnTo>
                          <a:pt x="65" y="0"/>
                        </a:lnTo>
                        <a:lnTo>
                          <a:pt x="76" y="5"/>
                        </a:lnTo>
                        <a:lnTo>
                          <a:pt x="76" y="10"/>
                        </a:lnTo>
                        <a:lnTo>
                          <a:pt x="81" y="17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  <xdr:sp macro="" textlink="">
                <xdr:nvSpPr>
                  <xdr:cNvPr id="1167" name="Freeform 143"/>
                  <xdr:cNvSpPr>
                    <a:spLocks/>
                  </xdr:cNvSpPr>
                </xdr:nvSpPr>
                <xdr:spPr bwMode="auto">
                  <a:xfrm>
                    <a:off x="558" y="33"/>
                    <a:ext cx="10" cy="49"/>
                  </a:xfrm>
                  <a:custGeom>
                    <a:avLst/>
                    <a:gdLst/>
                    <a:ahLst/>
                    <a:cxnLst>
                      <a:cxn ang="0">
                        <a:pos x="16" y="63"/>
                      </a:cxn>
                      <a:cxn ang="0">
                        <a:pos x="55" y="0"/>
                      </a:cxn>
                      <a:cxn ang="0">
                        <a:pos x="55" y="96"/>
                      </a:cxn>
                      <a:cxn ang="0">
                        <a:pos x="77" y="96"/>
                      </a:cxn>
                      <a:cxn ang="0">
                        <a:pos x="77" y="113"/>
                      </a:cxn>
                      <a:cxn ang="0">
                        <a:pos x="55" y="113"/>
                      </a:cxn>
                      <a:cxn ang="0">
                        <a:pos x="55" y="352"/>
                      </a:cxn>
                      <a:cxn ang="0">
                        <a:pos x="55" y="366"/>
                      </a:cxn>
                      <a:cxn ang="0">
                        <a:pos x="60" y="373"/>
                      </a:cxn>
                      <a:cxn ang="0">
                        <a:pos x="60" y="375"/>
                      </a:cxn>
                      <a:cxn ang="0">
                        <a:pos x="66" y="373"/>
                      </a:cxn>
                      <a:cxn ang="0">
                        <a:pos x="66" y="369"/>
                      </a:cxn>
                      <a:cxn ang="0">
                        <a:pos x="71" y="359"/>
                      </a:cxn>
                      <a:cxn ang="0">
                        <a:pos x="77" y="340"/>
                      </a:cxn>
                      <a:cxn ang="0">
                        <a:pos x="82" y="350"/>
                      </a:cxn>
                      <a:cxn ang="0">
                        <a:pos x="71" y="380"/>
                      </a:cxn>
                      <a:cxn ang="0">
                        <a:pos x="66" y="390"/>
                      </a:cxn>
                      <a:cxn ang="0">
                        <a:pos x="49" y="394"/>
                      </a:cxn>
                      <a:cxn ang="0">
                        <a:pos x="38" y="392"/>
                      </a:cxn>
                      <a:cxn ang="0">
                        <a:pos x="27" y="383"/>
                      </a:cxn>
                      <a:cxn ang="0">
                        <a:pos x="22" y="366"/>
                      </a:cxn>
                      <a:cxn ang="0">
                        <a:pos x="16" y="342"/>
                      </a:cxn>
                      <a:cxn ang="0">
                        <a:pos x="16" y="113"/>
                      </a:cxn>
                      <a:cxn ang="0">
                        <a:pos x="0" y="113"/>
                      </a:cxn>
                      <a:cxn ang="0">
                        <a:pos x="0" y="96"/>
                      </a:cxn>
                      <a:cxn ang="0">
                        <a:pos x="16" y="96"/>
                      </a:cxn>
                      <a:cxn ang="0">
                        <a:pos x="16" y="63"/>
                      </a:cxn>
                    </a:cxnLst>
                    <a:rect l="0" t="0" r="r" b="b"/>
                    <a:pathLst>
                      <a:path w="82" h="394">
                        <a:moveTo>
                          <a:pt x="16" y="63"/>
                        </a:moveTo>
                        <a:lnTo>
                          <a:pt x="55" y="0"/>
                        </a:lnTo>
                        <a:lnTo>
                          <a:pt x="55" y="96"/>
                        </a:lnTo>
                        <a:lnTo>
                          <a:pt x="77" y="96"/>
                        </a:lnTo>
                        <a:lnTo>
                          <a:pt x="77" y="113"/>
                        </a:lnTo>
                        <a:lnTo>
                          <a:pt x="55" y="113"/>
                        </a:lnTo>
                        <a:lnTo>
                          <a:pt x="55" y="352"/>
                        </a:lnTo>
                        <a:lnTo>
                          <a:pt x="55" y="366"/>
                        </a:lnTo>
                        <a:lnTo>
                          <a:pt x="60" y="373"/>
                        </a:lnTo>
                        <a:lnTo>
                          <a:pt x="60" y="375"/>
                        </a:lnTo>
                        <a:lnTo>
                          <a:pt x="66" y="373"/>
                        </a:lnTo>
                        <a:lnTo>
                          <a:pt x="66" y="369"/>
                        </a:lnTo>
                        <a:lnTo>
                          <a:pt x="71" y="359"/>
                        </a:lnTo>
                        <a:lnTo>
                          <a:pt x="77" y="340"/>
                        </a:lnTo>
                        <a:lnTo>
                          <a:pt x="82" y="350"/>
                        </a:lnTo>
                        <a:lnTo>
                          <a:pt x="71" y="380"/>
                        </a:lnTo>
                        <a:lnTo>
                          <a:pt x="66" y="390"/>
                        </a:lnTo>
                        <a:lnTo>
                          <a:pt x="49" y="394"/>
                        </a:lnTo>
                        <a:lnTo>
                          <a:pt x="38" y="392"/>
                        </a:lnTo>
                        <a:lnTo>
                          <a:pt x="27" y="383"/>
                        </a:lnTo>
                        <a:lnTo>
                          <a:pt x="22" y="366"/>
                        </a:lnTo>
                        <a:lnTo>
                          <a:pt x="16" y="342"/>
                        </a:lnTo>
                        <a:lnTo>
                          <a:pt x="16" y="113"/>
                        </a:lnTo>
                        <a:lnTo>
                          <a:pt x="0" y="113"/>
                        </a:lnTo>
                        <a:lnTo>
                          <a:pt x="0" y="96"/>
                        </a:lnTo>
                        <a:lnTo>
                          <a:pt x="16" y="96"/>
                        </a:lnTo>
                        <a:lnTo>
                          <a:pt x="16" y="63"/>
                        </a:lnTo>
                        <a:close/>
                      </a:path>
                    </a:pathLst>
                  </a:custGeom>
                  <a:solidFill>
                    <a:srgbClr val="000000"/>
                  </a:solidFill>
                  <a:ln w="9525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:ln>
                </xdr:spPr>
              </xdr:sp>
            </xdr:grpSp>
            <xdr:grpSp>
              <xdr:nvGrpSpPr>
                <xdr:cNvPr id="1168" name="Group 144"/>
                <xdr:cNvGrpSpPr>
                  <a:grpSpLocks/>
                </xdr:cNvGrpSpPr>
              </xdr:nvGrpSpPr>
              <xdr:grpSpPr bwMode="auto">
                <a:xfrm>
                  <a:off x="32" y="15"/>
                  <a:ext cx="233" cy="88"/>
                  <a:chOff x="45" y="280"/>
                  <a:chExt cx="333" cy="144"/>
                </a:xfrm>
              </xdr:grpSpPr>
              <xdr:pic>
                <xdr:nvPicPr>
                  <xdr:cNvPr id="1169" name="Picture 145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11"/>
                  <a:srcRect/>
                  <a:stretch>
                    <a:fillRect/>
                  </a:stretch>
                </xdr:blipFill>
                <xdr:spPr bwMode="auto">
                  <a:xfrm>
                    <a:off x="156" y="280"/>
                    <a:ext cx="91" cy="93"/>
                  </a:xfrm>
                  <a:prstGeom prst="rect">
                    <a:avLst/>
                  </a:prstGeom>
                  <a:noFill/>
                </xdr:spPr>
              </xdr:pic>
              <xdr:pic>
                <xdr:nvPicPr>
                  <xdr:cNvPr id="1170" name="Picture 146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12"/>
                  <a:srcRect/>
                  <a:stretch>
                    <a:fillRect/>
                  </a:stretch>
                </xdr:blipFill>
                <xdr:spPr bwMode="auto">
                  <a:xfrm>
                    <a:off x="45" y="378"/>
                    <a:ext cx="333" cy="46"/>
                  </a:xfrm>
                  <a:prstGeom prst="rect">
                    <a:avLst/>
                  </a:prstGeom>
                  <a:noFill/>
                </xdr:spPr>
              </xdr:pic>
            </xdr:grpSp>
          </xdr:grpSp>
        </xdr:grpSp>
      </xdr:grpSp>
      <xdr:sp macro="" textlink="">
        <xdr:nvSpPr>
          <xdr:cNvPr id="1171" name="Line 147"/>
          <xdr:cNvSpPr>
            <a:spLocks noChangeShapeType="1"/>
          </xdr:cNvSpPr>
        </xdr:nvSpPr>
        <xdr:spPr bwMode="auto">
          <a:xfrm>
            <a:off x="294" y="83"/>
            <a:ext cx="0" cy="94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0</xdr:colOff>
      <xdr:row>1379</xdr:row>
      <xdr:rowOff>76200</xdr:rowOff>
    </xdr:from>
    <xdr:to>
      <xdr:col>9</xdr:col>
      <xdr:colOff>533400</xdr:colOff>
      <xdr:row>1392</xdr:row>
      <xdr:rowOff>142875</xdr:rowOff>
    </xdr:to>
    <xdr:graphicFrame macro="">
      <xdr:nvGraphicFramePr>
        <xdr:cNvPr id="1172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190500</xdr:colOff>
      <xdr:row>1409</xdr:row>
      <xdr:rowOff>47625</xdr:rowOff>
    </xdr:from>
    <xdr:to>
      <xdr:col>9</xdr:col>
      <xdr:colOff>552450</xdr:colOff>
      <xdr:row>1422</xdr:row>
      <xdr:rowOff>47625</xdr:rowOff>
    </xdr:to>
    <xdr:graphicFrame macro="">
      <xdr:nvGraphicFramePr>
        <xdr:cNvPr id="1173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180975</xdr:colOff>
      <xdr:row>1394</xdr:row>
      <xdr:rowOff>38100</xdr:rowOff>
    </xdr:from>
    <xdr:to>
      <xdr:col>9</xdr:col>
      <xdr:colOff>552450</xdr:colOff>
      <xdr:row>1407</xdr:row>
      <xdr:rowOff>95250</xdr:rowOff>
    </xdr:to>
    <xdr:graphicFrame macro="">
      <xdr:nvGraphicFramePr>
        <xdr:cNvPr id="1174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1425</xdr:row>
      <xdr:rowOff>0</xdr:rowOff>
    </xdr:from>
    <xdr:to>
      <xdr:col>9</xdr:col>
      <xdr:colOff>542925</xdr:colOff>
      <xdr:row>1438</xdr:row>
      <xdr:rowOff>142875</xdr:rowOff>
    </xdr:to>
    <xdr:graphicFrame macro="">
      <xdr:nvGraphicFramePr>
        <xdr:cNvPr id="1175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1441</xdr:row>
      <xdr:rowOff>0</xdr:rowOff>
    </xdr:from>
    <xdr:to>
      <xdr:col>9</xdr:col>
      <xdr:colOff>552450</xdr:colOff>
      <xdr:row>1454</xdr:row>
      <xdr:rowOff>123825</xdr:rowOff>
    </xdr:to>
    <xdr:graphicFrame macro="">
      <xdr:nvGraphicFramePr>
        <xdr:cNvPr id="1182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9525</xdr:colOff>
      <xdr:row>1254</xdr:row>
      <xdr:rowOff>104775</xdr:rowOff>
    </xdr:from>
    <xdr:to>
      <xdr:col>9</xdr:col>
      <xdr:colOff>485775</xdr:colOff>
      <xdr:row>1270</xdr:row>
      <xdr:rowOff>104775</xdr:rowOff>
    </xdr:to>
    <xdr:graphicFrame macro="">
      <xdr:nvGraphicFramePr>
        <xdr:cNvPr id="1186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9525</xdr:colOff>
      <xdr:row>1457</xdr:row>
      <xdr:rowOff>28575</xdr:rowOff>
    </xdr:from>
    <xdr:to>
      <xdr:col>9</xdr:col>
      <xdr:colOff>571500</xdr:colOff>
      <xdr:row>1471</xdr:row>
      <xdr:rowOff>0</xdr:rowOff>
    </xdr:to>
    <xdr:graphicFrame macro="">
      <xdr:nvGraphicFramePr>
        <xdr:cNvPr id="1194" name="Chart 1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1473</xdr:row>
      <xdr:rowOff>0</xdr:rowOff>
    </xdr:from>
    <xdr:to>
      <xdr:col>9</xdr:col>
      <xdr:colOff>571500</xdr:colOff>
      <xdr:row>1486</xdr:row>
      <xdr:rowOff>142875</xdr:rowOff>
    </xdr:to>
    <xdr:graphicFrame macro="">
      <xdr:nvGraphicFramePr>
        <xdr:cNvPr id="1201" name="Chart 1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1489</xdr:row>
      <xdr:rowOff>0</xdr:rowOff>
    </xdr:from>
    <xdr:to>
      <xdr:col>9</xdr:col>
      <xdr:colOff>581025</xdr:colOff>
      <xdr:row>1502</xdr:row>
      <xdr:rowOff>152400</xdr:rowOff>
    </xdr:to>
    <xdr:graphicFrame macro="">
      <xdr:nvGraphicFramePr>
        <xdr:cNvPr id="1202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0.50099</cdr:x>
      <cdr:y>0.52991</cdr:y>
    </cdr:from>
    <cdr:to>
      <cdr:x>0.51257</cdr:x>
      <cdr:y>0.61104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9181" y="1184275"/>
          <a:ext cx="76888" cy="1808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0.50271</cdr:x>
      <cdr:y>0.51793</cdr:y>
    </cdr:from>
    <cdr:to>
      <cdr:x>0.51429</cdr:x>
      <cdr:y>0.60089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40633" y="1132900"/>
          <a:ext cx="76888" cy="180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0.49556</cdr:x>
      <cdr:y>0.53556</cdr:y>
    </cdr:from>
    <cdr:to>
      <cdr:x>0.5069</cdr:x>
      <cdr:y>0.62149</cdr:y>
    </cdr:to>
    <cdr:sp macro="" textlink="">
      <cdr:nvSpPr>
        <cdr:cNvPr id="313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7350" y="1130552"/>
          <a:ext cx="75581" cy="180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0.49704</cdr:x>
      <cdr:y>0.51769</cdr:y>
    </cdr:from>
    <cdr:to>
      <cdr:x>0.50838</cdr:x>
      <cdr:y>0.60111</cdr:y>
    </cdr:to>
    <cdr:sp macro="" textlink="">
      <cdr:nvSpPr>
        <cdr:cNvPr id="7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1942" y="1127439"/>
          <a:ext cx="75691" cy="18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0.49778</cdr:x>
      <cdr:y>0.52102</cdr:y>
    </cdr:from>
    <cdr:to>
      <cdr:x>0.50936</cdr:x>
      <cdr:y>0.60535</cdr:y>
    </cdr:to>
    <cdr:sp macro="" textlink="">
      <cdr:nvSpPr>
        <cdr:cNvPr id="122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468" y="1119791"/>
          <a:ext cx="76216" cy="180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0.49778</cdr:x>
      <cdr:y>0.53034</cdr:y>
    </cdr:from>
    <cdr:to>
      <cdr:x>0.5138</cdr:x>
      <cdr:y>0.61467</cdr:y>
    </cdr:to>
    <cdr:sp macro="" textlink="">
      <cdr:nvSpPr>
        <cdr:cNvPr id="122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468" y="1139758"/>
          <a:ext cx="105406" cy="180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ko-KR" sz="800" b="0" i="0" strike="noStrike">
              <a:solidFill>
                <a:srgbClr val="000000"/>
              </a:solidFill>
              <a:latin typeface="Arial"/>
              <a:cs typeface="Arial"/>
            </a:rPr>
            <a:t>\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tp_root/Samples/MSOffice2007/xls2xlsx/Fkliklse_new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tp_root/R&amp;D/COMMON/PRICES/KRU/FKLI/FKLIKL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tp_root/Samples/MSOffice2007/xls2xlsx/Exchvol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tp_root/R&amp;D/COMMON/PRICES/KRU/FKLI/Fkliklse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LI"/>
      <sheetName val="OKLI"/>
      <sheetName val="FKLI 5d-Volatility"/>
      <sheetName val="FCPO"/>
      <sheetName val="FCPO 5d-Volatility"/>
      <sheetName val="FKB3"/>
      <sheetName val="FKB3 5d-Volatility"/>
      <sheetName val="FMG5"/>
      <sheetName val="FMG3"/>
      <sheetName val="FMGA"/>
      <sheetName val="Ex_Total"/>
    </sheetNames>
    <sheetDataSet>
      <sheetData sheetId="0">
        <row r="1">
          <cell r="B1" t="str">
            <v>KLSE CI</v>
          </cell>
          <cell r="C1" t="str">
            <v>FKLI</v>
          </cell>
          <cell r="D1" t="str">
            <v>Volume</v>
          </cell>
          <cell r="E1" t="str">
            <v>Open Position</v>
          </cell>
        </row>
        <row r="1747">
          <cell r="A1747">
            <v>37637</v>
          </cell>
          <cell r="B1747">
            <v>670.14</v>
          </cell>
          <cell r="C1747">
            <v>677</v>
          </cell>
          <cell r="D1747">
            <v>860</v>
          </cell>
          <cell r="E1747">
            <v>2385</v>
          </cell>
        </row>
        <row r="1748">
          <cell r="A1748">
            <v>37638</v>
          </cell>
          <cell r="B1748">
            <v>670.53</v>
          </cell>
          <cell r="C1748">
            <v>677.4</v>
          </cell>
          <cell r="D1748">
            <v>786</v>
          </cell>
          <cell r="E1748">
            <v>2486</v>
          </cell>
        </row>
        <row r="1749">
          <cell r="A1749">
            <v>37641</v>
          </cell>
          <cell r="B1749">
            <v>666.36</v>
          </cell>
          <cell r="C1749">
            <v>675.4</v>
          </cell>
          <cell r="D1749">
            <v>711</v>
          </cell>
          <cell r="E1749">
            <v>2723</v>
          </cell>
        </row>
        <row r="1750">
          <cell r="A1750">
            <v>37642</v>
          </cell>
          <cell r="B1750">
            <v>675.87</v>
          </cell>
          <cell r="C1750">
            <v>681.3</v>
          </cell>
          <cell r="D1750">
            <v>1124</v>
          </cell>
          <cell r="E1750">
            <v>3046</v>
          </cell>
        </row>
        <row r="1751">
          <cell r="A1751">
            <v>37643</v>
          </cell>
          <cell r="B1751">
            <v>672.41</v>
          </cell>
          <cell r="C1751">
            <v>679.1</v>
          </cell>
          <cell r="D1751">
            <v>519</v>
          </cell>
          <cell r="E1751">
            <v>3164</v>
          </cell>
        </row>
        <row r="1752">
          <cell r="A1752">
            <v>37644</v>
          </cell>
          <cell r="B1752">
            <v>670.78</v>
          </cell>
          <cell r="C1752">
            <v>673</v>
          </cell>
          <cell r="D1752">
            <v>961</v>
          </cell>
          <cell r="E1752">
            <v>3331</v>
          </cell>
        </row>
        <row r="1753">
          <cell r="A1753">
            <v>37645</v>
          </cell>
          <cell r="B1753">
            <v>668.81</v>
          </cell>
          <cell r="C1753">
            <v>667</v>
          </cell>
          <cell r="D1753">
            <v>1317</v>
          </cell>
          <cell r="E1753">
            <v>2892</v>
          </cell>
        </row>
        <row r="1754">
          <cell r="A1754">
            <v>37648</v>
          </cell>
          <cell r="B1754">
            <v>664.62</v>
          </cell>
          <cell r="C1754">
            <v>659</v>
          </cell>
          <cell r="D1754">
            <v>1909</v>
          </cell>
          <cell r="E1754">
            <v>2674</v>
          </cell>
        </row>
        <row r="1755">
          <cell r="A1755">
            <v>37649</v>
          </cell>
          <cell r="B1755">
            <v>671.63</v>
          </cell>
          <cell r="C1755">
            <v>673.8</v>
          </cell>
          <cell r="D1755">
            <v>2274</v>
          </cell>
          <cell r="E1755">
            <v>3132</v>
          </cell>
        </row>
        <row r="1756">
          <cell r="A1756">
            <v>37650</v>
          </cell>
          <cell r="B1756">
            <v>665.44</v>
          </cell>
          <cell r="C1756">
            <v>661.5</v>
          </cell>
          <cell r="D1756">
            <v>1876</v>
          </cell>
          <cell r="E1756">
            <v>3140</v>
          </cell>
        </row>
        <row r="1757">
          <cell r="A1757">
            <v>37651</v>
          </cell>
          <cell r="B1757">
            <v>664.77</v>
          </cell>
          <cell r="C1757">
            <v>660.5</v>
          </cell>
          <cell r="D1757">
            <v>814</v>
          </cell>
          <cell r="E1757">
            <v>2066</v>
          </cell>
        </row>
        <row r="1758">
          <cell r="A1758">
            <v>37657</v>
          </cell>
          <cell r="B1758">
            <v>668.18</v>
          </cell>
          <cell r="C1758">
            <v>666.5</v>
          </cell>
          <cell r="D1758">
            <v>387</v>
          </cell>
          <cell r="E1758">
            <v>2099</v>
          </cell>
        </row>
        <row r="1759">
          <cell r="A1759">
            <v>37658</v>
          </cell>
          <cell r="B1759">
            <v>664.95</v>
          </cell>
          <cell r="C1759">
            <v>663.9</v>
          </cell>
          <cell r="D1759">
            <v>289</v>
          </cell>
          <cell r="E1759">
            <v>2059</v>
          </cell>
        </row>
        <row r="1760">
          <cell r="A1760">
            <v>37659</v>
          </cell>
          <cell r="B1760">
            <v>661.25</v>
          </cell>
          <cell r="C1760">
            <v>648.9</v>
          </cell>
          <cell r="D1760">
            <v>1270</v>
          </cell>
          <cell r="E1760">
            <v>2229</v>
          </cell>
        </row>
        <row r="1761">
          <cell r="A1761">
            <v>37662</v>
          </cell>
          <cell r="B1761">
            <v>658.46</v>
          </cell>
          <cell r="C1761">
            <v>647</v>
          </cell>
          <cell r="D1761">
            <v>597</v>
          </cell>
          <cell r="E1761">
            <v>2338</v>
          </cell>
        </row>
        <row r="1762">
          <cell r="A1762">
            <v>37663</v>
          </cell>
          <cell r="B1762">
            <v>659.95</v>
          </cell>
          <cell r="C1762">
            <v>651</v>
          </cell>
          <cell r="D1762">
            <v>648</v>
          </cell>
          <cell r="E1762">
            <v>2354</v>
          </cell>
        </row>
        <row r="1763">
          <cell r="A1763">
            <v>37665</v>
          </cell>
          <cell r="B1763">
            <v>656.54</v>
          </cell>
          <cell r="C1763">
            <v>647.5</v>
          </cell>
          <cell r="D1763">
            <v>585</v>
          </cell>
          <cell r="E1763">
            <v>2487</v>
          </cell>
        </row>
        <row r="1764">
          <cell r="A1764">
            <v>37666</v>
          </cell>
          <cell r="B1764">
            <v>656.95</v>
          </cell>
          <cell r="C1764">
            <v>650.70000000000005</v>
          </cell>
          <cell r="D1764">
            <v>279</v>
          </cell>
          <cell r="E1764">
            <v>2496</v>
          </cell>
        </row>
        <row r="1765">
          <cell r="A1765">
            <v>37669</v>
          </cell>
          <cell r="B1765">
            <v>659.33</v>
          </cell>
          <cell r="C1765">
            <v>657.2</v>
          </cell>
          <cell r="D1765">
            <v>871</v>
          </cell>
          <cell r="E1765">
            <v>2600</v>
          </cell>
        </row>
        <row r="1766">
          <cell r="A1766">
            <v>37670</v>
          </cell>
          <cell r="B1766">
            <v>657.45</v>
          </cell>
          <cell r="C1766">
            <v>654</v>
          </cell>
          <cell r="D1766">
            <v>443</v>
          </cell>
          <cell r="E1766">
            <v>2541</v>
          </cell>
        </row>
        <row r="1767">
          <cell r="A1767">
            <v>37671</v>
          </cell>
          <cell r="B1767">
            <v>660.96</v>
          </cell>
          <cell r="C1767">
            <v>654.5</v>
          </cell>
          <cell r="D1767">
            <v>394</v>
          </cell>
          <cell r="E1767">
            <v>2509</v>
          </cell>
        </row>
        <row r="1768">
          <cell r="A1768">
            <v>37672</v>
          </cell>
          <cell r="B1768">
            <v>655.32000000000005</v>
          </cell>
          <cell r="C1768">
            <v>647.6</v>
          </cell>
          <cell r="D1768">
            <v>337</v>
          </cell>
          <cell r="E1768">
            <v>2481</v>
          </cell>
        </row>
        <row r="1769">
          <cell r="A1769">
            <v>37673</v>
          </cell>
          <cell r="B1769">
            <v>654.49</v>
          </cell>
          <cell r="C1769">
            <v>646.1</v>
          </cell>
          <cell r="D1769">
            <v>273</v>
          </cell>
          <cell r="E1769">
            <v>2456</v>
          </cell>
        </row>
        <row r="1770">
          <cell r="A1770">
            <v>37676</v>
          </cell>
          <cell r="B1770">
            <v>646.6</v>
          </cell>
          <cell r="C1770">
            <v>651.55999999999995</v>
          </cell>
          <cell r="D1770">
            <v>582</v>
          </cell>
          <cell r="E1770">
            <v>2536</v>
          </cell>
        </row>
        <row r="1771">
          <cell r="A1771">
            <v>37677</v>
          </cell>
          <cell r="B1771">
            <v>653.13</v>
          </cell>
          <cell r="C1771">
            <v>647.5</v>
          </cell>
          <cell r="D1771">
            <v>1228</v>
          </cell>
          <cell r="E1771">
            <v>2666</v>
          </cell>
        </row>
        <row r="1772">
          <cell r="A1772">
            <v>37678</v>
          </cell>
          <cell r="B1772">
            <v>650.71</v>
          </cell>
          <cell r="C1772">
            <v>645.20000000000005</v>
          </cell>
          <cell r="D1772">
            <v>1290</v>
          </cell>
          <cell r="E1772">
            <v>2645</v>
          </cell>
        </row>
        <row r="1773">
          <cell r="A1773">
            <v>37679</v>
          </cell>
          <cell r="B1773">
            <v>652.44000000000005</v>
          </cell>
          <cell r="C1773">
            <v>648.1</v>
          </cell>
          <cell r="D1773">
            <v>2004</v>
          </cell>
          <cell r="E1773">
            <v>2699</v>
          </cell>
        </row>
        <row r="1774">
          <cell r="A1774">
            <v>37680</v>
          </cell>
          <cell r="B1774">
            <v>646.79999999999995</v>
          </cell>
          <cell r="C1774">
            <v>647.79999999999995</v>
          </cell>
          <cell r="D1774">
            <v>819</v>
          </cell>
          <cell r="E1774">
            <v>1659</v>
          </cell>
        </row>
        <row r="1775">
          <cell r="A1775">
            <v>37683</v>
          </cell>
          <cell r="B1775">
            <v>649.22</v>
          </cell>
          <cell r="C1775">
            <v>647</v>
          </cell>
          <cell r="D1775">
            <v>236</v>
          </cell>
          <cell r="E1775">
            <v>1711</v>
          </cell>
        </row>
        <row r="1776">
          <cell r="A1776">
            <v>37685</v>
          </cell>
          <cell r="B1776">
            <v>643.07000000000005</v>
          </cell>
          <cell r="C1776">
            <v>634.20000000000005</v>
          </cell>
          <cell r="D1776">
            <v>389</v>
          </cell>
          <cell r="E1776">
            <v>1697</v>
          </cell>
        </row>
        <row r="1777">
          <cell r="A1777">
            <v>37686</v>
          </cell>
          <cell r="B1777">
            <v>642.42999999999995</v>
          </cell>
          <cell r="C1777">
            <v>631.9</v>
          </cell>
          <cell r="D1777">
            <v>221</v>
          </cell>
          <cell r="E1777">
            <v>1734</v>
          </cell>
        </row>
        <row r="1778">
          <cell r="A1778">
            <v>37687</v>
          </cell>
          <cell r="B1778">
            <v>635.66</v>
          </cell>
          <cell r="C1778">
            <v>626.5</v>
          </cell>
          <cell r="D1778">
            <v>376</v>
          </cell>
          <cell r="E1778">
            <v>1857</v>
          </cell>
        </row>
        <row r="1779">
          <cell r="A1779">
            <v>37690</v>
          </cell>
          <cell r="B1779">
            <v>624.78</v>
          </cell>
          <cell r="C1779">
            <v>613</v>
          </cell>
          <cell r="D1779">
            <v>339</v>
          </cell>
          <cell r="E1779">
            <v>1905</v>
          </cell>
        </row>
        <row r="1780">
          <cell r="A1780">
            <v>37691</v>
          </cell>
          <cell r="B1780">
            <v>619.22</v>
          </cell>
          <cell r="C1780">
            <v>613</v>
          </cell>
          <cell r="D1780">
            <v>620</v>
          </cell>
          <cell r="E1780">
            <v>1998</v>
          </cell>
        </row>
        <row r="1781">
          <cell r="A1781">
            <v>37692</v>
          </cell>
          <cell r="B1781">
            <v>629.1</v>
          </cell>
          <cell r="C1781">
            <v>616</v>
          </cell>
          <cell r="D1781">
            <v>662</v>
          </cell>
          <cell r="E1781">
            <v>2206</v>
          </cell>
        </row>
        <row r="1782">
          <cell r="A1782">
            <v>37693</v>
          </cell>
          <cell r="B1782">
            <v>627.46</v>
          </cell>
          <cell r="C1782">
            <v>613.9</v>
          </cell>
          <cell r="D1782">
            <v>519</v>
          </cell>
          <cell r="E1782">
            <v>2302</v>
          </cell>
        </row>
        <row r="1783">
          <cell r="A1783">
            <v>37694</v>
          </cell>
          <cell r="B1783">
            <v>628.54999999999995</v>
          </cell>
          <cell r="C1783">
            <v>617.20000000000005</v>
          </cell>
          <cell r="D1783">
            <v>819</v>
          </cell>
          <cell r="E1783">
            <v>2362</v>
          </cell>
        </row>
        <row r="1784">
          <cell r="A1784">
            <v>37697</v>
          </cell>
          <cell r="B1784">
            <v>622.61</v>
          </cell>
          <cell r="C1784">
            <v>602.5</v>
          </cell>
          <cell r="D1784">
            <v>548</v>
          </cell>
          <cell r="E1784">
            <v>2435</v>
          </cell>
        </row>
        <row r="1785">
          <cell r="A1785">
            <v>37698</v>
          </cell>
          <cell r="B1785">
            <v>627.08000000000004</v>
          </cell>
          <cell r="C1785">
            <v>615.9</v>
          </cell>
          <cell r="D1785">
            <v>791</v>
          </cell>
          <cell r="E1785">
            <v>2538</v>
          </cell>
        </row>
        <row r="1786">
          <cell r="A1786">
            <v>37699</v>
          </cell>
          <cell r="B1786">
            <v>627.94000000000005</v>
          </cell>
          <cell r="C1786">
            <v>614.29999999999995</v>
          </cell>
          <cell r="D1786">
            <v>304</v>
          </cell>
          <cell r="E1786">
            <v>2629</v>
          </cell>
        </row>
        <row r="1787">
          <cell r="A1787">
            <v>37700</v>
          </cell>
          <cell r="B1787">
            <v>632.03</v>
          </cell>
          <cell r="C1787">
            <v>623.5</v>
          </cell>
          <cell r="D1787">
            <v>1456</v>
          </cell>
          <cell r="E1787">
            <v>2835</v>
          </cell>
        </row>
        <row r="1788">
          <cell r="A1788">
            <v>37701</v>
          </cell>
          <cell r="B1788">
            <v>632.16999999999996</v>
          </cell>
          <cell r="C1788">
            <v>623.1</v>
          </cell>
          <cell r="D1788">
            <v>474</v>
          </cell>
          <cell r="E1788">
            <v>2897</v>
          </cell>
        </row>
        <row r="1789">
          <cell r="A1789">
            <v>37704</v>
          </cell>
          <cell r="B1789">
            <v>633.13</v>
          </cell>
          <cell r="C1789">
            <v>622</v>
          </cell>
          <cell r="D1789">
            <v>748</v>
          </cell>
          <cell r="E1789">
            <v>2965</v>
          </cell>
        </row>
        <row r="1790">
          <cell r="A1790">
            <v>37705</v>
          </cell>
          <cell r="B1790">
            <v>629.66</v>
          </cell>
          <cell r="C1790">
            <v>620.1</v>
          </cell>
          <cell r="D1790">
            <v>1135</v>
          </cell>
          <cell r="E1790">
            <v>2974</v>
          </cell>
        </row>
        <row r="1791">
          <cell r="A1791">
            <v>37706</v>
          </cell>
          <cell r="B1791">
            <v>632.99</v>
          </cell>
          <cell r="C1791">
            <v>623.29999999999995</v>
          </cell>
          <cell r="D1791">
            <v>1189</v>
          </cell>
          <cell r="E1791">
            <v>3200</v>
          </cell>
        </row>
        <row r="1792">
          <cell r="A1792">
            <v>37707</v>
          </cell>
          <cell r="B1792">
            <v>632.84</v>
          </cell>
          <cell r="C1792">
            <v>624</v>
          </cell>
          <cell r="D1792">
            <v>1266</v>
          </cell>
          <cell r="E1792">
            <v>3381</v>
          </cell>
        </row>
        <row r="1793">
          <cell r="A1793">
            <v>37708</v>
          </cell>
          <cell r="B1793">
            <v>634.96</v>
          </cell>
          <cell r="C1793">
            <v>629.4</v>
          </cell>
          <cell r="D1793">
            <v>1488</v>
          </cell>
          <cell r="E1793">
            <v>3655</v>
          </cell>
        </row>
        <row r="1794">
          <cell r="A1794">
            <v>37711</v>
          </cell>
          <cell r="B1794">
            <v>635.72</v>
          </cell>
          <cell r="C1794">
            <v>631.79999999999995</v>
          </cell>
          <cell r="D1794">
            <v>1140</v>
          </cell>
          <cell r="E1794">
            <v>1774</v>
          </cell>
        </row>
        <row r="1795">
          <cell r="A1795">
            <v>37712</v>
          </cell>
          <cell r="B1795">
            <v>627.11</v>
          </cell>
          <cell r="C1795">
            <v>617.79999999999995</v>
          </cell>
          <cell r="D1795">
            <v>457</v>
          </cell>
          <cell r="E1795">
            <v>1801</v>
          </cell>
        </row>
        <row r="1796">
          <cell r="A1796">
            <v>37713</v>
          </cell>
          <cell r="B1796">
            <v>628.97</v>
          </cell>
          <cell r="C1796">
            <v>623.6</v>
          </cell>
          <cell r="D1796">
            <v>374</v>
          </cell>
          <cell r="E1796">
            <v>1798</v>
          </cell>
        </row>
        <row r="1797">
          <cell r="A1797">
            <v>37714</v>
          </cell>
          <cell r="B1797">
            <v>628.54</v>
          </cell>
          <cell r="C1797">
            <v>627</v>
          </cell>
          <cell r="D1797">
            <v>675</v>
          </cell>
          <cell r="E1797">
            <v>1952</v>
          </cell>
        </row>
        <row r="1798">
          <cell r="A1798">
            <v>37715</v>
          </cell>
          <cell r="B1798">
            <v>631.02</v>
          </cell>
          <cell r="C1798">
            <v>631.4</v>
          </cell>
          <cell r="D1798">
            <v>1195</v>
          </cell>
          <cell r="E1798">
            <v>2185</v>
          </cell>
        </row>
        <row r="1799">
          <cell r="A1799">
            <v>37718</v>
          </cell>
          <cell r="B1799">
            <v>640.35</v>
          </cell>
          <cell r="C1799">
            <v>648</v>
          </cell>
          <cell r="D1799">
            <v>727</v>
          </cell>
          <cell r="E1799">
            <v>1846</v>
          </cell>
        </row>
        <row r="1800">
          <cell r="A1800">
            <v>37719</v>
          </cell>
          <cell r="B1800">
            <v>640.08000000000004</v>
          </cell>
          <cell r="C1800">
            <v>642.1</v>
          </cell>
          <cell r="D1800">
            <v>770</v>
          </cell>
          <cell r="E1800">
            <v>1828</v>
          </cell>
        </row>
        <row r="1801">
          <cell r="A1801">
            <v>37720</v>
          </cell>
          <cell r="B1801">
            <v>634.41</v>
          </cell>
          <cell r="C1801">
            <v>629.79999999999995</v>
          </cell>
          <cell r="D1801">
            <v>712</v>
          </cell>
          <cell r="E1801">
            <v>1788</v>
          </cell>
        </row>
        <row r="1802">
          <cell r="A1802">
            <v>37721</v>
          </cell>
          <cell r="B1802">
            <v>629.91999999999996</v>
          </cell>
          <cell r="C1802">
            <v>631.9</v>
          </cell>
          <cell r="D1802">
            <v>424</v>
          </cell>
          <cell r="E1802">
            <v>1795</v>
          </cell>
        </row>
        <row r="1803">
          <cell r="A1803">
            <v>37722</v>
          </cell>
          <cell r="B1803">
            <v>629.69000000000005</v>
          </cell>
          <cell r="C1803">
            <v>630</v>
          </cell>
          <cell r="D1803">
            <v>341</v>
          </cell>
          <cell r="E1803">
            <v>1815</v>
          </cell>
        </row>
        <row r="1804">
          <cell r="A1804">
            <v>37725</v>
          </cell>
          <cell r="B1804">
            <v>624.21</v>
          </cell>
          <cell r="C1804">
            <v>622.20000000000005</v>
          </cell>
          <cell r="D1804">
            <v>498</v>
          </cell>
          <cell r="E1804">
            <v>1790</v>
          </cell>
        </row>
        <row r="1805">
          <cell r="A1805">
            <v>37726</v>
          </cell>
          <cell r="B1805">
            <v>631.16999999999996</v>
          </cell>
          <cell r="C1805">
            <v>632.1</v>
          </cell>
          <cell r="D1805">
            <v>587</v>
          </cell>
          <cell r="E1805">
            <v>1858</v>
          </cell>
        </row>
        <row r="1806">
          <cell r="A1806">
            <v>37727</v>
          </cell>
          <cell r="B1806">
            <v>633.77</v>
          </cell>
          <cell r="C1806">
            <v>632</v>
          </cell>
          <cell r="D1806">
            <v>595</v>
          </cell>
          <cell r="E1806">
            <v>1889</v>
          </cell>
        </row>
        <row r="1807">
          <cell r="A1807">
            <v>37728</v>
          </cell>
          <cell r="B1807">
            <v>631.37</v>
          </cell>
          <cell r="C1807">
            <v>631</v>
          </cell>
          <cell r="D1807">
            <v>248</v>
          </cell>
          <cell r="E1807">
            <v>1898</v>
          </cell>
        </row>
        <row r="1808">
          <cell r="A1808">
            <v>37729</v>
          </cell>
          <cell r="B1808">
            <v>635.61</v>
          </cell>
          <cell r="C1808">
            <v>636.5</v>
          </cell>
          <cell r="D1808">
            <v>328</v>
          </cell>
          <cell r="E1808">
            <v>1874</v>
          </cell>
        </row>
        <row r="1809">
          <cell r="A1809">
            <v>37732</v>
          </cell>
          <cell r="B1809">
            <v>634.29999999999995</v>
          </cell>
          <cell r="C1809">
            <v>633.9</v>
          </cell>
          <cell r="D1809">
            <v>167</v>
          </cell>
          <cell r="E1809">
            <v>1868</v>
          </cell>
        </row>
        <row r="1810">
          <cell r="A1810">
            <v>37733</v>
          </cell>
          <cell r="B1810">
            <v>632.99</v>
          </cell>
          <cell r="C1810">
            <v>628.6</v>
          </cell>
          <cell r="D1810">
            <v>401</v>
          </cell>
          <cell r="E1810">
            <v>1901</v>
          </cell>
        </row>
        <row r="1811">
          <cell r="A1811">
            <v>37734</v>
          </cell>
          <cell r="B1811">
            <v>629.62</v>
          </cell>
          <cell r="C1811">
            <v>628.6</v>
          </cell>
          <cell r="D1811">
            <v>493</v>
          </cell>
          <cell r="E1811">
            <v>1957</v>
          </cell>
        </row>
        <row r="1812">
          <cell r="A1812">
            <v>37735</v>
          </cell>
          <cell r="B1812">
            <v>624.66</v>
          </cell>
          <cell r="C1812">
            <v>621.79999999999995</v>
          </cell>
          <cell r="D1812">
            <v>523</v>
          </cell>
          <cell r="E1812">
            <v>1968</v>
          </cell>
        </row>
        <row r="1813">
          <cell r="A1813">
            <v>37736</v>
          </cell>
          <cell r="B1813">
            <v>627.73</v>
          </cell>
          <cell r="C1813">
            <v>625.4</v>
          </cell>
          <cell r="D1813">
            <v>1621</v>
          </cell>
          <cell r="E1813">
            <v>2032</v>
          </cell>
        </row>
        <row r="1814">
          <cell r="A1814">
            <v>37739</v>
          </cell>
          <cell r="B1814">
            <v>624.17999999999995</v>
          </cell>
          <cell r="C1814">
            <v>626</v>
          </cell>
          <cell r="D1814">
            <v>1996</v>
          </cell>
          <cell r="E1814">
            <v>2013</v>
          </cell>
        </row>
        <row r="1815">
          <cell r="A1815">
            <v>37740</v>
          </cell>
          <cell r="B1815">
            <v>628.04</v>
          </cell>
          <cell r="C1815">
            <v>630.4</v>
          </cell>
          <cell r="D1815">
            <v>770</v>
          </cell>
          <cell r="E1815">
            <v>2079</v>
          </cell>
        </row>
        <row r="1816">
          <cell r="A1816">
            <v>37741</v>
          </cell>
          <cell r="B1816">
            <v>630.37</v>
          </cell>
          <cell r="C1816">
            <v>630.79999999999995</v>
          </cell>
          <cell r="D1816">
            <v>591</v>
          </cell>
          <cell r="E1816">
            <v>1567</v>
          </cell>
        </row>
        <row r="1817">
          <cell r="A1817">
            <v>37743</v>
          </cell>
          <cell r="B1817">
            <v>627.26</v>
          </cell>
          <cell r="C1817">
            <v>625</v>
          </cell>
          <cell r="D1817">
            <v>148</v>
          </cell>
          <cell r="E1817">
            <v>1516</v>
          </cell>
        </row>
        <row r="1818">
          <cell r="A1818">
            <v>37746</v>
          </cell>
          <cell r="B1818">
            <v>631.41</v>
          </cell>
          <cell r="C1818">
            <v>629.20000000000005</v>
          </cell>
          <cell r="D1818">
            <v>592</v>
          </cell>
          <cell r="E1818">
            <v>1822</v>
          </cell>
        </row>
        <row r="1819">
          <cell r="A1819">
            <v>37747</v>
          </cell>
          <cell r="B1819">
            <v>631.83000000000004</v>
          </cell>
          <cell r="C1819">
            <v>632</v>
          </cell>
          <cell r="D1819">
            <v>250</v>
          </cell>
          <cell r="E1819">
            <v>1822</v>
          </cell>
        </row>
        <row r="1820">
          <cell r="A1820">
            <v>37748</v>
          </cell>
          <cell r="B1820">
            <v>632.28</v>
          </cell>
          <cell r="C1820">
            <v>631</v>
          </cell>
          <cell r="D1820">
            <v>307</v>
          </cell>
          <cell r="E1820">
            <v>1809</v>
          </cell>
        </row>
        <row r="1821">
          <cell r="A1821">
            <v>37749</v>
          </cell>
          <cell r="B1821">
            <v>630.84</v>
          </cell>
          <cell r="C1821">
            <v>627.6</v>
          </cell>
          <cell r="D1821">
            <v>318</v>
          </cell>
          <cell r="E1821">
            <v>1800</v>
          </cell>
        </row>
        <row r="1822">
          <cell r="A1822">
            <v>37750</v>
          </cell>
          <cell r="B1822">
            <v>630.14</v>
          </cell>
          <cell r="C1822">
            <v>630.5</v>
          </cell>
          <cell r="D1822">
            <v>225</v>
          </cell>
          <cell r="E1822">
            <v>1763</v>
          </cell>
        </row>
        <row r="1823">
          <cell r="A1823">
            <v>37753</v>
          </cell>
          <cell r="B1823">
            <v>633.95000000000005</v>
          </cell>
          <cell r="C1823">
            <v>635</v>
          </cell>
          <cell r="D1823">
            <v>275</v>
          </cell>
          <cell r="E1823">
            <v>1781</v>
          </cell>
        </row>
        <row r="1824">
          <cell r="A1824">
            <v>37754</v>
          </cell>
          <cell r="B1824">
            <v>635.78</v>
          </cell>
          <cell r="C1824">
            <v>636</v>
          </cell>
          <cell r="D1824">
            <v>208</v>
          </cell>
          <cell r="E1824">
            <v>1786</v>
          </cell>
        </row>
        <row r="1825">
          <cell r="A1825">
            <v>37757</v>
          </cell>
          <cell r="B1825">
            <v>636.26</v>
          </cell>
          <cell r="C1825">
            <v>639.1</v>
          </cell>
          <cell r="D1825">
            <v>699</v>
          </cell>
          <cell r="E1825">
            <v>1905</v>
          </cell>
        </row>
        <row r="1826">
          <cell r="A1826">
            <v>37760</v>
          </cell>
          <cell r="B1826">
            <v>636.67999999999995</v>
          </cell>
          <cell r="C1826">
            <v>639.9</v>
          </cell>
          <cell r="D1826">
            <v>692</v>
          </cell>
          <cell r="E1826">
            <v>2040</v>
          </cell>
        </row>
        <row r="1827">
          <cell r="A1827">
            <v>37761</v>
          </cell>
          <cell r="B1827">
            <v>636.96</v>
          </cell>
          <cell r="C1827">
            <v>642.79999999999995</v>
          </cell>
          <cell r="D1827">
            <v>506</v>
          </cell>
          <cell r="E1827">
            <v>1806</v>
          </cell>
        </row>
        <row r="1828">
          <cell r="A1828">
            <v>37762</v>
          </cell>
          <cell r="B1828">
            <v>640.37</v>
          </cell>
          <cell r="C1828">
            <v>638.1</v>
          </cell>
          <cell r="D1828">
            <v>369</v>
          </cell>
          <cell r="E1828">
            <v>1866</v>
          </cell>
        </row>
        <row r="1829">
          <cell r="A1829">
            <v>37763</v>
          </cell>
          <cell r="B1829">
            <v>642.25</v>
          </cell>
          <cell r="C1829">
            <v>644</v>
          </cell>
          <cell r="D1829">
            <v>663</v>
          </cell>
          <cell r="E1829">
            <v>1898</v>
          </cell>
        </row>
        <row r="1830">
          <cell r="A1830">
            <v>37764</v>
          </cell>
          <cell r="B1830">
            <v>653.79999999999995</v>
          </cell>
          <cell r="C1830">
            <v>650.88</v>
          </cell>
          <cell r="D1830">
            <v>991</v>
          </cell>
          <cell r="E1830">
            <v>2160</v>
          </cell>
        </row>
        <row r="1831">
          <cell r="A1831">
            <v>37767</v>
          </cell>
          <cell r="B1831">
            <v>655.74</v>
          </cell>
          <cell r="C1831">
            <v>660.3</v>
          </cell>
          <cell r="D1831">
            <v>1583</v>
          </cell>
          <cell r="E1831">
            <v>2368</v>
          </cell>
        </row>
        <row r="1832">
          <cell r="A1832">
            <v>37768</v>
          </cell>
          <cell r="B1832">
            <v>652.11</v>
          </cell>
          <cell r="C1832">
            <v>655.4</v>
          </cell>
          <cell r="D1832">
            <v>1504</v>
          </cell>
          <cell r="E1832">
            <v>2492</v>
          </cell>
        </row>
        <row r="1833">
          <cell r="A1833">
            <v>37769</v>
          </cell>
          <cell r="B1833">
            <v>664</v>
          </cell>
          <cell r="C1833">
            <v>666</v>
          </cell>
          <cell r="D1833">
            <v>1466</v>
          </cell>
          <cell r="E1833">
            <v>2798</v>
          </cell>
        </row>
        <row r="1834">
          <cell r="A1834">
            <v>37770</v>
          </cell>
          <cell r="B1834">
            <v>672.05</v>
          </cell>
          <cell r="C1834">
            <v>674</v>
          </cell>
          <cell r="D1834">
            <v>2091</v>
          </cell>
          <cell r="E1834">
            <v>3205</v>
          </cell>
        </row>
        <row r="1835">
          <cell r="A1835">
            <v>37771</v>
          </cell>
          <cell r="B1835">
            <v>671.46</v>
          </cell>
          <cell r="C1835">
            <v>673.4</v>
          </cell>
          <cell r="D1835">
            <v>1634</v>
          </cell>
          <cell r="E1835">
            <v>2489</v>
          </cell>
        </row>
        <row r="1836">
          <cell r="A1836">
            <v>37774</v>
          </cell>
          <cell r="B1836">
            <v>671.84</v>
          </cell>
          <cell r="C1836">
            <v>678</v>
          </cell>
          <cell r="D1836">
            <v>654</v>
          </cell>
          <cell r="E1836">
            <v>2676</v>
          </cell>
        </row>
        <row r="1837">
          <cell r="A1837">
            <v>37775</v>
          </cell>
          <cell r="B1837">
            <v>674.57</v>
          </cell>
          <cell r="C1837">
            <v>679</v>
          </cell>
          <cell r="D1837">
            <v>568</v>
          </cell>
          <cell r="E1837">
            <v>2711</v>
          </cell>
        </row>
        <row r="1838">
          <cell r="A1838">
            <v>37776</v>
          </cell>
          <cell r="B1838">
            <v>672.84</v>
          </cell>
          <cell r="C1838">
            <v>678</v>
          </cell>
          <cell r="D1838">
            <v>286</v>
          </cell>
          <cell r="E1838">
            <v>2768</v>
          </cell>
        </row>
        <row r="1839">
          <cell r="A1839">
            <v>37777</v>
          </cell>
          <cell r="B1839">
            <v>691</v>
          </cell>
          <cell r="C1839">
            <v>682.43</v>
          </cell>
          <cell r="D1839">
            <v>1412</v>
          </cell>
          <cell r="E1839">
            <v>3005</v>
          </cell>
        </row>
        <row r="1840">
          <cell r="A1840">
            <v>37778</v>
          </cell>
          <cell r="B1840">
            <v>681.57</v>
          </cell>
          <cell r="C1840">
            <v>690.8</v>
          </cell>
          <cell r="D1840">
            <v>576</v>
          </cell>
          <cell r="E1840">
            <v>3185</v>
          </cell>
        </row>
        <row r="1841">
          <cell r="A1841">
            <v>37781</v>
          </cell>
          <cell r="B1841">
            <v>684.41</v>
          </cell>
          <cell r="C1841">
            <v>692.8</v>
          </cell>
          <cell r="D1841">
            <v>379</v>
          </cell>
          <cell r="E1841">
            <v>3300</v>
          </cell>
        </row>
        <row r="1842">
          <cell r="A1842">
            <v>37782</v>
          </cell>
          <cell r="B1842">
            <v>682.07</v>
          </cell>
          <cell r="C1842">
            <v>690</v>
          </cell>
          <cell r="D1842">
            <v>416</v>
          </cell>
          <cell r="E1842">
            <v>3368</v>
          </cell>
        </row>
        <row r="1843">
          <cell r="A1843">
            <v>37783</v>
          </cell>
          <cell r="B1843">
            <v>688.61</v>
          </cell>
          <cell r="C1843">
            <v>693</v>
          </cell>
          <cell r="D1843">
            <v>926</v>
          </cell>
          <cell r="E1843">
            <v>3739</v>
          </cell>
        </row>
        <row r="1844">
          <cell r="A1844">
            <v>37784</v>
          </cell>
          <cell r="B1844">
            <v>690.32</v>
          </cell>
          <cell r="C1844">
            <v>698.8</v>
          </cell>
          <cell r="D1844">
            <v>1169</v>
          </cell>
          <cell r="E1844">
            <v>3860</v>
          </cell>
        </row>
        <row r="1845">
          <cell r="A1845">
            <v>37785</v>
          </cell>
          <cell r="B1845">
            <v>689.94</v>
          </cell>
          <cell r="C1845">
            <v>698.5</v>
          </cell>
          <cell r="D1845">
            <v>880</v>
          </cell>
          <cell r="E1845">
            <v>3861</v>
          </cell>
        </row>
        <row r="1846">
          <cell r="A1846">
            <v>37788</v>
          </cell>
          <cell r="B1846">
            <v>683.27</v>
          </cell>
          <cell r="C1846">
            <v>689</v>
          </cell>
          <cell r="D1846">
            <v>705</v>
          </cell>
          <cell r="E1846">
            <v>3888</v>
          </cell>
        </row>
        <row r="1847">
          <cell r="A1847">
            <v>37789</v>
          </cell>
          <cell r="B1847">
            <v>685.06</v>
          </cell>
          <cell r="C1847">
            <v>692.9</v>
          </cell>
          <cell r="D1847">
            <v>1016</v>
          </cell>
          <cell r="E1847">
            <v>4159</v>
          </cell>
        </row>
        <row r="1848">
          <cell r="A1848">
            <v>37790</v>
          </cell>
          <cell r="B1848">
            <v>683.76</v>
          </cell>
          <cell r="C1848">
            <v>691.5</v>
          </cell>
          <cell r="D1848">
            <v>656</v>
          </cell>
          <cell r="E1848">
            <v>4308</v>
          </cell>
        </row>
        <row r="1849">
          <cell r="A1849">
            <v>37791</v>
          </cell>
          <cell r="B1849">
            <v>681.69</v>
          </cell>
          <cell r="C1849">
            <v>690.8</v>
          </cell>
          <cell r="D1849">
            <v>764</v>
          </cell>
          <cell r="E1849">
            <v>4400</v>
          </cell>
        </row>
        <row r="1850">
          <cell r="A1850">
            <v>37792</v>
          </cell>
          <cell r="B1850">
            <v>682.44</v>
          </cell>
          <cell r="C1850">
            <v>690</v>
          </cell>
          <cell r="D1850">
            <v>766</v>
          </cell>
          <cell r="E1850">
            <v>4614</v>
          </cell>
        </row>
        <row r="1851">
          <cell r="A1851">
            <v>37795</v>
          </cell>
          <cell r="B1851">
            <v>684.91</v>
          </cell>
          <cell r="C1851">
            <v>687.1</v>
          </cell>
          <cell r="D1851">
            <v>1603</v>
          </cell>
          <cell r="E1851">
            <v>5421</v>
          </cell>
        </row>
        <row r="1852">
          <cell r="A1852">
            <v>37796</v>
          </cell>
          <cell r="B1852">
            <v>678.73</v>
          </cell>
          <cell r="C1852">
            <v>679</v>
          </cell>
          <cell r="D1852">
            <v>2020</v>
          </cell>
          <cell r="E1852">
            <v>5074</v>
          </cell>
        </row>
        <row r="1853">
          <cell r="A1853">
            <v>37797</v>
          </cell>
          <cell r="B1853">
            <v>682.32</v>
          </cell>
          <cell r="C1853">
            <v>683.1</v>
          </cell>
          <cell r="D1853">
            <v>2196</v>
          </cell>
          <cell r="E1853">
            <v>5574</v>
          </cell>
        </row>
        <row r="1854">
          <cell r="A1854">
            <v>37798</v>
          </cell>
          <cell r="B1854">
            <v>682.72</v>
          </cell>
          <cell r="C1854">
            <v>686.2</v>
          </cell>
          <cell r="D1854">
            <v>1965</v>
          </cell>
          <cell r="E1854">
            <v>5084</v>
          </cell>
        </row>
        <row r="1855">
          <cell r="A1855">
            <v>37799</v>
          </cell>
          <cell r="B1855">
            <v>691.45</v>
          </cell>
          <cell r="C1855">
            <v>693</v>
          </cell>
          <cell r="D1855">
            <v>1445</v>
          </cell>
          <cell r="E1855">
            <v>4777</v>
          </cell>
        </row>
        <row r="1856">
          <cell r="A1856">
            <v>37802</v>
          </cell>
          <cell r="B1856">
            <v>691.96</v>
          </cell>
          <cell r="C1856">
            <v>692.9</v>
          </cell>
          <cell r="D1856">
            <v>1348</v>
          </cell>
          <cell r="E1856">
            <v>3736</v>
          </cell>
        </row>
        <row r="1857">
          <cell r="A1857">
            <v>37803</v>
          </cell>
          <cell r="B1857">
            <v>693.58</v>
          </cell>
          <cell r="C1857">
            <v>699</v>
          </cell>
          <cell r="D1857">
            <v>589</v>
          </cell>
          <cell r="E1857">
            <v>3816</v>
          </cell>
        </row>
        <row r="1858">
          <cell r="A1858">
            <v>37804</v>
          </cell>
          <cell r="B1858">
            <v>703.26</v>
          </cell>
          <cell r="C1858">
            <v>711.3</v>
          </cell>
          <cell r="D1858">
            <v>849</v>
          </cell>
          <cell r="E1858">
            <v>3982</v>
          </cell>
        </row>
        <row r="1859">
          <cell r="A1859">
            <v>37805</v>
          </cell>
          <cell r="B1859">
            <v>721.93</v>
          </cell>
          <cell r="C1859">
            <v>726.5</v>
          </cell>
          <cell r="D1859">
            <v>1931</v>
          </cell>
          <cell r="E1859">
            <v>3832</v>
          </cell>
        </row>
        <row r="1860">
          <cell r="A1860">
            <v>37806</v>
          </cell>
          <cell r="B1860">
            <v>725.11</v>
          </cell>
          <cell r="C1860">
            <v>731.8</v>
          </cell>
          <cell r="D1860">
            <v>856</v>
          </cell>
          <cell r="E1860">
            <v>3864</v>
          </cell>
        </row>
        <row r="1861">
          <cell r="A1861">
            <v>37809</v>
          </cell>
          <cell r="B1861">
            <v>730.4</v>
          </cell>
          <cell r="C1861">
            <v>736.9</v>
          </cell>
          <cell r="D1861">
            <v>1110</v>
          </cell>
          <cell r="E1861">
            <v>4511</v>
          </cell>
        </row>
        <row r="1862">
          <cell r="A1862">
            <v>37810</v>
          </cell>
          <cell r="B1862">
            <v>727</v>
          </cell>
          <cell r="C1862">
            <v>734.8</v>
          </cell>
          <cell r="D1862">
            <v>1231</v>
          </cell>
          <cell r="E1862">
            <v>4044</v>
          </cell>
        </row>
        <row r="1863">
          <cell r="A1863">
            <v>37811</v>
          </cell>
          <cell r="B1863">
            <v>725.67</v>
          </cell>
          <cell r="C1863">
            <v>731.6</v>
          </cell>
          <cell r="D1863">
            <v>760</v>
          </cell>
          <cell r="E1863">
            <v>3913</v>
          </cell>
        </row>
        <row r="1864">
          <cell r="A1864">
            <v>37812</v>
          </cell>
          <cell r="B1864">
            <v>723.85</v>
          </cell>
          <cell r="C1864">
            <v>729.1</v>
          </cell>
          <cell r="D1864">
            <v>771</v>
          </cell>
          <cell r="E1864">
            <v>4006</v>
          </cell>
        </row>
        <row r="1865">
          <cell r="A1865">
            <v>37813</v>
          </cell>
          <cell r="B1865">
            <v>723.9</v>
          </cell>
          <cell r="C1865">
            <v>734.5</v>
          </cell>
          <cell r="D1865">
            <v>1073</v>
          </cell>
          <cell r="E1865">
            <v>4290</v>
          </cell>
        </row>
        <row r="1866">
          <cell r="A1866">
            <v>37816</v>
          </cell>
          <cell r="B1866">
            <v>727.11</v>
          </cell>
          <cell r="C1866">
            <v>737.1</v>
          </cell>
          <cell r="D1866">
            <v>1064</v>
          </cell>
          <cell r="E1866">
            <v>4472</v>
          </cell>
        </row>
        <row r="1867">
          <cell r="A1867">
            <v>37817</v>
          </cell>
          <cell r="B1867">
            <v>729.39</v>
          </cell>
          <cell r="C1867">
            <v>733.3</v>
          </cell>
          <cell r="D1867">
            <v>985</v>
          </cell>
          <cell r="E1867">
            <v>4553</v>
          </cell>
        </row>
        <row r="1868">
          <cell r="A1868">
            <v>37818</v>
          </cell>
          <cell r="B1868">
            <v>724.35</v>
          </cell>
          <cell r="C1868">
            <v>730.1</v>
          </cell>
          <cell r="D1868">
            <v>759</v>
          </cell>
          <cell r="E1868">
            <v>4666</v>
          </cell>
        </row>
        <row r="1869">
          <cell r="A1869">
            <v>37819</v>
          </cell>
          <cell r="B1869">
            <v>715.65</v>
          </cell>
          <cell r="C1869">
            <v>716.3</v>
          </cell>
          <cell r="D1869">
            <v>1275</v>
          </cell>
          <cell r="E1869">
            <v>4645</v>
          </cell>
        </row>
        <row r="1870">
          <cell r="A1870">
            <v>37820</v>
          </cell>
          <cell r="B1870">
            <v>716.52</v>
          </cell>
          <cell r="C1870">
            <v>722.5</v>
          </cell>
          <cell r="D1870">
            <v>1413</v>
          </cell>
          <cell r="E1870">
            <v>4724</v>
          </cell>
        </row>
        <row r="1871">
          <cell r="A1871">
            <v>37823</v>
          </cell>
          <cell r="B1871">
            <v>719.66</v>
          </cell>
          <cell r="C1871">
            <v>716.6</v>
          </cell>
          <cell r="D1871">
            <v>950</v>
          </cell>
          <cell r="E1871">
            <v>4817</v>
          </cell>
        </row>
        <row r="1872">
          <cell r="A1872">
            <v>37824</v>
          </cell>
          <cell r="B1872">
            <v>712.86</v>
          </cell>
          <cell r="C1872">
            <v>712</v>
          </cell>
          <cell r="D1872">
            <v>1227</v>
          </cell>
          <cell r="E1872">
            <v>4893</v>
          </cell>
        </row>
        <row r="1873">
          <cell r="A1873">
            <v>37825</v>
          </cell>
          <cell r="B1873">
            <v>712.87</v>
          </cell>
          <cell r="C1873">
            <v>708.7</v>
          </cell>
          <cell r="D1873">
            <v>1093</v>
          </cell>
          <cell r="E1873">
            <v>4686</v>
          </cell>
        </row>
        <row r="1874">
          <cell r="A1874">
            <v>37826</v>
          </cell>
          <cell r="B1874">
            <v>710.37</v>
          </cell>
          <cell r="C1874">
            <v>713.2</v>
          </cell>
          <cell r="D1874">
            <v>1461</v>
          </cell>
          <cell r="E1874">
            <v>4607</v>
          </cell>
        </row>
        <row r="1875">
          <cell r="A1875">
            <v>37827</v>
          </cell>
          <cell r="B1875">
            <v>710.53</v>
          </cell>
          <cell r="C1875">
            <v>708.7</v>
          </cell>
          <cell r="D1875">
            <v>813</v>
          </cell>
          <cell r="E1875">
            <v>4679</v>
          </cell>
        </row>
        <row r="1876">
          <cell r="A1876">
            <v>37830</v>
          </cell>
          <cell r="B1876">
            <v>708.24</v>
          </cell>
          <cell r="C1876">
            <v>710.9</v>
          </cell>
          <cell r="D1876">
            <v>2318</v>
          </cell>
          <cell r="E1876">
            <v>5162</v>
          </cell>
        </row>
        <row r="1877">
          <cell r="A1877">
            <v>37831</v>
          </cell>
          <cell r="B1877">
            <v>711.68</v>
          </cell>
          <cell r="C1877">
            <v>713.1</v>
          </cell>
          <cell r="D1877">
            <v>2908</v>
          </cell>
          <cell r="E1877">
            <v>5407</v>
          </cell>
        </row>
        <row r="1878">
          <cell r="A1878">
            <v>37832</v>
          </cell>
          <cell r="B1878">
            <v>720.71</v>
          </cell>
          <cell r="C1878">
            <v>722.5</v>
          </cell>
          <cell r="D1878">
            <v>2265</v>
          </cell>
          <cell r="E1878">
            <v>5038</v>
          </cell>
        </row>
        <row r="1879">
          <cell r="A1879">
            <v>37833</v>
          </cell>
          <cell r="B1879">
            <v>720.56</v>
          </cell>
          <cell r="C1879">
            <v>719.4</v>
          </cell>
          <cell r="D1879">
            <v>1306</v>
          </cell>
          <cell r="E1879">
            <v>4001</v>
          </cell>
        </row>
        <row r="1880">
          <cell r="A1880">
            <v>37834</v>
          </cell>
          <cell r="B1880">
            <v>723.03</v>
          </cell>
          <cell r="C1880">
            <v>726.6</v>
          </cell>
          <cell r="D1880">
            <v>686</v>
          </cell>
          <cell r="E1880">
            <v>4204</v>
          </cell>
        </row>
        <row r="1881">
          <cell r="A1881">
            <v>37837</v>
          </cell>
          <cell r="B1881">
            <v>723.24</v>
          </cell>
          <cell r="C1881">
            <v>723.3</v>
          </cell>
          <cell r="D1881">
            <v>651</v>
          </cell>
          <cell r="E1881">
            <v>4240</v>
          </cell>
        </row>
        <row r="1882">
          <cell r="A1882">
            <v>37838</v>
          </cell>
          <cell r="B1882">
            <v>722.23</v>
          </cell>
          <cell r="C1882">
            <v>719.4</v>
          </cell>
          <cell r="D1882">
            <v>1273</v>
          </cell>
          <cell r="E1882">
            <v>4302</v>
          </cell>
        </row>
        <row r="1883">
          <cell r="A1883">
            <v>37839</v>
          </cell>
          <cell r="B1883">
            <v>718.91</v>
          </cell>
          <cell r="C1883">
            <v>713</v>
          </cell>
          <cell r="D1883">
            <v>2160</v>
          </cell>
          <cell r="E1883">
            <v>4588</v>
          </cell>
        </row>
        <row r="1884">
          <cell r="A1884">
            <v>37840</v>
          </cell>
          <cell r="B1884">
            <v>719.79</v>
          </cell>
          <cell r="C1884">
            <v>710.6</v>
          </cell>
          <cell r="D1884">
            <v>1020</v>
          </cell>
          <cell r="E1884">
            <v>4821</v>
          </cell>
        </row>
        <row r="1885">
          <cell r="A1885">
            <v>37841</v>
          </cell>
          <cell r="B1885">
            <v>722.21</v>
          </cell>
          <cell r="C1885">
            <v>713.9</v>
          </cell>
          <cell r="D1885">
            <v>406</v>
          </cell>
          <cell r="E1885">
            <v>3763</v>
          </cell>
        </row>
        <row r="1886">
          <cell r="A1886">
            <v>37844</v>
          </cell>
          <cell r="B1886">
            <v>726.83</v>
          </cell>
          <cell r="C1886">
            <v>719.6</v>
          </cell>
          <cell r="D1886">
            <v>622</v>
          </cell>
          <cell r="E1886">
            <v>3780</v>
          </cell>
        </row>
        <row r="1887">
          <cell r="A1887">
            <v>37845</v>
          </cell>
          <cell r="B1887">
            <v>724.21</v>
          </cell>
          <cell r="C1887">
            <v>718.6</v>
          </cell>
          <cell r="D1887">
            <v>659</v>
          </cell>
          <cell r="E1887">
            <v>3812</v>
          </cell>
        </row>
        <row r="1888">
          <cell r="A1888">
            <v>37846</v>
          </cell>
          <cell r="B1888">
            <v>724.23</v>
          </cell>
          <cell r="C1888">
            <v>723</v>
          </cell>
          <cell r="D1888">
            <v>617</v>
          </cell>
          <cell r="E1888">
            <v>3774</v>
          </cell>
        </row>
        <row r="1889">
          <cell r="A1889">
            <v>37847</v>
          </cell>
          <cell r="B1889">
            <v>727.46</v>
          </cell>
          <cell r="C1889">
            <v>727.8</v>
          </cell>
          <cell r="D1889">
            <v>685</v>
          </cell>
          <cell r="E1889">
            <v>3828</v>
          </cell>
        </row>
        <row r="1890">
          <cell r="A1890">
            <v>37848</v>
          </cell>
          <cell r="B1890">
            <v>728.51</v>
          </cell>
          <cell r="C1890">
            <v>726.3</v>
          </cell>
          <cell r="D1890">
            <v>641</v>
          </cell>
          <cell r="E1890">
            <v>3878</v>
          </cell>
        </row>
        <row r="1891">
          <cell r="A1891">
            <v>37851</v>
          </cell>
          <cell r="B1891">
            <v>728.84</v>
          </cell>
          <cell r="C1891">
            <v>730.7</v>
          </cell>
          <cell r="D1891">
            <v>466</v>
          </cell>
          <cell r="E1891">
            <v>3915</v>
          </cell>
        </row>
        <row r="1892">
          <cell r="A1892">
            <v>37852</v>
          </cell>
          <cell r="B1892">
            <v>732.07</v>
          </cell>
          <cell r="C1892">
            <v>735.1</v>
          </cell>
          <cell r="D1892">
            <v>600</v>
          </cell>
          <cell r="E1892">
            <v>3932</v>
          </cell>
        </row>
        <row r="1893">
          <cell r="A1893">
            <v>37853</v>
          </cell>
          <cell r="B1893">
            <v>732.24</v>
          </cell>
          <cell r="C1893">
            <v>731</v>
          </cell>
          <cell r="D1893">
            <v>553</v>
          </cell>
          <cell r="E1893">
            <v>4038</v>
          </cell>
        </row>
        <row r="1894">
          <cell r="A1894">
            <v>37854</v>
          </cell>
          <cell r="B1894">
            <v>739.96</v>
          </cell>
          <cell r="C1894">
            <v>742.7</v>
          </cell>
          <cell r="D1894">
            <v>1222</v>
          </cell>
          <cell r="E1894">
            <v>4097</v>
          </cell>
        </row>
        <row r="1895">
          <cell r="A1895">
            <v>37855</v>
          </cell>
          <cell r="B1895">
            <v>743.35</v>
          </cell>
          <cell r="C1895">
            <v>743.7</v>
          </cell>
          <cell r="D1895">
            <v>1060</v>
          </cell>
          <cell r="E1895">
            <v>3844</v>
          </cell>
        </row>
        <row r="1896">
          <cell r="A1896">
            <v>37858</v>
          </cell>
          <cell r="B1896">
            <v>742.26</v>
          </cell>
          <cell r="C1896">
            <v>741</v>
          </cell>
          <cell r="D1896">
            <v>1092</v>
          </cell>
          <cell r="E1896">
            <v>3902</v>
          </cell>
        </row>
        <row r="1897">
          <cell r="A1897">
            <v>37859</v>
          </cell>
          <cell r="B1897">
            <v>741.02</v>
          </cell>
          <cell r="C1897">
            <v>741.5</v>
          </cell>
          <cell r="D1897">
            <v>1916</v>
          </cell>
          <cell r="E1897">
            <v>3970</v>
          </cell>
        </row>
        <row r="1898">
          <cell r="A1898">
            <v>37860</v>
          </cell>
          <cell r="B1898">
            <v>744.62</v>
          </cell>
          <cell r="C1898">
            <v>743.7</v>
          </cell>
          <cell r="D1898">
            <v>1975</v>
          </cell>
          <cell r="E1898">
            <v>3980</v>
          </cell>
        </row>
        <row r="1899">
          <cell r="A1899">
            <v>37861</v>
          </cell>
          <cell r="B1899">
            <v>746.49</v>
          </cell>
          <cell r="C1899">
            <v>744.1</v>
          </cell>
          <cell r="D1899">
            <v>1687</v>
          </cell>
          <cell r="E1899">
            <v>3807</v>
          </cell>
        </row>
        <row r="1900">
          <cell r="A1900">
            <v>37862</v>
          </cell>
          <cell r="B1900">
            <v>743.3</v>
          </cell>
          <cell r="C1900">
            <v>742.6</v>
          </cell>
          <cell r="D1900">
            <v>1569</v>
          </cell>
          <cell r="E1900">
            <v>2774</v>
          </cell>
        </row>
        <row r="1901">
          <cell r="A1901">
            <v>37866</v>
          </cell>
          <cell r="B1901">
            <v>742.02</v>
          </cell>
          <cell r="C1901">
            <v>743.6</v>
          </cell>
          <cell r="D1901">
            <v>400</v>
          </cell>
          <cell r="E1901">
            <v>2849</v>
          </cell>
        </row>
        <row r="1902">
          <cell r="A1902">
            <v>37867</v>
          </cell>
          <cell r="B1902">
            <v>745.17</v>
          </cell>
          <cell r="C1902">
            <v>750</v>
          </cell>
          <cell r="D1902">
            <v>761</v>
          </cell>
          <cell r="E1902">
            <v>2946</v>
          </cell>
        </row>
        <row r="1903">
          <cell r="A1903">
            <v>37868</v>
          </cell>
          <cell r="B1903">
            <v>752.26</v>
          </cell>
          <cell r="C1903">
            <v>755</v>
          </cell>
          <cell r="D1903">
            <v>752</v>
          </cell>
          <cell r="E1903">
            <v>2735</v>
          </cell>
        </row>
        <row r="1904">
          <cell r="A1904">
            <v>37869</v>
          </cell>
          <cell r="B1904">
            <v>756.48</v>
          </cell>
          <cell r="C1904">
            <v>754.9</v>
          </cell>
          <cell r="D1904">
            <v>535</v>
          </cell>
          <cell r="E1904">
            <v>2648</v>
          </cell>
        </row>
        <row r="1905">
          <cell r="A1905">
            <v>37872</v>
          </cell>
          <cell r="B1905">
            <v>748.86</v>
          </cell>
          <cell r="C1905">
            <v>750.4</v>
          </cell>
          <cell r="D1905">
            <v>579</v>
          </cell>
          <cell r="E1905">
            <v>2646</v>
          </cell>
        </row>
        <row r="1906">
          <cell r="A1906">
            <v>37873</v>
          </cell>
          <cell r="B1906">
            <v>742.83</v>
          </cell>
          <cell r="C1906">
            <v>739.5</v>
          </cell>
          <cell r="D1906">
            <v>1261</v>
          </cell>
          <cell r="E1906">
            <v>2683</v>
          </cell>
        </row>
        <row r="1907">
          <cell r="A1907">
            <v>37874</v>
          </cell>
          <cell r="B1907">
            <v>736.23</v>
          </cell>
          <cell r="C1907">
            <v>738.6</v>
          </cell>
          <cell r="D1907">
            <v>953</v>
          </cell>
          <cell r="E1907">
            <v>2724</v>
          </cell>
        </row>
        <row r="1908">
          <cell r="A1908">
            <v>37875</v>
          </cell>
          <cell r="B1908">
            <v>743</v>
          </cell>
          <cell r="C1908">
            <v>745.5</v>
          </cell>
          <cell r="D1908">
            <v>912</v>
          </cell>
          <cell r="E1908">
            <v>2780</v>
          </cell>
        </row>
        <row r="1909">
          <cell r="A1909">
            <v>37876</v>
          </cell>
          <cell r="B1909">
            <v>740.94</v>
          </cell>
          <cell r="C1909">
            <v>739</v>
          </cell>
          <cell r="D1909">
            <v>696</v>
          </cell>
          <cell r="E1909">
            <v>2938</v>
          </cell>
        </row>
        <row r="1910">
          <cell r="A1910">
            <v>37879</v>
          </cell>
          <cell r="B1910">
            <v>743.01</v>
          </cell>
          <cell r="C1910">
            <v>741.1</v>
          </cell>
          <cell r="D1910">
            <v>337</v>
          </cell>
          <cell r="E1910">
            <v>2929</v>
          </cell>
        </row>
        <row r="1911">
          <cell r="A1911">
            <v>37880</v>
          </cell>
          <cell r="B1911">
            <v>741.76</v>
          </cell>
          <cell r="C1911">
            <v>747.5</v>
          </cell>
          <cell r="D1911">
            <v>717</v>
          </cell>
          <cell r="E1911">
            <v>2915</v>
          </cell>
        </row>
        <row r="1912">
          <cell r="A1912">
            <v>37881</v>
          </cell>
          <cell r="B1912">
            <v>747</v>
          </cell>
          <cell r="C1912">
            <v>753</v>
          </cell>
          <cell r="D1912">
            <v>1318</v>
          </cell>
          <cell r="E1912">
            <v>2821</v>
          </cell>
        </row>
        <row r="1913">
          <cell r="A1913">
            <v>37882</v>
          </cell>
          <cell r="B1913">
            <v>743.43</v>
          </cell>
          <cell r="C1913">
            <v>749</v>
          </cell>
          <cell r="D1913">
            <v>384</v>
          </cell>
          <cell r="E1913">
            <v>5546</v>
          </cell>
        </row>
        <row r="1914">
          <cell r="A1914">
            <v>37883</v>
          </cell>
          <cell r="B1914">
            <v>744.17</v>
          </cell>
          <cell r="C1914">
            <v>751</v>
          </cell>
          <cell r="D1914">
            <v>959</v>
          </cell>
          <cell r="E1914">
            <v>5817</v>
          </cell>
        </row>
        <row r="1915">
          <cell r="A1915">
            <v>37886</v>
          </cell>
          <cell r="B1915">
            <v>738.36</v>
          </cell>
          <cell r="C1915">
            <v>741</v>
          </cell>
          <cell r="D1915">
            <v>1503</v>
          </cell>
          <cell r="E1915">
            <v>5891</v>
          </cell>
        </row>
        <row r="1916">
          <cell r="A1916">
            <v>37887</v>
          </cell>
          <cell r="B1916">
            <v>737.24</v>
          </cell>
          <cell r="C1916">
            <v>742</v>
          </cell>
          <cell r="D1916">
            <v>1544</v>
          </cell>
          <cell r="E1916">
            <v>6191</v>
          </cell>
        </row>
        <row r="1917">
          <cell r="A1917">
            <v>37888</v>
          </cell>
          <cell r="B1917">
            <v>744.99</v>
          </cell>
          <cell r="C1917">
            <v>753</v>
          </cell>
          <cell r="D1917">
            <v>3215</v>
          </cell>
          <cell r="E1917">
            <v>6920</v>
          </cell>
        </row>
        <row r="1918">
          <cell r="A1918">
            <v>37889</v>
          </cell>
          <cell r="B1918">
            <v>742.67</v>
          </cell>
          <cell r="C1918">
            <v>747</v>
          </cell>
          <cell r="D1918">
            <v>3514</v>
          </cell>
          <cell r="E1918">
            <v>7179</v>
          </cell>
        </row>
        <row r="1919">
          <cell r="A1919">
            <v>37890</v>
          </cell>
          <cell r="B1919">
            <v>742.22</v>
          </cell>
          <cell r="C1919">
            <v>744.5</v>
          </cell>
          <cell r="D1919">
            <v>4146</v>
          </cell>
          <cell r="E1919">
            <v>7904</v>
          </cell>
        </row>
        <row r="1920">
          <cell r="A1920">
            <v>37893</v>
          </cell>
          <cell r="B1920">
            <v>736.16</v>
          </cell>
          <cell r="C1920">
            <v>738.5</v>
          </cell>
          <cell r="D1920">
            <v>3272</v>
          </cell>
          <cell r="E1920">
            <v>7836</v>
          </cell>
        </row>
        <row r="1921">
          <cell r="A1921">
            <v>37894</v>
          </cell>
          <cell r="B1921">
            <v>733.45</v>
          </cell>
          <cell r="C1921">
            <v>734</v>
          </cell>
          <cell r="D1921">
            <v>1847</v>
          </cell>
          <cell r="E1921">
            <v>5690</v>
          </cell>
        </row>
        <row r="1922">
          <cell r="A1922">
            <v>37895</v>
          </cell>
          <cell r="B1922">
            <v>737.64</v>
          </cell>
          <cell r="C1922">
            <v>735</v>
          </cell>
          <cell r="D1922">
            <v>1734</v>
          </cell>
          <cell r="E1922">
            <v>5611</v>
          </cell>
        </row>
        <row r="1923">
          <cell r="A1923">
            <v>37896</v>
          </cell>
          <cell r="B1923">
            <v>737.43</v>
          </cell>
          <cell r="C1923">
            <v>736.5</v>
          </cell>
          <cell r="D1923">
            <v>1412</v>
          </cell>
          <cell r="E1923">
            <v>5774</v>
          </cell>
        </row>
        <row r="1924">
          <cell r="A1924">
            <v>37897</v>
          </cell>
          <cell r="B1924">
            <v>740.2</v>
          </cell>
          <cell r="C1924">
            <v>740.5</v>
          </cell>
          <cell r="D1924">
            <v>620</v>
          </cell>
          <cell r="E1924">
            <v>5721</v>
          </cell>
        </row>
        <row r="1925">
          <cell r="A1925">
            <v>37900</v>
          </cell>
          <cell r="B1925">
            <v>742.73</v>
          </cell>
          <cell r="C1925">
            <v>746.5</v>
          </cell>
          <cell r="D1925">
            <v>1410</v>
          </cell>
          <cell r="E1925">
            <v>5489</v>
          </cell>
        </row>
        <row r="1926">
          <cell r="A1926">
            <v>37901</v>
          </cell>
          <cell r="B1926">
            <v>748.55</v>
          </cell>
          <cell r="C1926">
            <v>751.5</v>
          </cell>
          <cell r="D1926">
            <v>1785</v>
          </cell>
          <cell r="E1926">
            <v>5481</v>
          </cell>
        </row>
        <row r="1927">
          <cell r="A1927">
            <v>37902</v>
          </cell>
          <cell r="B1927">
            <v>759.62</v>
          </cell>
          <cell r="C1927">
            <v>763.5</v>
          </cell>
          <cell r="D1927">
            <v>2331</v>
          </cell>
          <cell r="E1927">
            <v>5777</v>
          </cell>
        </row>
        <row r="1928">
          <cell r="A1928">
            <v>37903</v>
          </cell>
          <cell r="B1928">
            <v>779.41</v>
          </cell>
          <cell r="C1928">
            <v>779.5</v>
          </cell>
          <cell r="D1928">
            <v>3202</v>
          </cell>
          <cell r="E1928">
            <v>6248</v>
          </cell>
        </row>
        <row r="1929">
          <cell r="A1929">
            <v>37904</v>
          </cell>
          <cell r="B1929">
            <v>790.66</v>
          </cell>
          <cell r="C1929">
            <v>795</v>
          </cell>
          <cell r="D1929">
            <v>4356</v>
          </cell>
          <cell r="E1929">
            <v>6546</v>
          </cell>
        </row>
        <row r="1930">
          <cell r="A1930">
            <v>37907</v>
          </cell>
          <cell r="B1930">
            <v>791.74</v>
          </cell>
          <cell r="C1930">
            <v>797.5</v>
          </cell>
          <cell r="D1930">
            <v>2135</v>
          </cell>
          <cell r="E1930">
            <v>6926</v>
          </cell>
        </row>
        <row r="1931">
          <cell r="A1931">
            <v>37908</v>
          </cell>
          <cell r="B1931">
            <v>782.63</v>
          </cell>
          <cell r="C1931">
            <v>790.5</v>
          </cell>
          <cell r="D1931">
            <v>2397</v>
          </cell>
          <cell r="E1931">
            <v>7155</v>
          </cell>
        </row>
        <row r="1932">
          <cell r="A1932">
            <v>37909</v>
          </cell>
          <cell r="B1932">
            <v>783.21</v>
          </cell>
          <cell r="C1932">
            <v>790.5</v>
          </cell>
          <cell r="D1932">
            <v>2215</v>
          </cell>
          <cell r="E1932">
            <v>7631</v>
          </cell>
        </row>
        <row r="1933">
          <cell r="A1933">
            <v>37910</v>
          </cell>
          <cell r="B1933">
            <v>784.12</v>
          </cell>
          <cell r="C1933">
            <v>791</v>
          </cell>
          <cell r="D1933">
            <v>1155</v>
          </cell>
          <cell r="E1933">
            <v>7947</v>
          </cell>
        </row>
        <row r="1934">
          <cell r="A1934">
            <v>37911</v>
          </cell>
          <cell r="B1934">
            <v>781.05</v>
          </cell>
          <cell r="C1934">
            <v>786.5</v>
          </cell>
          <cell r="D1934">
            <v>1408</v>
          </cell>
          <cell r="E1934">
            <v>8132</v>
          </cell>
        </row>
        <row r="1935">
          <cell r="A1935">
            <v>37914</v>
          </cell>
          <cell r="B1935">
            <v>781.45</v>
          </cell>
          <cell r="C1935">
            <v>789</v>
          </cell>
          <cell r="D1935">
            <v>1180</v>
          </cell>
          <cell r="E1935">
            <v>8343</v>
          </cell>
        </row>
        <row r="1936">
          <cell r="A1936">
            <v>37915</v>
          </cell>
          <cell r="B1936">
            <v>790.31</v>
          </cell>
          <cell r="C1936">
            <v>799.5</v>
          </cell>
          <cell r="D1936">
            <v>1978</v>
          </cell>
          <cell r="E1936">
            <v>8797</v>
          </cell>
        </row>
        <row r="1937">
          <cell r="A1937">
            <v>37916</v>
          </cell>
          <cell r="B1937">
            <v>805.11</v>
          </cell>
          <cell r="C1937">
            <v>807.5</v>
          </cell>
          <cell r="D1937">
            <v>2985</v>
          </cell>
          <cell r="E1937">
            <v>8449</v>
          </cell>
        </row>
        <row r="1938">
          <cell r="A1938">
            <v>37917</v>
          </cell>
          <cell r="B1938">
            <v>804.43</v>
          </cell>
          <cell r="C1938">
            <v>799</v>
          </cell>
          <cell r="D1938">
            <v>3841</v>
          </cell>
          <cell r="E1938">
            <v>8556</v>
          </cell>
        </row>
        <row r="1939">
          <cell r="A1939">
            <v>37921</v>
          </cell>
          <cell r="B1939">
            <v>803.52</v>
          </cell>
          <cell r="C1939">
            <v>808</v>
          </cell>
          <cell r="D1939">
            <v>1641</v>
          </cell>
          <cell r="E1939">
            <v>8584</v>
          </cell>
        </row>
        <row r="1940">
          <cell r="A1940">
            <v>37922</v>
          </cell>
          <cell r="B1940">
            <v>805.64</v>
          </cell>
          <cell r="C1940">
            <v>812.5</v>
          </cell>
          <cell r="D1940">
            <v>4717</v>
          </cell>
          <cell r="E1940">
            <v>8893</v>
          </cell>
        </row>
        <row r="1941">
          <cell r="A1941">
            <v>37923</v>
          </cell>
          <cell r="B1941">
            <v>809.97</v>
          </cell>
          <cell r="C1941">
            <v>816.5</v>
          </cell>
          <cell r="D1941">
            <v>6208</v>
          </cell>
          <cell r="E1941">
            <v>9417</v>
          </cell>
        </row>
        <row r="1942">
          <cell r="A1942">
            <v>37924</v>
          </cell>
          <cell r="B1942">
            <v>812.1</v>
          </cell>
          <cell r="C1942">
            <v>815.5</v>
          </cell>
          <cell r="D1942">
            <v>2787</v>
          </cell>
          <cell r="E1942">
            <v>8907</v>
          </cell>
        </row>
        <row r="1943">
          <cell r="A1943">
            <v>37925</v>
          </cell>
          <cell r="B1943">
            <v>817.12</v>
          </cell>
          <cell r="C1943">
            <v>812</v>
          </cell>
          <cell r="D1943">
            <v>3365</v>
          </cell>
          <cell r="E1943">
            <v>7602</v>
          </cell>
        </row>
        <row r="1944">
          <cell r="A1944">
            <v>37928</v>
          </cell>
          <cell r="B1944">
            <v>813.09</v>
          </cell>
          <cell r="C1944">
            <v>820.5</v>
          </cell>
          <cell r="D1944">
            <v>1583</v>
          </cell>
          <cell r="E1944">
            <v>8063</v>
          </cell>
        </row>
        <row r="1945">
          <cell r="A1945">
            <v>37929</v>
          </cell>
          <cell r="B1945">
            <v>815.99</v>
          </cell>
          <cell r="C1945">
            <v>826</v>
          </cell>
          <cell r="D1945">
            <v>1278</v>
          </cell>
          <cell r="E1945">
            <v>8229</v>
          </cell>
        </row>
        <row r="1946">
          <cell r="A1946">
            <v>37930</v>
          </cell>
          <cell r="B1946">
            <v>813.49</v>
          </cell>
          <cell r="C1946">
            <v>824.5</v>
          </cell>
          <cell r="D1946">
            <v>1835</v>
          </cell>
          <cell r="E1946">
            <v>9194</v>
          </cell>
        </row>
        <row r="1947">
          <cell r="A1947">
            <v>37931</v>
          </cell>
          <cell r="B1947">
            <v>809.14</v>
          </cell>
          <cell r="C1947">
            <v>812</v>
          </cell>
          <cell r="D1947">
            <v>2118</v>
          </cell>
          <cell r="E1947">
            <v>9483</v>
          </cell>
        </row>
        <row r="1948">
          <cell r="A1948">
            <v>37932</v>
          </cell>
          <cell r="B1948">
            <v>806.78</v>
          </cell>
          <cell r="C1948">
            <v>818.5</v>
          </cell>
          <cell r="D1948">
            <v>1262</v>
          </cell>
          <cell r="E1948">
            <v>9434</v>
          </cell>
        </row>
        <row r="1949">
          <cell r="A1949">
            <v>37935</v>
          </cell>
          <cell r="B1949">
            <v>800.96</v>
          </cell>
          <cell r="C1949">
            <v>811</v>
          </cell>
          <cell r="D1949">
            <v>1272</v>
          </cell>
          <cell r="E1949">
            <v>9334</v>
          </cell>
        </row>
        <row r="1950">
          <cell r="A1950">
            <v>37936</v>
          </cell>
          <cell r="B1950">
            <v>795.28</v>
          </cell>
          <cell r="C1950">
            <v>799</v>
          </cell>
          <cell r="D1950">
            <v>2129</v>
          </cell>
          <cell r="E1950">
            <v>9405</v>
          </cell>
        </row>
        <row r="1951">
          <cell r="A1951">
            <v>37937</v>
          </cell>
          <cell r="B1951">
            <v>790.31</v>
          </cell>
          <cell r="C1951">
            <v>801.5</v>
          </cell>
          <cell r="D1951">
            <v>1863</v>
          </cell>
          <cell r="E1951">
            <v>9577</v>
          </cell>
        </row>
        <row r="1952">
          <cell r="A1952">
            <v>37938</v>
          </cell>
          <cell r="B1952">
            <v>791.49</v>
          </cell>
          <cell r="C1952">
            <v>799.5</v>
          </cell>
          <cell r="D1952">
            <v>1965</v>
          </cell>
          <cell r="E1952">
            <v>10137</v>
          </cell>
        </row>
        <row r="1953">
          <cell r="A1953">
            <v>37939</v>
          </cell>
          <cell r="B1953">
            <v>792.23</v>
          </cell>
          <cell r="C1953">
            <v>795</v>
          </cell>
          <cell r="D1953">
            <v>1483</v>
          </cell>
          <cell r="E1953">
            <v>10206</v>
          </cell>
        </row>
        <row r="1954">
          <cell r="A1954">
            <v>37942</v>
          </cell>
          <cell r="B1954">
            <v>781.95</v>
          </cell>
          <cell r="C1954">
            <v>777</v>
          </cell>
          <cell r="D1954">
            <v>2717</v>
          </cell>
          <cell r="E1954">
            <v>10081</v>
          </cell>
        </row>
        <row r="1955">
          <cell r="A1955">
            <v>37943</v>
          </cell>
          <cell r="B1955">
            <v>782.17</v>
          </cell>
          <cell r="C1955">
            <v>781</v>
          </cell>
          <cell r="D1955">
            <v>1769</v>
          </cell>
          <cell r="E1955">
            <v>10187</v>
          </cell>
        </row>
        <row r="1956">
          <cell r="A1956">
            <v>37944</v>
          </cell>
          <cell r="B1956">
            <v>765.95</v>
          </cell>
          <cell r="C1956">
            <v>767</v>
          </cell>
          <cell r="D1956">
            <v>3640</v>
          </cell>
          <cell r="E1956">
            <v>10815</v>
          </cell>
        </row>
        <row r="1957">
          <cell r="A1957">
            <v>37945</v>
          </cell>
          <cell r="B1957">
            <v>777.21</v>
          </cell>
          <cell r="C1957">
            <v>772</v>
          </cell>
          <cell r="D1957">
            <v>2735</v>
          </cell>
          <cell r="E1957">
            <v>10788</v>
          </cell>
        </row>
        <row r="1958">
          <cell r="A1958">
            <v>37946</v>
          </cell>
          <cell r="B1958">
            <v>784.47</v>
          </cell>
          <cell r="C1958">
            <v>775.5</v>
          </cell>
          <cell r="D1958">
            <v>3358</v>
          </cell>
          <cell r="E1958">
            <v>10961</v>
          </cell>
        </row>
        <row r="1959">
          <cell r="A1959">
            <v>37952</v>
          </cell>
          <cell r="B1959">
            <v>778.37</v>
          </cell>
          <cell r="C1959">
            <v>779.5</v>
          </cell>
          <cell r="D1959">
            <v>8967</v>
          </cell>
          <cell r="E1959">
            <v>11870</v>
          </cell>
        </row>
        <row r="1960">
          <cell r="A1960">
            <v>37953</v>
          </cell>
          <cell r="B1960">
            <v>779.28</v>
          </cell>
          <cell r="C1960">
            <v>777</v>
          </cell>
          <cell r="D1960">
            <v>3576</v>
          </cell>
          <cell r="E1960">
            <v>7681</v>
          </cell>
        </row>
        <row r="1961">
          <cell r="A1961">
            <v>37956</v>
          </cell>
          <cell r="B1961">
            <v>790.56</v>
          </cell>
          <cell r="C1961">
            <v>803</v>
          </cell>
          <cell r="D1961">
            <v>2371</v>
          </cell>
          <cell r="E1961">
            <v>7881</v>
          </cell>
        </row>
        <row r="1962">
          <cell r="A1962">
            <v>37957</v>
          </cell>
          <cell r="B1962">
            <v>797.8</v>
          </cell>
          <cell r="C1962">
            <v>806</v>
          </cell>
          <cell r="D1962">
            <v>3327</v>
          </cell>
          <cell r="E1962">
            <v>8404</v>
          </cell>
        </row>
        <row r="1963">
          <cell r="A1963">
            <v>37958</v>
          </cell>
          <cell r="B1963">
            <v>795.57</v>
          </cell>
          <cell r="C1963">
            <v>802</v>
          </cell>
          <cell r="D1963">
            <v>1158</v>
          </cell>
          <cell r="E1963">
            <v>8362</v>
          </cell>
        </row>
        <row r="1964">
          <cell r="A1964">
            <v>37959</v>
          </cell>
          <cell r="B1964">
            <v>790.13</v>
          </cell>
          <cell r="C1964">
            <v>791.5</v>
          </cell>
          <cell r="D1964">
            <v>2317</v>
          </cell>
          <cell r="E1964">
            <v>8718</v>
          </cell>
        </row>
        <row r="1965">
          <cell r="A1965">
            <v>37960</v>
          </cell>
          <cell r="B1965">
            <v>786.98</v>
          </cell>
          <cell r="C1965">
            <v>789.5</v>
          </cell>
          <cell r="D1965">
            <v>1311</v>
          </cell>
          <cell r="E1965">
            <v>8945</v>
          </cell>
        </row>
        <row r="1966">
          <cell r="A1966">
            <v>37963</v>
          </cell>
          <cell r="B1966">
            <v>784.03</v>
          </cell>
          <cell r="C1966">
            <v>784</v>
          </cell>
          <cell r="D1966">
            <v>1056</v>
          </cell>
          <cell r="E1966">
            <v>9100</v>
          </cell>
        </row>
        <row r="1967">
          <cell r="A1967">
            <v>37964</v>
          </cell>
          <cell r="B1967">
            <v>788.47</v>
          </cell>
          <cell r="C1967">
            <v>794.5</v>
          </cell>
          <cell r="D1967">
            <v>1633</v>
          </cell>
          <cell r="E1967">
            <v>9000</v>
          </cell>
        </row>
        <row r="1968">
          <cell r="A1968">
            <v>37965</v>
          </cell>
          <cell r="B1968">
            <v>794.51</v>
          </cell>
          <cell r="C1968">
            <v>796.5</v>
          </cell>
          <cell r="D1968">
            <v>1497</v>
          </cell>
          <cell r="E1968">
            <v>9306</v>
          </cell>
        </row>
        <row r="1969">
          <cell r="A1969">
            <v>37966</v>
          </cell>
          <cell r="B1969">
            <v>793.6</v>
          </cell>
          <cell r="C1969">
            <v>797</v>
          </cell>
          <cell r="D1969">
            <v>1177</v>
          </cell>
          <cell r="E1969">
            <v>9270</v>
          </cell>
        </row>
        <row r="1970">
          <cell r="A1970">
            <v>37967</v>
          </cell>
          <cell r="B1970">
            <v>791.94</v>
          </cell>
          <cell r="C1970">
            <v>795</v>
          </cell>
          <cell r="D1970">
            <v>1062</v>
          </cell>
          <cell r="E1970">
            <v>9358</v>
          </cell>
        </row>
        <row r="1971">
          <cell r="A1971">
            <v>37970</v>
          </cell>
          <cell r="B1971">
            <v>788.01</v>
          </cell>
          <cell r="C1971">
            <v>796.5</v>
          </cell>
          <cell r="D1971">
            <v>1512</v>
          </cell>
          <cell r="E1971">
            <v>9407</v>
          </cell>
        </row>
        <row r="1972">
          <cell r="A1972">
            <v>37971</v>
          </cell>
          <cell r="B1972">
            <v>782.08</v>
          </cell>
          <cell r="C1972">
            <v>786</v>
          </cell>
          <cell r="D1972">
            <v>1606</v>
          </cell>
          <cell r="E1972">
            <v>9475</v>
          </cell>
        </row>
        <row r="1973">
          <cell r="A1973">
            <v>37972</v>
          </cell>
          <cell r="B1973">
            <v>775.13</v>
          </cell>
          <cell r="C1973">
            <v>774</v>
          </cell>
          <cell r="D1973">
            <v>2504</v>
          </cell>
          <cell r="E1973">
            <v>9331</v>
          </cell>
        </row>
        <row r="1974">
          <cell r="A1974">
            <v>37973</v>
          </cell>
          <cell r="B1974">
            <v>766.59</v>
          </cell>
          <cell r="C1974">
            <v>762.5</v>
          </cell>
          <cell r="D1974">
            <v>3546</v>
          </cell>
          <cell r="E1974">
            <v>9530</v>
          </cell>
        </row>
        <row r="1975">
          <cell r="A1975">
            <v>37974</v>
          </cell>
          <cell r="B1975">
            <v>769.75</v>
          </cell>
          <cell r="C1975">
            <v>771.5</v>
          </cell>
          <cell r="D1975">
            <v>2705</v>
          </cell>
          <cell r="E1975">
            <v>9291</v>
          </cell>
        </row>
        <row r="1976">
          <cell r="A1976">
            <v>37977</v>
          </cell>
          <cell r="B1976">
            <v>775.3</v>
          </cell>
          <cell r="C1976">
            <v>773</v>
          </cell>
          <cell r="D1976">
            <v>2994</v>
          </cell>
          <cell r="E1976">
            <v>9675</v>
          </cell>
        </row>
        <row r="1977">
          <cell r="A1977">
            <v>37978</v>
          </cell>
          <cell r="B1977">
            <v>777.63</v>
          </cell>
          <cell r="C1977">
            <v>780</v>
          </cell>
          <cell r="D1977">
            <v>4642</v>
          </cell>
          <cell r="E1977">
            <v>10005</v>
          </cell>
        </row>
        <row r="1978">
          <cell r="A1978">
            <v>37979</v>
          </cell>
          <cell r="B1978">
            <v>777.37</v>
          </cell>
          <cell r="C1978">
            <v>784</v>
          </cell>
          <cell r="D1978">
            <v>5455</v>
          </cell>
          <cell r="E1978">
            <v>10037</v>
          </cell>
        </row>
        <row r="1979">
          <cell r="A1979">
            <v>37981</v>
          </cell>
          <cell r="B1979">
            <v>780.02</v>
          </cell>
          <cell r="C1979">
            <v>785</v>
          </cell>
          <cell r="D1979">
            <v>2109</v>
          </cell>
          <cell r="E1979">
            <v>9851</v>
          </cell>
        </row>
        <row r="1980">
          <cell r="A1980">
            <v>37984</v>
          </cell>
          <cell r="B1980">
            <v>787.8</v>
          </cell>
          <cell r="C1980">
            <v>792.5</v>
          </cell>
          <cell r="D1980">
            <v>5034</v>
          </cell>
          <cell r="E1980">
            <v>9834</v>
          </cell>
        </row>
        <row r="1981">
          <cell r="A1981">
            <v>37985</v>
          </cell>
          <cell r="B1981">
            <v>792.72</v>
          </cell>
          <cell r="C1981">
            <v>795</v>
          </cell>
          <cell r="D1981">
            <v>5044</v>
          </cell>
          <cell r="E1981">
            <v>11003</v>
          </cell>
        </row>
        <row r="1982">
          <cell r="A1982">
            <v>37986</v>
          </cell>
          <cell r="B1982">
            <v>793.94</v>
          </cell>
          <cell r="C1982">
            <v>792</v>
          </cell>
          <cell r="D1982">
            <v>1159</v>
          </cell>
          <cell r="E1982">
            <v>8993</v>
          </cell>
        </row>
        <row r="1983">
          <cell r="A1983">
            <v>37988</v>
          </cell>
          <cell r="B1983">
            <v>788.49</v>
          </cell>
          <cell r="C1983">
            <v>795</v>
          </cell>
          <cell r="D1983">
            <v>1907</v>
          </cell>
          <cell r="E1983">
            <v>8989</v>
          </cell>
        </row>
        <row r="1984">
          <cell r="A1984">
            <v>37991</v>
          </cell>
          <cell r="B1984">
            <v>792.66</v>
          </cell>
          <cell r="C1984">
            <v>801</v>
          </cell>
          <cell r="D1984">
            <v>2348</v>
          </cell>
          <cell r="E1984">
            <v>9661</v>
          </cell>
        </row>
        <row r="1985">
          <cell r="A1985">
            <v>37992</v>
          </cell>
          <cell r="B1985">
            <v>787.29</v>
          </cell>
          <cell r="C1985">
            <v>794.5</v>
          </cell>
          <cell r="D1985">
            <v>2675</v>
          </cell>
          <cell r="E1985">
            <v>10271</v>
          </cell>
        </row>
        <row r="1986">
          <cell r="A1986">
            <v>37993</v>
          </cell>
          <cell r="B1986">
            <v>805.76</v>
          </cell>
          <cell r="C1986">
            <v>812</v>
          </cell>
          <cell r="D1986">
            <v>3596</v>
          </cell>
          <cell r="E1986">
            <v>10989</v>
          </cell>
        </row>
        <row r="1987">
          <cell r="A1987">
            <v>37994</v>
          </cell>
          <cell r="B1987">
            <v>813.2</v>
          </cell>
          <cell r="C1987">
            <v>820</v>
          </cell>
          <cell r="D1987">
            <v>4363</v>
          </cell>
          <cell r="E1987">
            <v>11262</v>
          </cell>
        </row>
        <row r="1988">
          <cell r="A1988">
            <v>37995</v>
          </cell>
          <cell r="B1988">
            <v>841</v>
          </cell>
          <cell r="C1988">
            <v>825.42</v>
          </cell>
          <cell r="D1988">
            <v>7596</v>
          </cell>
          <cell r="E1988">
            <v>14151</v>
          </cell>
        </row>
        <row r="1989">
          <cell r="A1989">
            <v>37998</v>
          </cell>
          <cell r="B1989">
            <v>823.68</v>
          </cell>
          <cell r="C1989">
            <v>836</v>
          </cell>
          <cell r="D1989">
            <v>3451</v>
          </cell>
          <cell r="E1989">
            <v>14961</v>
          </cell>
        </row>
        <row r="1990">
          <cell r="A1990">
            <v>37999</v>
          </cell>
          <cell r="B1990">
            <v>827</v>
          </cell>
          <cell r="C1990">
            <v>818.42</v>
          </cell>
          <cell r="D1990">
            <v>2800</v>
          </cell>
          <cell r="E1990">
            <v>15476</v>
          </cell>
        </row>
        <row r="1991">
          <cell r="A1991">
            <v>38000</v>
          </cell>
          <cell r="B1991">
            <v>815.98</v>
          </cell>
          <cell r="C1991">
            <v>823.5</v>
          </cell>
          <cell r="D1991">
            <v>3324</v>
          </cell>
          <cell r="E1991">
            <v>16406</v>
          </cell>
        </row>
      </sheetData>
      <sheetData sheetId="1">
        <row r="1">
          <cell r="B1" t="str">
            <v xml:space="preserve">Volume </v>
          </cell>
          <cell r="C1" t="str">
            <v>Open Position</v>
          </cell>
        </row>
        <row r="2">
          <cell r="A2">
            <v>36861</v>
          </cell>
          <cell r="B2">
            <v>105</v>
          </cell>
          <cell r="C2">
            <v>80</v>
          </cell>
        </row>
        <row r="3">
          <cell r="A3">
            <v>36864</v>
          </cell>
          <cell r="B3">
            <v>17</v>
          </cell>
          <cell r="C3">
            <v>86</v>
          </cell>
        </row>
        <row r="4">
          <cell r="A4">
            <v>36865</v>
          </cell>
          <cell r="B4">
            <v>3</v>
          </cell>
          <cell r="C4">
            <v>86</v>
          </cell>
        </row>
        <row r="5">
          <cell r="A5">
            <v>36866</v>
          </cell>
          <cell r="B5">
            <v>35</v>
          </cell>
          <cell r="C5">
            <v>86</v>
          </cell>
        </row>
        <row r="6">
          <cell r="A6">
            <v>36867</v>
          </cell>
          <cell r="B6">
            <v>5</v>
          </cell>
          <cell r="C6">
            <v>91</v>
          </cell>
        </row>
        <row r="7">
          <cell r="A7">
            <v>36868</v>
          </cell>
          <cell r="B7">
            <v>18</v>
          </cell>
          <cell r="C7">
            <v>101</v>
          </cell>
        </row>
        <row r="8">
          <cell r="A8">
            <v>36871</v>
          </cell>
          <cell r="B8">
            <v>3</v>
          </cell>
          <cell r="C8">
            <v>99</v>
          </cell>
        </row>
        <row r="9">
          <cell r="A9">
            <v>36872</v>
          </cell>
          <cell r="B9">
            <v>4</v>
          </cell>
          <cell r="C9">
            <v>103</v>
          </cell>
        </row>
        <row r="10">
          <cell r="A10">
            <v>36873</v>
          </cell>
          <cell r="B10">
            <v>12</v>
          </cell>
          <cell r="C10">
            <v>110</v>
          </cell>
        </row>
        <row r="11">
          <cell r="A11">
            <v>36874</v>
          </cell>
          <cell r="B11">
            <v>7</v>
          </cell>
          <cell r="C11">
            <v>116</v>
          </cell>
        </row>
        <row r="12">
          <cell r="A12">
            <v>36875</v>
          </cell>
          <cell r="B12">
            <v>63</v>
          </cell>
          <cell r="C12">
            <v>161</v>
          </cell>
        </row>
        <row r="13">
          <cell r="A13">
            <v>36878</v>
          </cell>
          <cell r="B13">
            <v>28</v>
          </cell>
          <cell r="C13">
            <v>168</v>
          </cell>
        </row>
        <row r="14">
          <cell r="A14">
            <v>36879</v>
          </cell>
          <cell r="B14">
            <v>12</v>
          </cell>
          <cell r="C14">
            <v>172</v>
          </cell>
        </row>
        <row r="15">
          <cell r="A15">
            <v>36880</v>
          </cell>
          <cell r="B15">
            <v>14</v>
          </cell>
          <cell r="C15">
            <v>180</v>
          </cell>
        </row>
        <row r="16">
          <cell r="A16">
            <v>36881</v>
          </cell>
          <cell r="B16">
            <v>2</v>
          </cell>
          <cell r="C16">
            <v>182</v>
          </cell>
        </row>
        <row r="17">
          <cell r="A17">
            <v>36882</v>
          </cell>
          <cell r="B17">
            <v>11</v>
          </cell>
          <cell r="C17">
            <v>187</v>
          </cell>
        </row>
        <row r="18">
          <cell r="A18">
            <v>36886</v>
          </cell>
          <cell r="B18">
            <v>10</v>
          </cell>
          <cell r="C18">
            <v>3</v>
          </cell>
        </row>
        <row r="19">
          <cell r="A19">
            <v>36893</v>
          </cell>
          <cell r="B19">
            <v>32</v>
          </cell>
          <cell r="C19">
            <v>35</v>
          </cell>
        </row>
        <row r="20">
          <cell r="A20">
            <v>36894</v>
          </cell>
          <cell r="B20">
            <v>4</v>
          </cell>
          <cell r="C20">
            <v>39</v>
          </cell>
        </row>
        <row r="21">
          <cell r="A21">
            <v>36895</v>
          </cell>
          <cell r="B21">
            <v>2</v>
          </cell>
          <cell r="C21">
            <v>38</v>
          </cell>
        </row>
        <row r="22">
          <cell r="A22">
            <v>36896</v>
          </cell>
          <cell r="B22">
            <v>11</v>
          </cell>
          <cell r="C22">
            <v>49</v>
          </cell>
        </row>
        <row r="23">
          <cell r="A23">
            <v>36899</v>
          </cell>
          <cell r="B23">
            <v>2</v>
          </cell>
          <cell r="C23">
            <v>49</v>
          </cell>
        </row>
        <row r="24">
          <cell r="A24">
            <v>36900</v>
          </cell>
          <cell r="B24">
            <v>4</v>
          </cell>
          <cell r="C24">
            <v>53</v>
          </cell>
        </row>
        <row r="25">
          <cell r="A25">
            <v>36901</v>
          </cell>
          <cell r="B25">
            <v>6</v>
          </cell>
          <cell r="C25">
            <v>58</v>
          </cell>
        </row>
        <row r="26">
          <cell r="A26">
            <v>36902</v>
          </cell>
          <cell r="B26">
            <v>2</v>
          </cell>
          <cell r="C26">
            <v>59</v>
          </cell>
        </row>
        <row r="27">
          <cell r="A27">
            <v>36903</v>
          </cell>
          <cell r="B27">
            <v>1</v>
          </cell>
          <cell r="C27">
            <v>60</v>
          </cell>
        </row>
        <row r="28">
          <cell r="A28">
            <v>36906</v>
          </cell>
          <cell r="B28">
            <v>0</v>
          </cell>
          <cell r="C28">
            <v>60</v>
          </cell>
        </row>
        <row r="29">
          <cell r="A29">
            <v>36907</v>
          </cell>
          <cell r="B29">
            <v>2</v>
          </cell>
          <cell r="C29">
            <v>61</v>
          </cell>
        </row>
        <row r="30">
          <cell r="A30">
            <v>36908</v>
          </cell>
          <cell r="B30">
            <v>5</v>
          </cell>
          <cell r="C30">
            <v>66</v>
          </cell>
        </row>
        <row r="31">
          <cell r="A31">
            <v>36909</v>
          </cell>
          <cell r="B31">
            <v>0</v>
          </cell>
          <cell r="C31">
            <v>66</v>
          </cell>
        </row>
        <row r="32">
          <cell r="A32">
            <v>36910</v>
          </cell>
          <cell r="B32">
            <v>1</v>
          </cell>
          <cell r="C32">
            <v>66</v>
          </cell>
        </row>
        <row r="33">
          <cell r="A33">
            <v>36913</v>
          </cell>
          <cell r="B33">
            <v>10</v>
          </cell>
          <cell r="C33">
            <v>74</v>
          </cell>
        </row>
        <row r="34">
          <cell r="A34">
            <v>36917</v>
          </cell>
          <cell r="B34">
            <v>0</v>
          </cell>
          <cell r="C34">
            <v>74</v>
          </cell>
        </row>
        <row r="35">
          <cell r="A35">
            <v>36920</v>
          </cell>
          <cell r="B35">
            <v>2</v>
          </cell>
          <cell r="C35">
            <v>74</v>
          </cell>
        </row>
        <row r="36">
          <cell r="A36">
            <v>36921</v>
          </cell>
          <cell r="B36">
            <v>7</v>
          </cell>
          <cell r="C36">
            <v>78</v>
          </cell>
        </row>
        <row r="37">
          <cell r="A37">
            <v>36922</v>
          </cell>
          <cell r="B37">
            <v>2</v>
          </cell>
          <cell r="C37">
            <v>3</v>
          </cell>
        </row>
        <row r="38">
          <cell r="A38">
            <v>36924</v>
          </cell>
          <cell r="B38">
            <v>10</v>
          </cell>
          <cell r="C38">
            <v>13</v>
          </cell>
        </row>
        <row r="39">
          <cell r="A39">
            <v>36927</v>
          </cell>
          <cell r="B39">
            <v>14</v>
          </cell>
          <cell r="C39">
            <v>27</v>
          </cell>
        </row>
        <row r="40">
          <cell r="A40">
            <v>36928</v>
          </cell>
          <cell r="B40">
            <v>3</v>
          </cell>
          <cell r="C40">
            <v>30</v>
          </cell>
        </row>
        <row r="41">
          <cell r="A41">
            <v>36929</v>
          </cell>
          <cell r="B41">
            <v>5</v>
          </cell>
          <cell r="C41">
            <v>35</v>
          </cell>
        </row>
        <row r="42">
          <cell r="A42">
            <v>36930</v>
          </cell>
          <cell r="B42">
            <v>28</v>
          </cell>
          <cell r="C42">
            <v>53</v>
          </cell>
        </row>
        <row r="43">
          <cell r="A43">
            <v>36931</v>
          </cell>
          <cell r="B43">
            <v>34</v>
          </cell>
          <cell r="C43">
            <v>72</v>
          </cell>
        </row>
        <row r="44">
          <cell r="A44">
            <v>36934</v>
          </cell>
          <cell r="B44">
            <v>21</v>
          </cell>
          <cell r="C44">
            <v>87</v>
          </cell>
        </row>
        <row r="45">
          <cell r="A45">
            <v>36935</v>
          </cell>
          <cell r="B45">
            <v>11</v>
          </cell>
          <cell r="C45">
            <v>93</v>
          </cell>
        </row>
        <row r="46">
          <cell r="A46">
            <v>36936</v>
          </cell>
          <cell r="B46">
            <v>14</v>
          </cell>
          <cell r="C46">
            <v>100</v>
          </cell>
        </row>
        <row r="47">
          <cell r="A47">
            <v>36937</v>
          </cell>
          <cell r="B47">
            <v>0</v>
          </cell>
          <cell r="C47">
            <v>100</v>
          </cell>
        </row>
        <row r="48">
          <cell r="A48">
            <v>36938</v>
          </cell>
          <cell r="B48">
            <v>2</v>
          </cell>
          <cell r="C48">
            <v>98</v>
          </cell>
        </row>
        <row r="49">
          <cell r="A49">
            <v>36941</v>
          </cell>
          <cell r="B49">
            <v>6</v>
          </cell>
          <cell r="C49">
            <v>101</v>
          </cell>
        </row>
        <row r="50">
          <cell r="A50">
            <v>36942</v>
          </cell>
          <cell r="B50">
            <v>8</v>
          </cell>
          <cell r="C50">
            <v>109</v>
          </cell>
        </row>
        <row r="51">
          <cell r="A51">
            <v>36943</v>
          </cell>
          <cell r="B51">
            <v>7</v>
          </cell>
          <cell r="C51">
            <v>114</v>
          </cell>
        </row>
        <row r="52">
          <cell r="A52">
            <v>36944</v>
          </cell>
          <cell r="B52">
            <v>8</v>
          </cell>
          <cell r="C52">
            <v>117</v>
          </cell>
        </row>
        <row r="53">
          <cell r="A53">
            <v>36945</v>
          </cell>
          <cell r="B53">
            <v>5</v>
          </cell>
          <cell r="C53">
            <v>120</v>
          </cell>
        </row>
        <row r="54">
          <cell r="A54">
            <v>36948</v>
          </cell>
          <cell r="B54">
            <v>1</v>
          </cell>
          <cell r="C54">
            <v>121</v>
          </cell>
        </row>
        <row r="55">
          <cell r="A55">
            <v>36949</v>
          </cell>
          <cell r="B55">
            <v>1</v>
          </cell>
          <cell r="C55">
            <v>122</v>
          </cell>
        </row>
        <row r="56">
          <cell r="A56">
            <v>36950</v>
          </cell>
          <cell r="B56">
            <v>2</v>
          </cell>
          <cell r="C56">
            <v>1</v>
          </cell>
        </row>
        <row r="57">
          <cell r="A57">
            <v>36951</v>
          </cell>
          <cell r="B57">
            <v>24</v>
          </cell>
          <cell r="C57">
            <v>25</v>
          </cell>
        </row>
        <row r="58">
          <cell r="A58">
            <v>36952</v>
          </cell>
          <cell r="B58">
            <v>19</v>
          </cell>
          <cell r="C58">
            <v>43</v>
          </cell>
        </row>
        <row r="59">
          <cell r="A59">
            <v>36955</v>
          </cell>
          <cell r="B59">
            <v>13</v>
          </cell>
          <cell r="C59">
            <v>53</v>
          </cell>
        </row>
        <row r="60">
          <cell r="A60">
            <v>36957</v>
          </cell>
          <cell r="B60">
            <v>5</v>
          </cell>
          <cell r="C60">
            <v>57</v>
          </cell>
        </row>
        <row r="61">
          <cell r="A61">
            <v>36958</v>
          </cell>
          <cell r="B61">
            <v>5</v>
          </cell>
          <cell r="C61">
            <v>62</v>
          </cell>
        </row>
        <row r="62">
          <cell r="A62">
            <v>36959</v>
          </cell>
          <cell r="B62">
            <v>15</v>
          </cell>
          <cell r="C62">
            <v>62</v>
          </cell>
        </row>
        <row r="63">
          <cell r="A63">
            <v>36962</v>
          </cell>
          <cell r="B63">
            <v>8</v>
          </cell>
          <cell r="C63">
            <v>64</v>
          </cell>
        </row>
        <row r="64">
          <cell r="A64">
            <v>36963</v>
          </cell>
          <cell r="B64">
            <v>6</v>
          </cell>
          <cell r="C64">
            <v>64</v>
          </cell>
        </row>
        <row r="65">
          <cell r="A65">
            <v>36964</v>
          </cell>
          <cell r="B65">
            <v>5</v>
          </cell>
          <cell r="C65">
            <v>62</v>
          </cell>
        </row>
        <row r="66">
          <cell r="A66">
            <v>36965</v>
          </cell>
          <cell r="B66">
            <v>11</v>
          </cell>
          <cell r="C66">
            <v>73</v>
          </cell>
        </row>
        <row r="67">
          <cell r="A67">
            <v>36966</v>
          </cell>
          <cell r="B67">
            <v>6</v>
          </cell>
          <cell r="C67">
            <v>76</v>
          </cell>
        </row>
        <row r="68">
          <cell r="A68">
            <v>36969</v>
          </cell>
          <cell r="B68">
            <v>8</v>
          </cell>
          <cell r="C68">
            <v>82</v>
          </cell>
        </row>
        <row r="69">
          <cell r="A69">
            <v>36970</v>
          </cell>
          <cell r="B69">
            <v>12</v>
          </cell>
          <cell r="C69">
            <v>91</v>
          </cell>
        </row>
        <row r="70">
          <cell r="A70">
            <v>36971</v>
          </cell>
          <cell r="B70">
            <v>0</v>
          </cell>
          <cell r="C70">
            <v>91</v>
          </cell>
        </row>
        <row r="71">
          <cell r="A71">
            <v>36972</v>
          </cell>
          <cell r="B71">
            <v>1</v>
          </cell>
          <cell r="C71">
            <v>92</v>
          </cell>
        </row>
        <row r="72">
          <cell r="A72">
            <v>36973</v>
          </cell>
          <cell r="B72">
            <v>7</v>
          </cell>
          <cell r="C72">
            <v>99</v>
          </cell>
        </row>
        <row r="73">
          <cell r="A73">
            <v>36977</v>
          </cell>
          <cell r="B73">
            <v>13</v>
          </cell>
          <cell r="C73">
            <v>112</v>
          </cell>
        </row>
        <row r="74">
          <cell r="A74">
            <v>36978</v>
          </cell>
          <cell r="B74">
            <v>3</v>
          </cell>
          <cell r="C74">
            <v>115</v>
          </cell>
        </row>
        <row r="75">
          <cell r="A75">
            <v>36979</v>
          </cell>
          <cell r="B75">
            <v>5</v>
          </cell>
          <cell r="C75">
            <v>120</v>
          </cell>
        </row>
        <row r="76">
          <cell r="A76">
            <v>36980</v>
          </cell>
          <cell r="B76">
            <v>4</v>
          </cell>
          <cell r="C76">
            <v>4</v>
          </cell>
        </row>
        <row r="77">
          <cell r="A77">
            <v>36983</v>
          </cell>
          <cell r="B77">
            <v>5</v>
          </cell>
          <cell r="C77">
            <v>9</v>
          </cell>
        </row>
        <row r="78">
          <cell r="A78">
            <v>36984</v>
          </cell>
          <cell r="B78">
            <v>6</v>
          </cell>
          <cell r="C78">
            <v>15</v>
          </cell>
        </row>
        <row r="79">
          <cell r="A79">
            <v>36985</v>
          </cell>
          <cell r="B79">
            <v>1</v>
          </cell>
          <cell r="C79">
            <v>15</v>
          </cell>
        </row>
        <row r="80">
          <cell r="A80">
            <v>36986</v>
          </cell>
          <cell r="B80">
            <v>0</v>
          </cell>
          <cell r="C80">
            <v>15</v>
          </cell>
        </row>
        <row r="81">
          <cell r="A81">
            <v>36987</v>
          </cell>
          <cell r="B81">
            <v>9</v>
          </cell>
          <cell r="C81">
            <v>24</v>
          </cell>
        </row>
        <row r="82">
          <cell r="A82">
            <v>36990</v>
          </cell>
          <cell r="B82">
            <v>13</v>
          </cell>
          <cell r="C82">
            <v>35</v>
          </cell>
        </row>
        <row r="83">
          <cell r="A83">
            <v>36991</v>
          </cell>
          <cell r="B83">
            <v>11</v>
          </cell>
          <cell r="C83">
            <v>44</v>
          </cell>
        </row>
        <row r="84">
          <cell r="A84">
            <v>36992</v>
          </cell>
          <cell r="B84">
            <v>2</v>
          </cell>
          <cell r="C84">
            <v>46</v>
          </cell>
        </row>
        <row r="85">
          <cell r="A85">
            <v>36993</v>
          </cell>
          <cell r="B85">
            <v>3</v>
          </cell>
          <cell r="C85">
            <v>48</v>
          </cell>
        </row>
        <row r="86">
          <cell r="A86">
            <v>36994</v>
          </cell>
          <cell r="B86">
            <v>2</v>
          </cell>
          <cell r="C86">
            <v>49</v>
          </cell>
        </row>
        <row r="87">
          <cell r="A87">
            <v>36997</v>
          </cell>
          <cell r="B87">
            <v>4</v>
          </cell>
          <cell r="C87">
            <v>52</v>
          </cell>
        </row>
        <row r="88">
          <cell r="A88">
            <v>36998</v>
          </cell>
          <cell r="B88">
            <v>3</v>
          </cell>
          <cell r="C88">
            <v>55</v>
          </cell>
        </row>
        <row r="89">
          <cell r="A89">
            <v>36999</v>
          </cell>
          <cell r="B89">
            <v>4</v>
          </cell>
          <cell r="C89">
            <v>59</v>
          </cell>
        </row>
        <row r="90">
          <cell r="A90">
            <v>37000</v>
          </cell>
          <cell r="B90">
            <v>1</v>
          </cell>
          <cell r="C90">
            <v>56</v>
          </cell>
        </row>
        <row r="91">
          <cell r="A91">
            <v>37001</v>
          </cell>
          <cell r="B91">
            <v>4</v>
          </cell>
          <cell r="C91">
            <v>62</v>
          </cell>
        </row>
        <row r="92">
          <cell r="A92">
            <v>37004</v>
          </cell>
          <cell r="B92">
            <v>4</v>
          </cell>
          <cell r="C92">
            <v>64</v>
          </cell>
        </row>
        <row r="93">
          <cell r="A93">
            <v>37005</v>
          </cell>
          <cell r="B93">
            <v>3</v>
          </cell>
          <cell r="C93">
            <v>65</v>
          </cell>
        </row>
        <row r="94">
          <cell r="A94">
            <v>37006</v>
          </cell>
          <cell r="B94">
            <v>1</v>
          </cell>
          <cell r="C94">
            <v>66</v>
          </cell>
        </row>
        <row r="95">
          <cell r="A95">
            <v>37007</v>
          </cell>
          <cell r="B95">
            <v>0</v>
          </cell>
          <cell r="C95">
            <v>66</v>
          </cell>
        </row>
        <row r="96">
          <cell r="A96">
            <v>37008</v>
          </cell>
          <cell r="B96">
            <v>2</v>
          </cell>
          <cell r="C96">
            <v>64</v>
          </cell>
        </row>
        <row r="97">
          <cell r="A97">
            <v>37011</v>
          </cell>
          <cell r="B97">
            <v>2</v>
          </cell>
          <cell r="C97">
            <v>2</v>
          </cell>
        </row>
        <row r="98">
          <cell r="A98">
            <v>37013</v>
          </cell>
          <cell r="B98">
            <v>5</v>
          </cell>
          <cell r="C98">
            <v>6</v>
          </cell>
        </row>
        <row r="99">
          <cell r="A99">
            <v>37014</v>
          </cell>
          <cell r="B99">
            <v>3</v>
          </cell>
          <cell r="C99">
            <v>7</v>
          </cell>
        </row>
        <row r="100">
          <cell r="A100">
            <v>37015</v>
          </cell>
          <cell r="B100">
            <v>5</v>
          </cell>
          <cell r="C100">
            <v>12</v>
          </cell>
        </row>
        <row r="101">
          <cell r="A101">
            <v>37019</v>
          </cell>
          <cell r="B101">
            <v>0</v>
          </cell>
          <cell r="C101">
            <v>12</v>
          </cell>
        </row>
        <row r="102">
          <cell r="A102">
            <v>37020</v>
          </cell>
          <cell r="B102">
            <v>0</v>
          </cell>
          <cell r="C102">
            <v>12</v>
          </cell>
        </row>
        <row r="103">
          <cell r="A103">
            <v>37021</v>
          </cell>
          <cell r="B103">
            <v>1</v>
          </cell>
          <cell r="C103">
            <v>13</v>
          </cell>
        </row>
        <row r="104">
          <cell r="A104">
            <v>37022</v>
          </cell>
          <cell r="B104">
            <v>0</v>
          </cell>
          <cell r="C104">
            <v>13</v>
          </cell>
        </row>
        <row r="105">
          <cell r="A105">
            <v>37025</v>
          </cell>
          <cell r="B105">
            <v>2</v>
          </cell>
          <cell r="C105">
            <v>14</v>
          </cell>
        </row>
        <row r="106">
          <cell r="A106">
            <v>37026</v>
          </cell>
          <cell r="B106">
            <v>2</v>
          </cell>
          <cell r="C106">
            <v>15</v>
          </cell>
        </row>
        <row r="107">
          <cell r="A107">
            <v>37027</v>
          </cell>
          <cell r="B107">
            <v>2</v>
          </cell>
          <cell r="C107">
            <v>15</v>
          </cell>
        </row>
        <row r="108">
          <cell r="A108">
            <v>37028</v>
          </cell>
          <cell r="B108">
            <v>1</v>
          </cell>
          <cell r="C108">
            <v>16</v>
          </cell>
        </row>
        <row r="109">
          <cell r="A109">
            <v>37029</v>
          </cell>
          <cell r="B109">
            <v>0</v>
          </cell>
          <cell r="C109">
            <v>16</v>
          </cell>
        </row>
        <row r="110">
          <cell r="A110">
            <v>37032</v>
          </cell>
          <cell r="B110">
            <v>0</v>
          </cell>
          <cell r="C110">
            <v>16</v>
          </cell>
        </row>
        <row r="111">
          <cell r="A111">
            <v>37033</v>
          </cell>
          <cell r="B111">
            <v>0</v>
          </cell>
          <cell r="C111">
            <v>16</v>
          </cell>
        </row>
        <row r="112">
          <cell r="A112">
            <v>37034</v>
          </cell>
          <cell r="B112">
            <v>1</v>
          </cell>
          <cell r="C112">
            <v>16</v>
          </cell>
        </row>
        <row r="113">
          <cell r="A113">
            <v>37035</v>
          </cell>
          <cell r="B113">
            <v>3</v>
          </cell>
          <cell r="C113">
            <v>18</v>
          </cell>
        </row>
        <row r="114">
          <cell r="A114">
            <v>37036</v>
          </cell>
          <cell r="B114">
            <v>1</v>
          </cell>
          <cell r="C114">
            <v>19</v>
          </cell>
        </row>
        <row r="115">
          <cell r="A115">
            <v>37039</v>
          </cell>
          <cell r="B115">
            <v>1</v>
          </cell>
          <cell r="C115">
            <v>20</v>
          </cell>
        </row>
        <row r="116">
          <cell r="A116">
            <v>37040</v>
          </cell>
          <cell r="B116">
            <v>0</v>
          </cell>
          <cell r="C116">
            <v>20</v>
          </cell>
        </row>
        <row r="117">
          <cell r="A117">
            <v>37041</v>
          </cell>
          <cell r="B117">
            <v>1</v>
          </cell>
          <cell r="C117">
            <v>21</v>
          </cell>
        </row>
        <row r="118">
          <cell r="A118">
            <v>37042</v>
          </cell>
          <cell r="B118">
            <v>2</v>
          </cell>
          <cell r="C118">
            <v>2</v>
          </cell>
        </row>
        <row r="119">
          <cell r="A119">
            <v>37043</v>
          </cell>
          <cell r="B119">
            <v>0</v>
          </cell>
          <cell r="C119">
            <v>2</v>
          </cell>
        </row>
        <row r="120">
          <cell r="A120">
            <v>37047</v>
          </cell>
          <cell r="B120">
            <v>0</v>
          </cell>
          <cell r="C120">
            <v>2</v>
          </cell>
        </row>
        <row r="121">
          <cell r="A121">
            <v>37048</v>
          </cell>
          <cell r="B121">
            <v>0</v>
          </cell>
          <cell r="C121">
            <v>2</v>
          </cell>
        </row>
        <row r="122">
          <cell r="A122">
            <v>37049</v>
          </cell>
          <cell r="B122">
            <v>0</v>
          </cell>
          <cell r="C122">
            <v>2</v>
          </cell>
        </row>
        <row r="123">
          <cell r="A123">
            <v>37050</v>
          </cell>
          <cell r="B123">
            <v>1</v>
          </cell>
          <cell r="C123">
            <v>3</v>
          </cell>
        </row>
        <row r="124">
          <cell r="A124">
            <v>37053</v>
          </cell>
          <cell r="B124">
            <v>0</v>
          </cell>
          <cell r="C124">
            <v>3</v>
          </cell>
        </row>
        <row r="125">
          <cell r="A125">
            <v>37054</v>
          </cell>
          <cell r="B125">
            <v>1</v>
          </cell>
          <cell r="C125">
            <v>4</v>
          </cell>
        </row>
        <row r="126">
          <cell r="A126">
            <v>37055</v>
          </cell>
          <cell r="B126">
            <v>0</v>
          </cell>
          <cell r="C126">
            <v>4</v>
          </cell>
        </row>
        <row r="127">
          <cell r="A127">
            <v>37056</v>
          </cell>
          <cell r="B127">
            <v>0</v>
          </cell>
          <cell r="C127">
            <v>4</v>
          </cell>
        </row>
        <row r="128">
          <cell r="A128">
            <v>37057</v>
          </cell>
          <cell r="B128">
            <v>0</v>
          </cell>
          <cell r="C128">
            <v>4</v>
          </cell>
        </row>
        <row r="129">
          <cell r="A129">
            <v>37060</v>
          </cell>
          <cell r="B129">
            <v>0</v>
          </cell>
          <cell r="C129">
            <v>4</v>
          </cell>
        </row>
        <row r="130">
          <cell r="A130">
            <v>37061</v>
          </cell>
          <cell r="B130">
            <v>0</v>
          </cell>
          <cell r="C130">
            <v>4</v>
          </cell>
        </row>
        <row r="131">
          <cell r="A131">
            <v>37062</v>
          </cell>
          <cell r="B131">
            <v>0</v>
          </cell>
          <cell r="C131">
            <v>4</v>
          </cell>
        </row>
        <row r="132">
          <cell r="A132">
            <v>37063</v>
          </cell>
          <cell r="B132">
            <v>0</v>
          </cell>
          <cell r="C132">
            <v>4</v>
          </cell>
        </row>
        <row r="133">
          <cell r="A133">
            <v>37064</v>
          </cell>
          <cell r="B133">
            <v>0</v>
          </cell>
          <cell r="C133">
            <v>4</v>
          </cell>
        </row>
        <row r="134">
          <cell r="A134">
            <v>37067</v>
          </cell>
          <cell r="B134">
            <v>0</v>
          </cell>
          <cell r="C134">
            <v>4</v>
          </cell>
        </row>
        <row r="135">
          <cell r="A135">
            <v>37068</v>
          </cell>
          <cell r="B135">
            <v>0</v>
          </cell>
          <cell r="C135">
            <v>4</v>
          </cell>
        </row>
        <row r="136">
          <cell r="A136">
            <v>37069</v>
          </cell>
          <cell r="B136">
            <v>0</v>
          </cell>
          <cell r="C136">
            <v>4</v>
          </cell>
        </row>
        <row r="137">
          <cell r="A137">
            <v>37070</v>
          </cell>
          <cell r="B137">
            <v>0</v>
          </cell>
          <cell r="C137">
            <v>4</v>
          </cell>
        </row>
        <row r="138">
          <cell r="A138">
            <v>37071</v>
          </cell>
          <cell r="B138">
            <v>0</v>
          </cell>
          <cell r="C138">
            <v>0</v>
          </cell>
        </row>
        <row r="139">
          <cell r="A139">
            <v>37074</v>
          </cell>
          <cell r="B139">
            <v>0</v>
          </cell>
          <cell r="C139">
            <v>0</v>
          </cell>
        </row>
        <row r="140">
          <cell r="A140">
            <v>37075</v>
          </cell>
          <cell r="B140">
            <v>0</v>
          </cell>
          <cell r="C140">
            <v>0</v>
          </cell>
        </row>
        <row r="141">
          <cell r="A141">
            <v>37076</v>
          </cell>
          <cell r="B141">
            <v>0</v>
          </cell>
          <cell r="C141">
            <v>0</v>
          </cell>
        </row>
        <row r="142">
          <cell r="A142">
            <v>37077</v>
          </cell>
          <cell r="B142">
            <v>1</v>
          </cell>
          <cell r="C142">
            <v>1</v>
          </cell>
        </row>
        <row r="143">
          <cell r="A143">
            <v>37078</v>
          </cell>
          <cell r="B143">
            <v>0</v>
          </cell>
          <cell r="C143">
            <v>1</v>
          </cell>
        </row>
        <row r="144">
          <cell r="A144">
            <v>37081</v>
          </cell>
          <cell r="B144">
            <v>0</v>
          </cell>
          <cell r="C144">
            <v>1</v>
          </cell>
        </row>
        <row r="145">
          <cell r="A145">
            <v>37082</v>
          </cell>
          <cell r="B145">
            <v>0</v>
          </cell>
          <cell r="C145">
            <v>1</v>
          </cell>
        </row>
        <row r="146">
          <cell r="A146">
            <v>37083</v>
          </cell>
          <cell r="B146">
            <v>0</v>
          </cell>
          <cell r="C146">
            <v>1</v>
          </cell>
        </row>
        <row r="147">
          <cell r="A147">
            <v>37084</v>
          </cell>
          <cell r="B147">
            <v>0</v>
          </cell>
          <cell r="C147">
            <v>1</v>
          </cell>
        </row>
        <row r="148">
          <cell r="A148">
            <v>37085</v>
          </cell>
          <cell r="B148">
            <v>0</v>
          </cell>
          <cell r="C148">
            <v>1</v>
          </cell>
        </row>
        <row r="149">
          <cell r="A149">
            <v>37088</v>
          </cell>
          <cell r="B149">
            <v>0</v>
          </cell>
          <cell r="C149">
            <v>1</v>
          </cell>
        </row>
        <row r="150">
          <cell r="A150">
            <v>37089</v>
          </cell>
          <cell r="B150">
            <v>0</v>
          </cell>
          <cell r="C150">
            <v>1</v>
          </cell>
        </row>
        <row r="151">
          <cell r="A151">
            <v>37090</v>
          </cell>
          <cell r="B151">
            <v>0</v>
          </cell>
          <cell r="C151">
            <v>1</v>
          </cell>
        </row>
        <row r="152">
          <cell r="A152">
            <v>37091</v>
          </cell>
          <cell r="B152">
            <v>0</v>
          </cell>
          <cell r="C152">
            <v>1</v>
          </cell>
        </row>
        <row r="153">
          <cell r="A153">
            <v>37092</v>
          </cell>
          <cell r="B153">
            <v>0</v>
          </cell>
          <cell r="C153">
            <v>1</v>
          </cell>
        </row>
        <row r="154">
          <cell r="A154">
            <v>37095</v>
          </cell>
          <cell r="B154">
            <v>0</v>
          </cell>
          <cell r="C154">
            <v>1</v>
          </cell>
        </row>
        <row r="155">
          <cell r="A155">
            <v>37096</v>
          </cell>
          <cell r="B155">
            <v>0</v>
          </cell>
          <cell r="C155">
            <v>1</v>
          </cell>
        </row>
        <row r="156">
          <cell r="A156">
            <v>37097</v>
          </cell>
          <cell r="B156">
            <v>0</v>
          </cell>
          <cell r="C156">
            <v>1</v>
          </cell>
        </row>
        <row r="157">
          <cell r="A157">
            <v>37098</v>
          </cell>
          <cell r="B157">
            <v>0</v>
          </cell>
          <cell r="C157">
            <v>1</v>
          </cell>
        </row>
        <row r="158">
          <cell r="A158">
            <v>37099</v>
          </cell>
          <cell r="B158">
            <v>0</v>
          </cell>
          <cell r="C158">
            <v>1</v>
          </cell>
        </row>
        <row r="159">
          <cell r="A159">
            <v>37102</v>
          </cell>
          <cell r="B159">
            <v>0</v>
          </cell>
          <cell r="C159">
            <v>1</v>
          </cell>
        </row>
        <row r="160">
          <cell r="A160">
            <v>37103</v>
          </cell>
          <cell r="B160">
            <v>0</v>
          </cell>
          <cell r="C160">
            <v>0</v>
          </cell>
        </row>
        <row r="161">
          <cell r="A161">
            <v>37104</v>
          </cell>
          <cell r="B161">
            <v>2</v>
          </cell>
          <cell r="C161">
            <v>2</v>
          </cell>
        </row>
        <row r="162">
          <cell r="A162">
            <v>37105</v>
          </cell>
          <cell r="B162">
            <v>0</v>
          </cell>
          <cell r="C162">
            <v>2</v>
          </cell>
        </row>
        <row r="163">
          <cell r="A163">
            <v>37106</v>
          </cell>
          <cell r="B163">
            <v>0</v>
          </cell>
          <cell r="C163">
            <v>2</v>
          </cell>
        </row>
        <row r="164">
          <cell r="A164">
            <v>37109</v>
          </cell>
          <cell r="B164">
            <v>0</v>
          </cell>
          <cell r="C164">
            <v>2</v>
          </cell>
        </row>
        <row r="165">
          <cell r="A165">
            <v>37110</v>
          </cell>
          <cell r="B165">
            <v>0</v>
          </cell>
          <cell r="C165">
            <v>2</v>
          </cell>
        </row>
        <row r="166">
          <cell r="A166">
            <v>37111</v>
          </cell>
          <cell r="B166">
            <v>0</v>
          </cell>
          <cell r="C166">
            <v>2</v>
          </cell>
        </row>
        <row r="167">
          <cell r="A167">
            <v>37112</v>
          </cell>
          <cell r="B167">
            <v>0</v>
          </cell>
          <cell r="C167">
            <v>2</v>
          </cell>
        </row>
        <row r="168">
          <cell r="A168">
            <v>37113</v>
          </cell>
          <cell r="B168">
            <v>0</v>
          </cell>
          <cell r="C168">
            <v>2</v>
          </cell>
        </row>
        <row r="169">
          <cell r="A169">
            <v>37116</v>
          </cell>
          <cell r="B169">
            <v>0</v>
          </cell>
          <cell r="C169">
            <v>2</v>
          </cell>
        </row>
        <row r="170">
          <cell r="A170">
            <v>37117</v>
          </cell>
          <cell r="B170">
            <v>1</v>
          </cell>
          <cell r="C170">
            <v>2</v>
          </cell>
        </row>
        <row r="171">
          <cell r="A171">
            <v>37118</v>
          </cell>
          <cell r="B171">
            <v>0</v>
          </cell>
          <cell r="C171">
            <v>2</v>
          </cell>
        </row>
        <row r="172">
          <cell r="A172">
            <v>37119</v>
          </cell>
          <cell r="B172">
            <v>0</v>
          </cell>
          <cell r="C172">
            <v>2</v>
          </cell>
        </row>
        <row r="173">
          <cell r="A173">
            <v>37120</v>
          </cell>
          <cell r="B173">
            <v>1</v>
          </cell>
          <cell r="C173">
            <v>2</v>
          </cell>
        </row>
        <row r="174">
          <cell r="A174">
            <v>37123</v>
          </cell>
          <cell r="B174">
            <v>0</v>
          </cell>
          <cell r="C174">
            <v>2</v>
          </cell>
        </row>
        <row r="175">
          <cell r="A175">
            <v>37124</v>
          </cell>
          <cell r="B175">
            <v>0</v>
          </cell>
          <cell r="C175">
            <v>2</v>
          </cell>
        </row>
        <row r="176">
          <cell r="A176">
            <v>37125</v>
          </cell>
          <cell r="B176">
            <v>0</v>
          </cell>
          <cell r="C176">
            <v>2</v>
          </cell>
        </row>
        <row r="177">
          <cell r="A177">
            <v>37126</v>
          </cell>
          <cell r="B177">
            <v>0</v>
          </cell>
          <cell r="C177">
            <v>2</v>
          </cell>
        </row>
        <row r="178">
          <cell r="A178">
            <v>37127</v>
          </cell>
          <cell r="B178">
            <v>0</v>
          </cell>
          <cell r="C178">
            <v>2</v>
          </cell>
        </row>
        <row r="179">
          <cell r="A179">
            <v>37130</v>
          </cell>
          <cell r="B179">
            <v>0</v>
          </cell>
          <cell r="C179">
            <v>2</v>
          </cell>
        </row>
        <row r="180">
          <cell r="A180">
            <v>37131</v>
          </cell>
          <cell r="B180">
            <v>1</v>
          </cell>
          <cell r="C180">
            <v>2</v>
          </cell>
        </row>
        <row r="181">
          <cell r="A181">
            <v>37132</v>
          </cell>
          <cell r="B181">
            <v>0</v>
          </cell>
          <cell r="C181">
            <v>2</v>
          </cell>
        </row>
        <row r="182">
          <cell r="A182">
            <v>37133</v>
          </cell>
          <cell r="B182">
            <v>0</v>
          </cell>
          <cell r="C182">
            <v>0</v>
          </cell>
        </row>
        <row r="183">
          <cell r="A183">
            <v>37137</v>
          </cell>
          <cell r="B183">
            <v>0</v>
          </cell>
          <cell r="C183">
            <v>0</v>
          </cell>
        </row>
        <row r="184">
          <cell r="A184">
            <v>37138</v>
          </cell>
          <cell r="B184">
            <v>1</v>
          </cell>
          <cell r="C184">
            <v>1</v>
          </cell>
        </row>
        <row r="185">
          <cell r="A185">
            <v>37139</v>
          </cell>
          <cell r="B185">
            <v>0</v>
          </cell>
          <cell r="C185">
            <v>1</v>
          </cell>
        </row>
        <row r="186">
          <cell r="A186">
            <v>37140</v>
          </cell>
          <cell r="B186">
            <v>0</v>
          </cell>
          <cell r="C186">
            <v>1</v>
          </cell>
        </row>
        <row r="187">
          <cell r="A187">
            <v>37141</v>
          </cell>
          <cell r="B187">
            <v>0</v>
          </cell>
          <cell r="C187">
            <v>1</v>
          </cell>
        </row>
        <row r="188">
          <cell r="A188">
            <v>37144</v>
          </cell>
          <cell r="B188">
            <v>1</v>
          </cell>
          <cell r="C188">
            <v>2</v>
          </cell>
        </row>
        <row r="189">
          <cell r="A189">
            <v>37145</v>
          </cell>
          <cell r="B189">
            <v>0</v>
          </cell>
          <cell r="C189">
            <v>2</v>
          </cell>
        </row>
        <row r="190">
          <cell r="A190">
            <v>37147</v>
          </cell>
          <cell r="B190">
            <v>0</v>
          </cell>
          <cell r="C190">
            <v>2</v>
          </cell>
        </row>
        <row r="191">
          <cell r="A191">
            <v>37148</v>
          </cell>
          <cell r="B191">
            <v>0</v>
          </cell>
          <cell r="C191">
            <v>2</v>
          </cell>
        </row>
        <row r="192">
          <cell r="A192">
            <v>37151</v>
          </cell>
          <cell r="B192">
            <v>0</v>
          </cell>
          <cell r="C192">
            <v>2</v>
          </cell>
        </row>
        <row r="193">
          <cell r="A193">
            <v>37152</v>
          </cell>
          <cell r="B193">
            <v>0</v>
          </cell>
          <cell r="C193">
            <v>2</v>
          </cell>
        </row>
        <row r="194">
          <cell r="A194">
            <v>37153</v>
          </cell>
          <cell r="B194">
            <v>0</v>
          </cell>
          <cell r="C194">
            <v>2</v>
          </cell>
        </row>
        <row r="195">
          <cell r="A195">
            <v>37154</v>
          </cell>
          <cell r="B195">
            <v>0</v>
          </cell>
          <cell r="C195">
            <v>2</v>
          </cell>
        </row>
        <row r="196">
          <cell r="A196">
            <v>37155</v>
          </cell>
          <cell r="B196">
            <v>0</v>
          </cell>
          <cell r="C196">
            <v>2</v>
          </cell>
        </row>
        <row r="197">
          <cell r="A197">
            <v>37158</v>
          </cell>
          <cell r="B197">
            <v>0</v>
          </cell>
          <cell r="C197">
            <v>2</v>
          </cell>
        </row>
        <row r="198">
          <cell r="A198">
            <v>37159</v>
          </cell>
          <cell r="B198">
            <v>0</v>
          </cell>
          <cell r="C198">
            <v>2</v>
          </cell>
        </row>
        <row r="199">
          <cell r="A199">
            <v>37160</v>
          </cell>
          <cell r="B199">
            <v>0</v>
          </cell>
          <cell r="C199">
            <v>2</v>
          </cell>
        </row>
        <row r="200">
          <cell r="A200">
            <v>37161</v>
          </cell>
          <cell r="B200">
            <v>0</v>
          </cell>
          <cell r="C200">
            <v>2</v>
          </cell>
        </row>
        <row r="201">
          <cell r="A201">
            <v>37162</v>
          </cell>
          <cell r="B201">
            <v>2</v>
          </cell>
          <cell r="C201">
            <v>0</v>
          </cell>
        </row>
        <row r="202">
          <cell r="A202">
            <v>37165</v>
          </cell>
          <cell r="B202">
            <v>0</v>
          </cell>
          <cell r="C202">
            <v>0</v>
          </cell>
        </row>
        <row r="203">
          <cell r="A203">
            <v>37166</v>
          </cell>
          <cell r="B203">
            <v>0</v>
          </cell>
          <cell r="C203">
            <v>0</v>
          </cell>
        </row>
        <row r="204">
          <cell r="A204">
            <v>37167</v>
          </cell>
          <cell r="B204">
            <v>0</v>
          </cell>
          <cell r="C204">
            <v>0</v>
          </cell>
        </row>
        <row r="205">
          <cell r="A205">
            <v>37168</v>
          </cell>
          <cell r="B205">
            <v>0</v>
          </cell>
          <cell r="C205">
            <v>0</v>
          </cell>
        </row>
        <row r="206">
          <cell r="A206">
            <v>37169</v>
          </cell>
          <cell r="B206">
            <v>0</v>
          </cell>
          <cell r="C206">
            <v>0</v>
          </cell>
        </row>
        <row r="207">
          <cell r="A207">
            <v>37172</v>
          </cell>
          <cell r="B207">
            <v>0</v>
          </cell>
          <cell r="C207">
            <v>0</v>
          </cell>
        </row>
        <row r="208">
          <cell r="A208">
            <v>37173</v>
          </cell>
          <cell r="B208">
            <v>0</v>
          </cell>
          <cell r="C208">
            <v>0</v>
          </cell>
        </row>
        <row r="209">
          <cell r="A209">
            <v>37174</v>
          </cell>
          <cell r="B209">
            <v>0</v>
          </cell>
          <cell r="C209">
            <v>0</v>
          </cell>
        </row>
        <row r="210">
          <cell r="A210">
            <v>37175</v>
          </cell>
          <cell r="B210">
            <v>0</v>
          </cell>
          <cell r="C210">
            <v>0</v>
          </cell>
        </row>
        <row r="211">
          <cell r="A211">
            <v>37176</v>
          </cell>
          <cell r="B211">
            <v>0</v>
          </cell>
          <cell r="C211">
            <v>0</v>
          </cell>
        </row>
        <row r="212">
          <cell r="A212">
            <v>37179</v>
          </cell>
          <cell r="B212">
            <v>0</v>
          </cell>
          <cell r="C212">
            <v>0</v>
          </cell>
        </row>
        <row r="213">
          <cell r="A213">
            <v>37180</v>
          </cell>
          <cell r="B213">
            <v>0</v>
          </cell>
          <cell r="C213">
            <v>0</v>
          </cell>
        </row>
        <row r="214">
          <cell r="A214">
            <v>37181</v>
          </cell>
          <cell r="B214">
            <v>0</v>
          </cell>
          <cell r="C214">
            <v>0</v>
          </cell>
        </row>
        <row r="215">
          <cell r="A215">
            <v>37182</v>
          </cell>
          <cell r="B215">
            <v>0</v>
          </cell>
          <cell r="C215">
            <v>0</v>
          </cell>
        </row>
        <row r="216">
          <cell r="A216">
            <v>37183</v>
          </cell>
          <cell r="B216">
            <v>0</v>
          </cell>
          <cell r="C216">
            <v>0</v>
          </cell>
        </row>
        <row r="217">
          <cell r="A217">
            <v>37186</v>
          </cell>
          <cell r="B217">
            <v>0</v>
          </cell>
          <cell r="C217">
            <v>0</v>
          </cell>
        </row>
        <row r="218">
          <cell r="A218">
            <v>37187</v>
          </cell>
          <cell r="B218">
            <v>0</v>
          </cell>
          <cell r="C218">
            <v>0</v>
          </cell>
        </row>
        <row r="219">
          <cell r="A219">
            <v>37188</v>
          </cell>
          <cell r="B219">
            <v>0</v>
          </cell>
          <cell r="C219">
            <v>0</v>
          </cell>
        </row>
        <row r="220">
          <cell r="A220">
            <v>37189</v>
          </cell>
          <cell r="B220">
            <v>0</v>
          </cell>
          <cell r="C220">
            <v>0</v>
          </cell>
        </row>
        <row r="221">
          <cell r="A221">
            <v>37190</v>
          </cell>
          <cell r="B221">
            <v>0</v>
          </cell>
          <cell r="C221">
            <v>0</v>
          </cell>
        </row>
        <row r="222">
          <cell r="A222">
            <v>37193</v>
          </cell>
          <cell r="B222">
            <v>0</v>
          </cell>
          <cell r="C222">
            <v>0</v>
          </cell>
        </row>
        <row r="223">
          <cell r="A223">
            <v>37194</v>
          </cell>
          <cell r="B223">
            <v>1</v>
          </cell>
          <cell r="C223">
            <v>1</v>
          </cell>
        </row>
        <row r="224">
          <cell r="A224">
            <v>37195</v>
          </cell>
          <cell r="B224">
            <v>0</v>
          </cell>
          <cell r="C224">
            <v>0</v>
          </cell>
        </row>
        <row r="225">
          <cell r="A225">
            <v>37196</v>
          </cell>
          <cell r="B225">
            <v>0</v>
          </cell>
          <cell r="C225">
            <v>0</v>
          </cell>
        </row>
        <row r="226">
          <cell r="A226">
            <v>37197</v>
          </cell>
          <cell r="B226">
            <v>0</v>
          </cell>
          <cell r="C226">
            <v>0</v>
          </cell>
        </row>
        <row r="227">
          <cell r="A227">
            <v>37200</v>
          </cell>
          <cell r="B227">
            <v>0</v>
          </cell>
          <cell r="C227">
            <v>0</v>
          </cell>
        </row>
        <row r="228">
          <cell r="A228">
            <v>37201</v>
          </cell>
          <cell r="B228">
            <v>0</v>
          </cell>
          <cell r="C228">
            <v>0</v>
          </cell>
        </row>
        <row r="229">
          <cell r="A229">
            <v>37202</v>
          </cell>
          <cell r="B229">
            <v>0</v>
          </cell>
          <cell r="C229">
            <v>0</v>
          </cell>
        </row>
        <row r="230">
          <cell r="A230">
            <v>37203</v>
          </cell>
          <cell r="B230">
            <v>0</v>
          </cell>
          <cell r="C230">
            <v>0</v>
          </cell>
        </row>
        <row r="231">
          <cell r="A231">
            <v>37204</v>
          </cell>
          <cell r="B231">
            <v>0</v>
          </cell>
          <cell r="C231">
            <v>0</v>
          </cell>
        </row>
        <row r="232">
          <cell r="A232">
            <v>37207</v>
          </cell>
          <cell r="B232">
            <v>0</v>
          </cell>
          <cell r="C232">
            <v>0</v>
          </cell>
        </row>
        <row r="233">
          <cell r="A233">
            <v>37208</v>
          </cell>
          <cell r="B233">
            <v>0</v>
          </cell>
          <cell r="C233">
            <v>0</v>
          </cell>
        </row>
        <row r="234">
          <cell r="A234">
            <v>37210</v>
          </cell>
          <cell r="B234">
            <v>0</v>
          </cell>
          <cell r="C234">
            <v>0</v>
          </cell>
        </row>
        <row r="235">
          <cell r="A235">
            <v>37211</v>
          </cell>
          <cell r="B235">
            <v>0</v>
          </cell>
          <cell r="C235">
            <v>0</v>
          </cell>
        </row>
        <row r="236">
          <cell r="A236">
            <v>37214</v>
          </cell>
          <cell r="B236">
            <v>0</v>
          </cell>
          <cell r="C236">
            <v>0</v>
          </cell>
        </row>
        <row r="237">
          <cell r="A237">
            <v>37215</v>
          </cell>
          <cell r="B237">
            <v>0</v>
          </cell>
          <cell r="C237">
            <v>0</v>
          </cell>
        </row>
        <row r="238">
          <cell r="A238">
            <v>37216</v>
          </cell>
          <cell r="B238">
            <v>0</v>
          </cell>
          <cell r="C238">
            <v>0</v>
          </cell>
        </row>
        <row r="239">
          <cell r="A239">
            <v>37218</v>
          </cell>
          <cell r="B239">
            <v>0</v>
          </cell>
          <cell r="C239">
            <v>0</v>
          </cell>
        </row>
        <row r="240">
          <cell r="A240">
            <v>37221</v>
          </cell>
          <cell r="B240">
            <v>0</v>
          </cell>
          <cell r="C240">
            <v>0</v>
          </cell>
        </row>
        <row r="241">
          <cell r="A241">
            <v>37222</v>
          </cell>
          <cell r="B241">
            <v>0</v>
          </cell>
          <cell r="C241">
            <v>0</v>
          </cell>
        </row>
        <row r="242">
          <cell r="A242">
            <v>37223</v>
          </cell>
          <cell r="B242">
            <v>0</v>
          </cell>
          <cell r="C242">
            <v>0</v>
          </cell>
        </row>
        <row r="243">
          <cell r="A243">
            <v>37224</v>
          </cell>
          <cell r="B243">
            <v>0</v>
          </cell>
          <cell r="C243">
            <v>0</v>
          </cell>
        </row>
        <row r="244">
          <cell r="A244">
            <v>37225</v>
          </cell>
          <cell r="B244">
            <v>0</v>
          </cell>
          <cell r="C244">
            <v>0</v>
          </cell>
        </row>
        <row r="245">
          <cell r="A245">
            <v>37228</v>
          </cell>
          <cell r="B245">
            <v>0</v>
          </cell>
          <cell r="C245">
            <v>0</v>
          </cell>
        </row>
        <row r="246">
          <cell r="A246">
            <v>37229</v>
          </cell>
          <cell r="B246">
            <v>0</v>
          </cell>
          <cell r="C246">
            <v>0</v>
          </cell>
        </row>
        <row r="247">
          <cell r="A247">
            <v>37230</v>
          </cell>
          <cell r="B247">
            <v>0</v>
          </cell>
          <cell r="C247">
            <v>0</v>
          </cell>
        </row>
        <row r="248">
          <cell r="A248">
            <v>37231</v>
          </cell>
          <cell r="B248">
            <v>0</v>
          </cell>
          <cell r="C248">
            <v>0</v>
          </cell>
        </row>
        <row r="249">
          <cell r="A249">
            <v>37232</v>
          </cell>
          <cell r="B249">
            <v>0</v>
          </cell>
          <cell r="C249">
            <v>0</v>
          </cell>
        </row>
        <row r="250">
          <cell r="A250">
            <v>37235</v>
          </cell>
          <cell r="B250">
            <v>0</v>
          </cell>
          <cell r="C250">
            <v>0</v>
          </cell>
        </row>
        <row r="251">
          <cell r="A251">
            <v>37236</v>
          </cell>
          <cell r="B251">
            <v>0</v>
          </cell>
          <cell r="C251">
            <v>0</v>
          </cell>
        </row>
        <row r="252">
          <cell r="A252">
            <v>37237</v>
          </cell>
          <cell r="B252">
            <v>0</v>
          </cell>
          <cell r="C252">
            <v>0</v>
          </cell>
        </row>
        <row r="253">
          <cell r="A253">
            <v>37238</v>
          </cell>
          <cell r="B253">
            <v>0</v>
          </cell>
          <cell r="C253">
            <v>0</v>
          </cell>
        </row>
        <row r="254">
          <cell r="A254">
            <v>37239</v>
          </cell>
          <cell r="B254">
            <v>0</v>
          </cell>
          <cell r="C254">
            <v>0</v>
          </cell>
        </row>
        <row r="255">
          <cell r="A255">
            <v>37245</v>
          </cell>
          <cell r="B255">
            <v>0</v>
          </cell>
          <cell r="C255">
            <v>0</v>
          </cell>
        </row>
        <row r="256">
          <cell r="A256">
            <v>37246</v>
          </cell>
          <cell r="B256">
            <v>0</v>
          </cell>
          <cell r="C256">
            <v>0</v>
          </cell>
        </row>
        <row r="257">
          <cell r="A257">
            <v>37249</v>
          </cell>
          <cell r="B257">
            <v>0</v>
          </cell>
          <cell r="C257">
            <v>0</v>
          </cell>
        </row>
        <row r="258">
          <cell r="A258">
            <v>37251</v>
          </cell>
          <cell r="B258">
            <v>0</v>
          </cell>
          <cell r="C258">
            <v>0</v>
          </cell>
        </row>
        <row r="259">
          <cell r="A259">
            <v>37252</v>
          </cell>
          <cell r="B259">
            <v>0</v>
          </cell>
          <cell r="C259">
            <v>0</v>
          </cell>
        </row>
        <row r="260">
          <cell r="A260">
            <v>37253</v>
          </cell>
          <cell r="B260">
            <v>0</v>
          </cell>
          <cell r="C260">
            <v>0</v>
          </cell>
        </row>
        <row r="261">
          <cell r="A261">
            <v>37256</v>
          </cell>
          <cell r="B261">
            <v>0</v>
          </cell>
          <cell r="C261">
            <v>0</v>
          </cell>
        </row>
        <row r="262">
          <cell r="A262">
            <v>37258</v>
          </cell>
          <cell r="B262">
            <v>0</v>
          </cell>
          <cell r="C262">
            <v>0</v>
          </cell>
        </row>
        <row r="263">
          <cell r="A263">
            <v>37259</v>
          </cell>
          <cell r="B263">
            <v>0</v>
          </cell>
          <cell r="C263">
            <v>0</v>
          </cell>
        </row>
        <row r="264">
          <cell r="A264">
            <v>37260</v>
          </cell>
          <cell r="B264">
            <v>0</v>
          </cell>
          <cell r="C264">
            <v>0</v>
          </cell>
        </row>
        <row r="265">
          <cell r="A265">
            <v>37263</v>
          </cell>
          <cell r="B265">
            <v>0</v>
          </cell>
          <cell r="C265">
            <v>0</v>
          </cell>
        </row>
        <row r="266">
          <cell r="A266">
            <v>37264</v>
          </cell>
          <cell r="B266">
            <v>0</v>
          </cell>
          <cell r="C266">
            <v>0</v>
          </cell>
        </row>
        <row r="267">
          <cell r="A267">
            <v>37265</v>
          </cell>
          <cell r="B267">
            <v>0</v>
          </cell>
          <cell r="C267">
            <v>0</v>
          </cell>
        </row>
        <row r="268">
          <cell r="A268">
            <v>37266</v>
          </cell>
          <cell r="B268">
            <v>0</v>
          </cell>
          <cell r="C268">
            <v>0</v>
          </cell>
        </row>
        <row r="269">
          <cell r="A269">
            <v>37267</v>
          </cell>
          <cell r="B269">
            <v>0</v>
          </cell>
          <cell r="C269">
            <v>0</v>
          </cell>
        </row>
        <row r="270">
          <cell r="A270">
            <v>37270</v>
          </cell>
          <cell r="B270">
            <v>0</v>
          </cell>
          <cell r="C270">
            <v>0</v>
          </cell>
        </row>
        <row r="271">
          <cell r="A271">
            <v>37271</v>
          </cell>
          <cell r="B271">
            <v>0</v>
          </cell>
          <cell r="C271">
            <v>0</v>
          </cell>
        </row>
        <row r="272">
          <cell r="A272">
            <v>37272</v>
          </cell>
          <cell r="B272">
            <v>0</v>
          </cell>
          <cell r="C272">
            <v>0</v>
          </cell>
        </row>
        <row r="273">
          <cell r="A273">
            <v>37273</v>
          </cell>
          <cell r="B273">
            <v>0</v>
          </cell>
          <cell r="C273">
            <v>0</v>
          </cell>
        </row>
        <row r="274">
          <cell r="A274">
            <v>37274</v>
          </cell>
          <cell r="B274">
            <v>0</v>
          </cell>
          <cell r="C274">
            <v>0</v>
          </cell>
        </row>
        <row r="275">
          <cell r="A275">
            <v>37277</v>
          </cell>
          <cell r="B275">
            <v>0</v>
          </cell>
          <cell r="C275">
            <v>0</v>
          </cell>
        </row>
        <row r="276">
          <cell r="A276">
            <v>37278</v>
          </cell>
          <cell r="B276">
            <v>0</v>
          </cell>
          <cell r="C276">
            <v>0</v>
          </cell>
        </row>
        <row r="277">
          <cell r="A277">
            <v>37279</v>
          </cell>
          <cell r="B277">
            <v>0</v>
          </cell>
          <cell r="C277">
            <v>0</v>
          </cell>
        </row>
        <row r="278">
          <cell r="A278">
            <v>37280</v>
          </cell>
          <cell r="B278">
            <v>0</v>
          </cell>
          <cell r="C278">
            <v>0</v>
          </cell>
        </row>
        <row r="279">
          <cell r="A279">
            <v>37281</v>
          </cell>
          <cell r="B279">
            <v>0</v>
          </cell>
          <cell r="C279">
            <v>0</v>
          </cell>
        </row>
        <row r="280">
          <cell r="A280">
            <v>37284</v>
          </cell>
          <cell r="B280">
            <v>0</v>
          </cell>
          <cell r="C280">
            <v>0</v>
          </cell>
        </row>
        <row r="281">
          <cell r="A281">
            <v>37285</v>
          </cell>
          <cell r="B281">
            <v>0</v>
          </cell>
          <cell r="C281">
            <v>0</v>
          </cell>
        </row>
        <row r="282">
          <cell r="A282">
            <v>37286</v>
          </cell>
          <cell r="B282">
            <v>0</v>
          </cell>
          <cell r="C282">
            <v>0</v>
          </cell>
        </row>
        <row r="283">
          <cell r="A283">
            <v>37287</v>
          </cell>
          <cell r="B283">
            <v>0</v>
          </cell>
          <cell r="C283">
            <v>0</v>
          </cell>
        </row>
        <row r="284">
          <cell r="A284">
            <v>37291</v>
          </cell>
          <cell r="B284">
            <v>0</v>
          </cell>
          <cell r="C284">
            <v>0</v>
          </cell>
        </row>
        <row r="285">
          <cell r="A285">
            <v>37292</v>
          </cell>
          <cell r="B285">
            <v>0</v>
          </cell>
          <cell r="C285">
            <v>0</v>
          </cell>
        </row>
        <row r="286">
          <cell r="A286">
            <v>37293</v>
          </cell>
          <cell r="B286">
            <v>0</v>
          </cell>
          <cell r="C286">
            <v>0</v>
          </cell>
        </row>
        <row r="287">
          <cell r="A287">
            <v>37294</v>
          </cell>
          <cell r="B287">
            <v>0</v>
          </cell>
          <cell r="C287">
            <v>0</v>
          </cell>
        </row>
        <row r="288">
          <cell r="A288">
            <v>37295</v>
          </cell>
          <cell r="B288">
            <v>0</v>
          </cell>
          <cell r="C288">
            <v>0</v>
          </cell>
        </row>
        <row r="289">
          <cell r="A289">
            <v>37301</v>
          </cell>
          <cell r="B289">
            <v>0</v>
          </cell>
          <cell r="C289">
            <v>0</v>
          </cell>
        </row>
        <row r="290">
          <cell r="A290">
            <v>37302</v>
          </cell>
          <cell r="B290">
            <v>0</v>
          </cell>
          <cell r="C290">
            <v>0</v>
          </cell>
        </row>
        <row r="291">
          <cell r="A291">
            <v>37305</v>
          </cell>
          <cell r="B291">
            <v>0</v>
          </cell>
          <cell r="C291">
            <v>0</v>
          </cell>
        </row>
        <row r="292">
          <cell r="A292">
            <v>37306</v>
          </cell>
          <cell r="B292">
            <v>0</v>
          </cell>
          <cell r="C292">
            <v>0</v>
          </cell>
        </row>
        <row r="293">
          <cell r="A293">
            <v>37307</v>
          </cell>
          <cell r="B293">
            <v>0</v>
          </cell>
          <cell r="C293">
            <v>0</v>
          </cell>
        </row>
        <row r="294">
          <cell r="A294">
            <v>37308</v>
          </cell>
          <cell r="B294">
            <v>0</v>
          </cell>
          <cell r="C294">
            <v>0</v>
          </cell>
        </row>
        <row r="295">
          <cell r="A295">
            <v>37309</v>
          </cell>
          <cell r="B295">
            <v>0</v>
          </cell>
          <cell r="C295">
            <v>0</v>
          </cell>
        </row>
        <row r="296">
          <cell r="A296">
            <v>37312</v>
          </cell>
          <cell r="B296">
            <v>0</v>
          </cell>
          <cell r="C296">
            <v>0</v>
          </cell>
        </row>
        <row r="297">
          <cell r="A297">
            <v>37313</v>
          </cell>
          <cell r="B297">
            <v>0</v>
          </cell>
          <cell r="C297">
            <v>0</v>
          </cell>
        </row>
        <row r="298">
          <cell r="A298">
            <v>37314</v>
          </cell>
          <cell r="B298">
            <v>0</v>
          </cell>
          <cell r="C298">
            <v>0</v>
          </cell>
        </row>
        <row r="299">
          <cell r="A299">
            <v>37315</v>
          </cell>
          <cell r="B299">
            <v>0</v>
          </cell>
          <cell r="C299">
            <v>0</v>
          </cell>
        </row>
        <row r="300">
          <cell r="A300">
            <v>37316</v>
          </cell>
          <cell r="B300">
            <v>0</v>
          </cell>
          <cell r="C300">
            <v>0</v>
          </cell>
        </row>
        <row r="301">
          <cell r="A301">
            <v>37319</v>
          </cell>
          <cell r="B301">
            <v>0</v>
          </cell>
          <cell r="C301">
            <v>0</v>
          </cell>
        </row>
        <row r="302">
          <cell r="A302">
            <v>37320</v>
          </cell>
          <cell r="B302">
            <v>0</v>
          </cell>
          <cell r="C302">
            <v>0</v>
          </cell>
        </row>
        <row r="303">
          <cell r="A303">
            <v>37321</v>
          </cell>
          <cell r="B303">
            <v>0</v>
          </cell>
          <cell r="C303">
            <v>0</v>
          </cell>
        </row>
        <row r="304">
          <cell r="A304">
            <v>37322</v>
          </cell>
          <cell r="B304">
            <v>0</v>
          </cell>
          <cell r="C304">
            <v>0</v>
          </cell>
        </row>
        <row r="305">
          <cell r="A305">
            <v>37323</v>
          </cell>
          <cell r="B305">
            <v>0</v>
          </cell>
          <cell r="C305">
            <v>0</v>
          </cell>
        </row>
        <row r="306">
          <cell r="A306">
            <v>37326</v>
          </cell>
          <cell r="B306">
            <v>0</v>
          </cell>
          <cell r="C306">
            <v>0</v>
          </cell>
        </row>
        <row r="307">
          <cell r="A307">
            <v>37327</v>
          </cell>
          <cell r="B307">
            <v>0</v>
          </cell>
          <cell r="C307">
            <v>0</v>
          </cell>
        </row>
        <row r="308">
          <cell r="A308">
            <v>37328</v>
          </cell>
          <cell r="B308">
            <v>0</v>
          </cell>
          <cell r="C308">
            <v>0</v>
          </cell>
        </row>
        <row r="309">
          <cell r="A309">
            <v>37329</v>
          </cell>
          <cell r="B309">
            <v>0</v>
          </cell>
          <cell r="C309">
            <v>0</v>
          </cell>
        </row>
        <row r="310">
          <cell r="A310">
            <v>37333</v>
          </cell>
          <cell r="B310">
            <v>0</v>
          </cell>
          <cell r="C310">
            <v>0</v>
          </cell>
        </row>
        <row r="311">
          <cell r="A311">
            <v>37334</v>
          </cell>
          <cell r="B311">
            <v>0</v>
          </cell>
          <cell r="C311">
            <v>0</v>
          </cell>
        </row>
        <row r="312">
          <cell r="A312">
            <v>37335</v>
          </cell>
          <cell r="B312">
            <v>0</v>
          </cell>
          <cell r="C312">
            <v>0</v>
          </cell>
        </row>
        <row r="313">
          <cell r="A313">
            <v>37336</v>
          </cell>
          <cell r="B313">
            <v>0</v>
          </cell>
          <cell r="C313">
            <v>0</v>
          </cell>
        </row>
        <row r="314">
          <cell r="A314">
            <v>37337</v>
          </cell>
          <cell r="B314">
            <v>0</v>
          </cell>
          <cell r="C314">
            <v>0</v>
          </cell>
        </row>
        <row r="315">
          <cell r="A315">
            <v>37340</v>
          </cell>
          <cell r="B315">
            <v>0</v>
          </cell>
          <cell r="C315">
            <v>0</v>
          </cell>
        </row>
        <row r="316">
          <cell r="A316">
            <v>37341</v>
          </cell>
          <cell r="B316">
            <v>0</v>
          </cell>
          <cell r="C316">
            <v>0</v>
          </cell>
        </row>
        <row r="317">
          <cell r="A317">
            <v>37342</v>
          </cell>
          <cell r="B317">
            <v>0</v>
          </cell>
          <cell r="C317">
            <v>0</v>
          </cell>
        </row>
        <row r="318">
          <cell r="A318">
            <v>37343</v>
          </cell>
          <cell r="B318">
            <v>0</v>
          </cell>
          <cell r="C318">
            <v>0</v>
          </cell>
        </row>
        <row r="319">
          <cell r="A319">
            <v>37344</v>
          </cell>
          <cell r="B319">
            <v>0</v>
          </cell>
          <cell r="C319">
            <v>0</v>
          </cell>
        </row>
        <row r="320">
          <cell r="A320">
            <v>37347</v>
          </cell>
          <cell r="B320">
            <v>0</v>
          </cell>
          <cell r="C320">
            <v>0</v>
          </cell>
        </row>
        <row r="321">
          <cell r="A321">
            <v>37348</v>
          </cell>
          <cell r="B321">
            <v>0</v>
          </cell>
          <cell r="C321">
            <v>0</v>
          </cell>
        </row>
        <row r="322">
          <cell r="A322">
            <v>37349</v>
          </cell>
          <cell r="B322">
            <v>0</v>
          </cell>
          <cell r="C322">
            <v>0</v>
          </cell>
        </row>
        <row r="323">
          <cell r="A323">
            <v>37350</v>
          </cell>
          <cell r="B323">
            <v>0</v>
          </cell>
          <cell r="C323">
            <v>0</v>
          </cell>
        </row>
        <row r="324">
          <cell r="A324">
            <v>37351</v>
          </cell>
          <cell r="B324">
            <v>1</v>
          </cell>
          <cell r="C324">
            <v>1</v>
          </cell>
        </row>
        <row r="325">
          <cell r="A325">
            <v>37354</v>
          </cell>
          <cell r="B325">
            <v>0</v>
          </cell>
          <cell r="C325">
            <v>1</v>
          </cell>
        </row>
        <row r="326">
          <cell r="A326">
            <v>37355</v>
          </cell>
          <cell r="B326">
            <v>0</v>
          </cell>
          <cell r="C326">
            <v>1</v>
          </cell>
        </row>
        <row r="327">
          <cell r="A327">
            <v>37356</v>
          </cell>
          <cell r="B327">
            <v>0</v>
          </cell>
          <cell r="C327">
            <v>1</v>
          </cell>
        </row>
        <row r="328">
          <cell r="A328">
            <v>37357</v>
          </cell>
          <cell r="B328">
            <v>0</v>
          </cell>
          <cell r="C328">
            <v>1</v>
          </cell>
        </row>
        <row r="329">
          <cell r="A329">
            <v>37358</v>
          </cell>
          <cell r="B329">
            <v>0</v>
          </cell>
          <cell r="C329">
            <v>1</v>
          </cell>
        </row>
        <row r="330">
          <cell r="A330">
            <v>37361</v>
          </cell>
          <cell r="B330">
            <v>0</v>
          </cell>
          <cell r="C330">
            <v>1</v>
          </cell>
        </row>
        <row r="331">
          <cell r="A331">
            <v>37362</v>
          </cell>
          <cell r="B331">
            <v>0</v>
          </cell>
          <cell r="C331">
            <v>1</v>
          </cell>
        </row>
        <row r="332">
          <cell r="A332">
            <v>37363</v>
          </cell>
          <cell r="B332">
            <v>0</v>
          </cell>
          <cell r="C332">
            <v>1</v>
          </cell>
        </row>
        <row r="333">
          <cell r="A333">
            <v>37364</v>
          </cell>
          <cell r="B333">
            <v>0</v>
          </cell>
          <cell r="C333">
            <v>1</v>
          </cell>
        </row>
        <row r="334">
          <cell r="A334">
            <v>37365</v>
          </cell>
          <cell r="B334">
            <v>0</v>
          </cell>
          <cell r="C334">
            <v>1</v>
          </cell>
        </row>
        <row r="335">
          <cell r="A335">
            <v>37368</v>
          </cell>
          <cell r="B335">
            <v>0</v>
          </cell>
          <cell r="C335">
            <v>1</v>
          </cell>
        </row>
        <row r="336">
          <cell r="A336">
            <v>37369</v>
          </cell>
          <cell r="B336">
            <v>0</v>
          </cell>
          <cell r="C336">
            <v>1</v>
          </cell>
        </row>
        <row r="337">
          <cell r="A337">
            <v>37370</v>
          </cell>
          <cell r="B337">
            <v>0</v>
          </cell>
          <cell r="C337">
            <v>1</v>
          </cell>
        </row>
        <row r="338">
          <cell r="A338">
            <v>37372</v>
          </cell>
          <cell r="B338">
            <v>0</v>
          </cell>
          <cell r="C338">
            <v>1</v>
          </cell>
        </row>
        <row r="339">
          <cell r="A339">
            <v>37375</v>
          </cell>
          <cell r="B339">
            <v>0</v>
          </cell>
          <cell r="C339">
            <v>1</v>
          </cell>
        </row>
        <row r="340">
          <cell r="A340">
            <v>37376</v>
          </cell>
          <cell r="B340">
            <v>0</v>
          </cell>
          <cell r="C340">
            <v>0</v>
          </cell>
        </row>
        <row r="341">
          <cell r="A341">
            <v>37378</v>
          </cell>
          <cell r="B341">
            <v>0</v>
          </cell>
          <cell r="C341">
            <v>0</v>
          </cell>
        </row>
        <row r="342">
          <cell r="A342">
            <v>37379</v>
          </cell>
          <cell r="B342">
            <v>0</v>
          </cell>
          <cell r="C342">
            <v>0</v>
          </cell>
        </row>
        <row r="343">
          <cell r="A343">
            <v>37382</v>
          </cell>
          <cell r="B343">
            <v>0</v>
          </cell>
          <cell r="C343">
            <v>0</v>
          </cell>
        </row>
        <row r="344">
          <cell r="A344">
            <v>37383</v>
          </cell>
          <cell r="B344">
            <v>0</v>
          </cell>
          <cell r="C344">
            <v>0</v>
          </cell>
        </row>
        <row r="345">
          <cell r="A345">
            <v>37384</v>
          </cell>
          <cell r="B345">
            <v>0</v>
          </cell>
          <cell r="C345">
            <v>0</v>
          </cell>
        </row>
        <row r="346">
          <cell r="A346">
            <v>37385</v>
          </cell>
          <cell r="B346">
            <v>0</v>
          </cell>
          <cell r="C346">
            <v>0</v>
          </cell>
        </row>
        <row r="347">
          <cell r="A347">
            <v>37386</v>
          </cell>
          <cell r="B347">
            <v>0</v>
          </cell>
          <cell r="C347">
            <v>0</v>
          </cell>
        </row>
        <row r="348">
          <cell r="A348">
            <v>37389</v>
          </cell>
          <cell r="B348">
            <v>0</v>
          </cell>
          <cell r="C348">
            <v>0</v>
          </cell>
        </row>
        <row r="349">
          <cell r="A349">
            <v>37390</v>
          </cell>
          <cell r="B349">
            <v>0</v>
          </cell>
          <cell r="C349">
            <v>0</v>
          </cell>
        </row>
        <row r="350">
          <cell r="A350">
            <v>37391</v>
          </cell>
          <cell r="B350">
            <v>0</v>
          </cell>
          <cell r="C350">
            <v>0</v>
          </cell>
        </row>
        <row r="351">
          <cell r="A351">
            <v>37392</v>
          </cell>
          <cell r="B351">
            <v>0</v>
          </cell>
          <cell r="C351">
            <v>0</v>
          </cell>
        </row>
        <row r="352">
          <cell r="A352">
            <v>37393</v>
          </cell>
          <cell r="B352">
            <v>0</v>
          </cell>
          <cell r="C352">
            <v>0</v>
          </cell>
        </row>
        <row r="353">
          <cell r="A353">
            <v>37396</v>
          </cell>
          <cell r="B353">
            <v>0</v>
          </cell>
          <cell r="C353">
            <v>0</v>
          </cell>
        </row>
        <row r="354">
          <cell r="A354">
            <v>37397</v>
          </cell>
          <cell r="B354">
            <v>0</v>
          </cell>
          <cell r="C354">
            <v>0</v>
          </cell>
        </row>
        <row r="355">
          <cell r="A355">
            <v>37398</v>
          </cell>
          <cell r="B355">
            <v>0</v>
          </cell>
          <cell r="C355">
            <v>0</v>
          </cell>
        </row>
        <row r="356">
          <cell r="A356">
            <v>37399</v>
          </cell>
          <cell r="B356">
            <v>0</v>
          </cell>
          <cell r="C356">
            <v>0</v>
          </cell>
        </row>
        <row r="357">
          <cell r="A357">
            <v>37400</v>
          </cell>
          <cell r="B357">
            <v>0</v>
          </cell>
          <cell r="C357">
            <v>0</v>
          </cell>
        </row>
        <row r="358">
          <cell r="A358">
            <v>37404</v>
          </cell>
          <cell r="B358">
            <v>0</v>
          </cell>
          <cell r="C358">
            <v>0</v>
          </cell>
        </row>
        <row r="359">
          <cell r="A359">
            <v>37405</v>
          </cell>
          <cell r="B359">
            <v>0</v>
          </cell>
          <cell r="C359">
            <v>0</v>
          </cell>
        </row>
        <row r="360">
          <cell r="A360">
            <v>37406</v>
          </cell>
          <cell r="B360">
            <v>0</v>
          </cell>
          <cell r="C360">
            <v>0</v>
          </cell>
        </row>
        <row r="361">
          <cell r="A361">
            <v>37407</v>
          </cell>
          <cell r="B361">
            <v>0</v>
          </cell>
          <cell r="C361">
            <v>0</v>
          </cell>
        </row>
        <row r="362">
          <cell r="A362">
            <v>37410</v>
          </cell>
          <cell r="B362">
            <v>0</v>
          </cell>
          <cell r="C362">
            <v>0</v>
          </cell>
        </row>
        <row r="363">
          <cell r="A363">
            <v>37411</v>
          </cell>
          <cell r="B363">
            <v>0</v>
          </cell>
          <cell r="C363">
            <v>0</v>
          </cell>
        </row>
        <row r="364">
          <cell r="A364">
            <v>37412</v>
          </cell>
          <cell r="B364">
            <v>0</v>
          </cell>
          <cell r="C364">
            <v>0</v>
          </cell>
        </row>
        <row r="365">
          <cell r="A365">
            <v>37413</v>
          </cell>
          <cell r="B365">
            <v>0</v>
          </cell>
          <cell r="C365">
            <v>0</v>
          </cell>
        </row>
        <row r="366">
          <cell r="A366">
            <v>37414</v>
          </cell>
          <cell r="B366">
            <v>0</v>
          </cell>
          <cell r="C366">
            <v>0</v>
          </cell>
        </row>
        <row r="367">
          <cell r="A367">
            <v>37417</v>
          </cell>
          <cell r="B367">
            <v>0</v>
          </cell>
          <cell r="C367">
            <v>0</v>
          </cell>
        </row>
        <row r="368">
          <cell r="A368">
            <v>37418</v>
          </cell>
          <cell r="B368">
            <v>0</v>
          </cell>
          <cell r="C368">
            <v>0</v>
          </cell>
        </row>
        <row r="369">
          <cell r="A369">
            <v>37419</v>
          </cell>
          <cell r="B369">
            <v>0</v>
          </cell>
          <cell r="C369">
            <v>0</v>
          </cell>
        </row>
        <row r="370">
          <cell r="A370">
            <v>37420</v>
          </cell>
          <cell r="B370">
            <v>0</v>
          </cell>
          <cell r="C370">
            <v>0</v>
          </cell>
        </row>
        <row r="371">
          <cell r="A371">
            <v>37421</v>
          </cell>
          <cell r="B371">
            <v>0</v>
          </cell>
          <cell r="C371">
            <v>0</v>
          </cell>
        </row>
        <row r="372">
          <cell r="A372">
            <v>37424</v>
          </cell>
          <cell r="B372">
            <v>0</v>
          </cell>
          <cell r="C372">
            <v>0</v>
          </cell>
        </row>
        <row r="373">
          <cell r="A373">
            <v>37425</v>
          </cell>
          <cell r="B373">
            <v>0</v>
          </cell>
          <cell r="C373">
            <v>0</v>
          </cell>
        </row>
        <row r="374">
          <cell r="A374">
            <v>37426</v>
          </cell>
          <cell r="B374">
            <v>0</v>
          </cell>
          <cell r="C374">
            <v>0</v>
          </cell>
        </row>
        <row r="375">
          <cell r="A375">
            <v>37427</v>
          </cell>
          <cell r="B375">
            <v>0</v>
          </cell>
          <cell r="C375">
            <v>0</v>
          </cell>
        </row>
        <row r="376">
          <cell r="A376">
            <v>37428</v>
          </cell>
          <cell r="B376">
            <v>0</v>
          </cell>
          <cell r="C376">
            <v>0</v>
          </cell>
        </row>
        <row r="377">
          <cell r="A377">
            <v>37431</v>
          </cell>
          <cell r="B377">
            <v>0</v>
          </cell>
          <cell r="C377">
            <v>0</v>
          </cell>
        </row>
        <row r="378">
          <cell r="A378">
            <v>37432</v>
          </cell>
          <cell r="B378">
            <v>0</v>
          </cell>
          <cell r="C378">
            <v>0</v>
          </cell>
        </row>
        <row r="379">
          <cell r="A379">
            <v>37433</v>
          </cell>
          <cell r="B379">
            <v>0</v>
          </cell>
          <cell r="C379">
            <v>0</v>
          </cell>
        </row>
        <row r="380">
          <cell r="A380">
            <v>37434</v>
          </cell>
          <cell r="B380">
            <v>0</v>
          </cell>
          <cell r="C380">
            <v>0</v>
          </cell>
        </row>
        <row r="381">
          <cell r="A381">
            <v>37435</v>
          </cell>
          <cell r="B381">
            <v>0</v>
          </cell>
          <cell r="C381">
            <v>0</v>
          </cell>
        </row>
        <row r="382">
          <cell r="A382">
            <v>37438</v>
          </cell>
          <cell r="B382">
            <v>0</v>
          </cell>
          <cell r="C382">
            <v>0</v>
          </cell>
        </row>
        <row r="383">
          <cell r="A383">
            <v>37439</v>
          </cell>
          <cell r="B383">
            <v>0</v>
          </cell>
          <cell r="C383">
            <v>0</v>
          </cell>
        </row>
        <row r="384">
          <cell r="A384">
            <v>37440</v>
          </cell>
          <cell r="B384">
            <v>0</v>
          </cell>
          <cell r="C384">
            <v>0</v>
          </cell>
        </row>
        <row r="385">
          <cell r="A385">
            <v>37441</v>
          </cell>
          <cell r="B385">
            <v>0</v>
          </cell>
          <cell r="C385">
            <v>0</v>
          </cell>
        </row>
        <row r="386">
          <cell r="A386">
            <v>37442</v>
          </cell>
          <cell r="B386">
            <v>0</v>
          </cell>
          <cell r="C386">
            <v>0</v>
          </cell>
        </row>
        <row r="387">
          <cell r="A387">
            <v>37445</v>
          </cell>
          <cell r="B387">
            <v>0</v>
          </cell>
          <cell r="C387">
            <v>0</v>
          </cell>
        </row>
        <row r="388">
          <cell r="A388">
            <v>37446</v>
          </cell>
          <cell r="B388">
            <v>0</v>
          </cell>
          <cell r="C388">
            <v>0</v>
          </cell>
        </row>
        <row r="389">
          <cell r="A389">
            <v>37447</v>
          </cell>
          <cell r="B389">
            <v>0</v>
          </cell>
          <cell r="C389">
            <v>0</v>
          </cell>
        </row>
        <row r="390">
          <cell r="A390">
            <v>37448</v>
          </cell>
          <cell r="B390">
            <v>0</v>
          </cell>
          <cell r="C390">
            <v>0</v>
          </cell>
        </row>
        <row r="391">
          <cell r="A391">
            <v>37449</v>
          </cell>
          <cell r="B391">
            <v>0</v>
          </cell>
          <cell r="C391">
            <v>0</v>
          </cell>
        </row>
        <row r="392">
          <cell r="A392">
            <v>37452</v>
          </cell>
          <cell r="B392">
            <v>0</v>
          </cell>
          <cell r="C392">
            <v>0</v>
          </cell>
        </row>
        <row r="393">
          <cell r="A393">
            <v>37453</v>
          </cell>
          <cell r="B393">
            <v>0</v>
          </cell>
          <cell r="C393">
            <v>0</v>
          </cell>
        </row>
        <row r="394">
          <cell r="A394">
            <v>37454</v>
          </cell>
          <cell r="B394">
            <v>0</v>
          </cell>
          <cell r="C394">
            <v>0</v>
          </cell>
        </row>
        <row r="395">
          <cell r="A395">
            <v>37455</v>
          </cell>
          <cell r="B395">
            <v>0</v>
          </cell>
          <cell r="C395">
            <v>0</v>
          </cell>
        </row>
        <row r="396">
          <cell r="A396">
            <v>37456</v>
          </cell>
          <cell r="B396">
            <v>0</v>
          </cell>
          <cell r="C396">
            <v>0</v>
          </cell>
        </row>
        <row r="397">
          <cell r="A397">
            <v>37459</v>
          </cell>
          <cell r="B397">
            <v>0</v>
          </cell>
          <cell r="C397">
            <v>0</v>
          </cell>
        </row>
        <row r="398">
          <cell r="A398">
            <v>37460</v>
          </cell>
          <cell r="B398">
            <v>0</v>
          </cell>
          <cell r="C398">
            <v>0</v>
          </cell>
        </row>
        <row r="399">
          <cell r="A399">
            <v>37461</v>
          </cell>
          <cell r="B399">
            <v>0</v>
          </cell>
          <cell r="C399">
            <v>0</v>
          </cell>
        </row>
        <row r="400">
          <cell r="A400">
            <v>37462</v>
          </cell>
          <cell r="B400">
            <v>0</v>
          </cell>
          <cell r="C400">
            <v>0</v>
          </cell>
        </row>
        <row r="401">
          <cell r="A401">
            <v>37463</v>
          </cell>
          <cell r="B401">
            <v>0</v>
          </cell>
          <cell r="C401">
            <v>0</v>
          </cell>
        </row>
        <row r="402">
          <cell r="A402">
            <v>37466</v>
          </cell>
          <cell r="B402">
            <v>0</v>
          </cell>
          <cell r="C402">
            <v>0</v>
          </cell>
        </row>
        <row r="403">
          <cell r="A403">
            <v>37467</v>
          </cell>
          <cell r="B403">
            <v>0</v>
          </cell>
          <cell r="C403">
            <v>0</v>
          </cell>
        </row>
        <row r="404">
          <cell r="A404">
            <v>37468</v>
          </cell>
          <cell r="B404">
            <v>0</v>
          </cell>
          <cell r="C404">
            <v>0</v>
          </cell>
        </row>
        <row r="405">
          <cell r="A405">
            <v>37469</v>
          </cell>
          <cell r="B405">
            <v>0</v>
          </cell>
          <cell r="C405">
            <v>0</v>
          </cell>
        </row>
        <row r="406">
          <cell r="A406">
            <v>37470</v>
          </cell>
          <cell r="B406">
            <v>0</v>
          </cell>
          <cell r="C406">
            <v>0</v>
          </cell>
        </row>
        <row r="407">
          <cell r="A407">
            <v>37473</v>
          </cell>
          <cell r="B407">
            <v>0</v>
          </cell>
          <cell r="C407">
            <v>0</v>
          </cell>
        </row>
        <row r="408">
          <cell r="A408">
            <v>37474</v>
          </cell>
          <cell r="B408">
            <v>0</v>
          </cell>
          <cell r="C408">
            <v>0</v>
          </cell>
        </row>
        <row r="409">
          <cell r="A409">
            <v>37475</v>
          </cell>
          <cell r="B409">
            <v>0</v>
          </cell>
          <cell r="C409">
            <v>0</v>
          </cell>
        </row>
        <row r="410">
          <cell r="A410">
            <v>37476</v>
          </cell>
          <cell r="B410">
            <v>0</v>
          </cell>
          <cell r="C410">
            <v>0</v>
          </cell>
        </row>
        <row r="411">
          <cell r="A411">
            <v>37477</v>
          </cell>
          <cell r="B411">
            <v>0</v>
          </cell>
          <cell r="C411">
            <v>0</v>
          </cell>
        </row>
        <row r="412">
          <cell r="A412">
            <v>37480</v>
          </cell>
          <cell r="B412">
            <v>0</v>
          </cell>
          <cell r="C412">
            <v>0</v>
          </cell>
        </row>
        <row r="413">
          <cell r="A413">
            <v>37481</v>
          </cell>
          <cell r="B413">
            <v>0</v>
          </cell>
          <cell r="C413">
            <v>0</v>
          </cell>
        </row>
        <row r="414">
          <cell r="A414">
            <v>37482</v>
          </cell>
          <cell r="B414">
            <v>0</v>
          </cell>
          <cell r="C414">
            <v>0</v>
          </cell>
        </row>
        <row r="415">
          <cell r="A415">
            <v>37483</v>
          </cell>
          <cell r="B415">
            <v>0</v>
          </cell>
          <cell r="C415">
            <v>0</v>
          </cell>
        </row>
        <row r="416">
          <cell r="A416">
            <v>37484</v>
          </cell>
          <cell r="B416">
            <v>0</v>
          </cell>
          <cell r="C416">
            <v>0</v>
          </cell>
        </row>
        <row r="417">
          <cell r="A417">
            <v>37487</v>
          </cell>
          <cell r="B417">
            <v>0</v>
          </cell>
          <cell r="C417">
            <v>0</v>
          </cell>
        </row>
        <row r="418">
          <cell r="A418">
            <v>37488</v>
          </cell>
          <cell r="B418">
            <v>0</v>
          </cell>
          <cell r="C418">
            <v>0</v>
          </cell>
        </row>
        <row r="419">
          <cell r="A419">
            <v>37489</v>
          </cell>
          <cell r="B419">
            <v>0</v>
          </cell>
          <cell r="C419">
            <v>0</v>
          </cell>
        </row>
        <row r="420">
          <cell r="A420">
            <v>37490</v>
          </cell>
          <cell r="B420">
            <v>0</v>
          </cell>
          <cell r="C420">
            <v>0</v>
          </cell>
        </row>
        <row r="421">
          <cell r="A421">
            <v>37491</v>
          </cell>
          <cell r="B421">
            <v>0</v>
          </cell>
          <cell r="C421">
            <v>0</v>
          </cell>
        </row>
        <row r="422">
          <cell r="A422">
            <v>37494</v>
          </cell>
          <cell r="B422">
            <v>0</v>
          </cell>
          <cell r="C422">
            <v>0</v>
          </cell>
        </row>
        <row r="423">
          <cell r="A423">
            <v>37495</v>
          </cell>
          <cell r="B423">
            <v>0</v>
          </cell>
          <cell r="C423">
            <v>0</v>
          </cell>
        </row>
        <row r="424">
          <cell r="A424">
            <v>37496</v>
          </cell>
          <cell r="B424">
            <v>0</v>
          </cell>
          <cell r="C424">
            <v>0</v>
          </cell>
        </row>
        <row r="425">
          <cell r="A425">
            <v>37497</v>
          </cell>
          <cell r="B425">
            <v>0</v>
          </cell>
          <cell r="C425">
            <v>0</v>
          </cell>
        </row>
        <row r="426">
          <cell r="A426">
            <v>37498</v>
          </cell>
          <cell r="B426">
            <v>0</v>
          </cell>
          <cell r="C426">
            <v>0</v>
          </cell>
        </row>
        <row r="427">
          <cell r="A427">
            <v>37501</v>
          </cell>
          <cell r="B427">
            <v>0</v>
          </cell>
          <cell r="C427">
            <v>0</v>
          </cell>
        </row>
        <row r="428">
          <cell r="A428">
            <v>37502</v>
          </cell>
          <cell r="B428">
            <v>0</v>
          </cell>
          <cell r="C428">
            <v>0</v>
          </cell>
        </row>
        <row r="429">
          <cell r="A429">
            <v>37503</v>
          </cell>
          <cell r="B429">
            <v>0</v>
          </cell>
          <cell r="C429">
            <v>0</v>
          </cell>
        </row>
        <row r="430">
          <cell r="A430">
            <v>37504</v>
          </cell>
          <cell r="B430">
            <v>0</v>
          </cell>
          <cell r="C430">
            <v>0</v>
          </cell>
        </row>
        <row r="431">
          <cell r="A431">
            <v>37505</v>
          </cell>
          <cell r="B431">
            <v>0</v>
          </cell>
          <cell r="C431">
            <v>0</v>
          </cell>
        </row>
        <row r="432">
          <cell r="A432">
            <v>37508</v>
          </cell>
          <cell r="B432">
            <v>0</v>
          </cell>
          <cell r="C432">
            <v>0</v>
          </cell>
        </row>
        <row r="433">
          <cell r="A433">
            <v>37509</v>
          </cell>
          <cell r="B433">
            <v>0</v>
          </cell>
          <cell r="C433">
            <v>0</v>
          </cell>
        </row>
        <row r="434">
          <cell r="A434">
            <v>37510</v>
          </cell>
          <cell r="B434">
            <v>0</v>
          </cell>
          <cell r="C434">
            <v>0</v>
          </cell>
        </row>
        <row r="435">
          <cell r="A435">
            <v>37511</v>
          </cell>
          <cell r="B435">
            <v>0</v>
          </cell>
          <cell r="C435">
            <v>0</v>
          </cell>
        </row>
        <row r="436">
          <cell r="A436">
            <v>37512</v>
          </cell>
          <cell r="B436">
            <v>0</v>
          </cell>
          <cell r="C436">
            <v>0</v>
          </cell>
        </row>
        <row r="437">
          <cell r="A437">
            <v>37515</v>
          </cell>
          <cell r="B437">
            <v>0</v>
          </cell>
          <cell r="C437">
            <v>0</v>
          </cell>
        </row>
        <row r="438">
          <cell r="A438">
            <v>37516</v>
          </cell>
          <cell r="B438">
            <v>0</v>
          </cell>
          <cell r="C438">
            <v>0</v>
          </cell>
        </row>
        <row r="439">
          <cell r="A439">
            <v>37517</v>
          </cell>
          <cell r="B439">
            <v>0</v>
          </cell>
          <cell r="C439">
            <v>0</v>
          </cell>
        </row>
        <row r="440">
          <cell r="A440">
            <v>37518</v>
          </cell>
          <cell r="B440">
            <v>0</v>
          </cell>
          <cell r="C440">
            <v>0</v>
          </cell>
        </row>
        <row r="441">
          <cell r="A441">
            <v>37519</v>
          </cell>
          <cell r="B441">
            <v>0</v>
          </cell>
          <cell r="C441">
            <v>0</v>
          </cell>
        </row>
        <row r="442">
          <cell r="A442">
            <v>37522</v>
          </cell>
          <cell r="B442">
            <v>0</v>
          </cell>
          <cell r="C442">
            <v>0</v>
          </cell>
        </row>
        <row r="443">
          <cell r="A443">
            <v>37523</v>
          </cell>
          <cell r="B443">
            <v>0</v>
          </cell>
          <cell r="C443">
            <v>0</v>
          </cell>
        </row>
        <row r="444">
          <cell r="A444">
            <v>37524</v>
          </cell>
          <cell r="B444">
            <v>0</v>
          </cell>
          <cell r="C444">
            <v>0</v>
          </cell>
        </row>
        <row r="445">
          <cell r="A445">
            <v>37525</v>
          </cell>
          <cell r="B445">
            <v>0</v>
          </cell>
          <cell r="C445">
            <v>0</v>
          </cell>
        </row>
        <row r="446">
          <cell r="A446">
            <v>37526</v>
          </cell>
          <cell r="B446">
            <v>0</v>
          </cell>
          <cell r="C446">
            <v>0</v>
          </cell>
        </row>
        <row r="447">
          <cell r="A447">
            <v>37529</v>
          </cell>
          <cell r="B447">
            <v>0</v>
          </cell>
          <cell r="C447">
            <v>0</v>
          </cell>
        </row>
        <row r="448">
          <cell r="A448">
            <v>37530</v>
          </cell>
          <cell r="B448">
            <v>0</v>
          </cell>
          <cell r="C448">
            <v>0</v>
          </cell>
        </row>
        <row r="449">
          <cell r="A449">
            <v>37531</v>
          </cell>
          <cell r="B449">
            <v>0</v>
          </cell>
          <cell r="C449">
            <v>0</v>
          </cell>
        </row>
        <row r="450">
          <cell r="A450">
            <v>37532</v>
          </cell>
          <cell r="B450">
            <v>0</v>
          </cell>
          <cell r="C450">
            <v>0</v>
          </cell>
        </row>
        <row r="451">
          <cell r="A451">
            <v>37533</v>
          </cell>
          <cell r="B451">
            <v>0</v>
          </cell>
          <cell r="C451">
            <v>0</v>
          </cell>
        </row>
        <row r="452">
          <cell r="A452">
            <v>37536</v>
          </cell>
          <cell r="B452">
            <v>0</v>
          </cell>
          <cell r="C452">
            <v>0</v>
          </cell>
        </row>
        <row r="453">
          <cell r="A453">
            <v>37537</v>
          </cell>
          <cell r="B453">
            <v>0</v>
          </cell>
          <cell r="C453">
            <v>0</v>
          </cell>
        </row>
        <row r="454">
          <cell r="A454">
            <v>37538</v>
          </cell>
          <cell r="B454">
            <v>0</v>
          </cell>
          <cell r="C454">
            <v>0</v>
          </cell>
        </row>
        <row r="455">
          <cell r="A455">
            <v>37539</v>
          </cell>
          <cell r="B455">
            <v>0</v>
          </cell>
          <cell r="C455">
            <v>0</v>
          </cell>
        </row>
        <row r="456">
          <cell r="A456">
            <v>37540</v>
          </cell>
          <cell r="B456">
            <v>0</v>
          </cell>
          <cell r="C456">
            <v>0</v>
          </cell>
        </row>
        <row r="457">
          <cell r="A457">
            <v>37543</v>
          </cell>
          <cell r="B457">
            <v>0</v>
          </cell>
          <cell r="C457">
            <v>0</v>
          </cell>
        </row>
        <row r="458">
          <cell r="A458">
            <v>37544</v>
          </cell>
          <cell r="B458">
            <v>0</v>
          </cell>
          <cell r="C458">
            <v>0</v>
          </cell>
        </row>
        <row r="459">
          <cell r="A459">
            <v>37545</v>
          </cell>
          <cell r="B459">
            <v>0</v>
          </cell>
          <cell r="C459">
            <v>0</v>
          </cell>
        </row>
        <row r="460">
          <cell r="A460">
            <v>37546</v>
          </cell>
          <cell r="B460">
            <v>0</v>
          </cell>
          <cell r="C460">
            <v>0</v>
          </cell>
        </row>
        <row r="461">
          <cell r="A461">
            <v>37547</v>
          </cell>
          <cell r="B461">
            <v>0</v>
          </cell>
          <cell r="C461">
            <v>0</v>
          </cell>
        </row>
        <row r="462">
          <cell r="A462">
            <v>37550</v>
          </cell>
          <cell r="B462">
            <v>0</v>
          </cell>
          <cell r="C462">
            <v>0</v>
          </cell>
        </row>
        <row r="463">
          <cell r="A463">
            <v>37551</v>
          </cell>
          <cell r="B463">
            <v>0</v>
          </cell>
          <cell r="C463">
            <v>0</v>
          </cell>
        </row>
        <row r="464">
          <cell r="A464">
            <v>37552</v>
          </cell>
          <cell r="B464">
            <v>0</v>
          </cell>
          <cell r="C464">
            <v>0</v>
          </cell>
        </row>
        <row r="465">
          <cell r="A465">
            <v>37553</v>
          </cell>
          <cell r="B465">
            <v>0</v>
          </cell>
          <cell r="C465">
            <v>0</v>
          </cell>
        </row>
        <row r="466">
          <cell r="A466">
            <v>37554</v>
          </cell>
          <cell r="B466">
            <v>0</v>
          </cell>
          <cell r="C466">
            <v>0</v>
          </cell>
        </row>
        <row r="467">
          <cell r="A467">
            <v>37557</v>
          </cell>
          <cell r="B467">
            <v>0</v>
          </cell>
          <cell r="C467">
            <v>0</v>
          </cell>
        </row>
        <row r="468">
          <cell r="A468">
            <v>37558</v>
          </cell>
          <cell r="B468">
            <v>0</v>
          </cell>
          <cell r="C468">
            <v>0</v>
          </cell>
        </row>
        <row r="469">
          <cell r="A469">
            <v>37559</v>
          </cell>
          <cell r="B469">
            <v>0</v>
          </cell>
          <cell r="C469">
            <v>0</v>
          </cell>
        </row>
        <row r="470">
          <cell r="A470">
            <v>37560</v>
          </cell>
          <cell r="B470">
            <v>0</v>
          </cell>
          <cell r="C470">
            <v>0</v>
          </cell>
        </row>
        <row r="471">
          <cell r="A471">
            <v>37561</v>
          </cell>
          <cell r="B471">
            <v>0</v>
          </cell>
          <cell r="C471">
            <v>0</v>
          </cell>
        </row>
        <row r="472">
          <cell r="A472">
            <v>37565</v>
          </cell>
          <cell r="B472">
            <v>0</v>
          </cell>
          <cell r="C472">
            <v>0</v>
          </cell>
        </row>
        <row r="473">
          <cell r="A473">
            <v>37566</v>
          </cell>
          <cell r="B473">
            <v>0</v>
          </cell>
          <cell r="C473">
            <v>0</v>
          </cell>
        </row>
        <row r="474">
          <cell r="A474">
            <v>37567</v>
          </cell>
          <cell r="B474">
            <v>0</v>
          </cell>
          <cell r="C474">
            <v>0</v>
          </cell>
        </row>
        <row r="475">
          <cell r="A475">
            <v>37568</v>
          </cell>
          <cell r="B475">
            <v>0</v>
          </cell>
          <cell r="C475">
            <v>0</v>
          </cell>
        </row>
        <row r="476">
          <cell r="A476">
            <v>37571</v>
          </cell>
          <cell r="B476">
            <v>0</v>
          </cell>
          <cell r="C476">
            <v>0</v>
          </cell>
        </row>
        <row r="477">
          <cell r="A477">
            <v>37572</v>
          </cell>
          <cell r="B477">
            <v>0</v>
          </cell>
          <cell r="C477">
            <v>0</v>
          </cell>
        </row>
        <row r="478">
          <cell r="A478">
            <v>37573</v>
          </cell>
          <cell r="B478">
            <v>0</v>
          </cell>
          <cell r="C478">
            <v>0</v>
          </cell>
        </row>
        <row r="479">
          <cell r="A479">
            <v>37574</v>
          </cell>
          <cell r="B479">
            <v>0</v>
          </cell>
          <cell r="C479">
            <v>0</v>
          </cell>
        </row>
        <row r="480">
          <cell r="A480">
            <v>37575</v>
          </cell>
          <cell r="B480">
            <v>0</v>
          </cell>
          <cell r="C480">
            <v>0</v>
          </cell>
        </row>
        <row r="481">
          <cell r="A481">
            <v>37578</v>
          </cell>
          <cell r="B481">
            <v>0</v>
          </cell>
          <cell r="C481">
            <v>0</v>
          </cell>
        </row>
        <row r="482">
          <cell r="A482">
            <v>37579</v>
          </cell>
          <cell r="B482">
            <v>0</v>
          </cell>
          <cell r="C482">
            <v>0</v>
          </cell>
        </row>
        <row r="483">
          <cell r="A483">
            <v>37580</v>
          </cell>
          <cell r="B483">
            <v>0</v>
          </cell>
          <cell r="C483">
            <v>0</v>
          </cell>
        </row>
        <row r="484">
          <cell r="A484">
            <v>37581</v>
          </cell>
          <cell r="B484">
            <v>0</v>
          </cell>
          <cell r="C484">
            <v>0</v>
          </cell>
        </row>
        <row r="485">
          <cell r="A485">
            <v>37582</v>
          </cell>
          <cell r="B485">
            <v>0</v>
          </cell>
          <cell r="C485">
            <v>0</v>
          </cell>
        </row>
        <row r="486">
          <cell r="A486">
            <v>37585</v>
          </cell>
          <cell r="B486">
            <v>0</v>
          </cell>
          <cell r="C486">
            <v>0</v>
          </cell>
        </row>
        <row r="487">
          <cell r="A487">
            <v>37586</v>
          </cell>
          <cell r="B487">
            <v>0</v>
          </cell>
          <cell r="C487">
            <v>0</v>
          </cell>
        </row>
        <row r="488">
          <cell r="A488">
            <v>37587</v>
          </cell>
          <cell r="B488">
            <v>0</v>
          </cell>
          <cell r="C488">
            <v>0</v>
          </cell>
        </row>
        <row r="489">
          <cell r="A489">
            <v>37588</v>
          </cell>
          <cell r="B489">
            <v>0</v>
          </cell>
          <cell r="C489">
            <v>0</v>
          </cell>
        </row>
        <row r="490">
          <cell r="A490">
            <v>37589</v>
          </cell>
          <cell r="B490">
            <v>0</v>
          </cell>
          <cell r="C490">
            <v>0</v>
          </cell>
        </row>
        <row r="491">
          <cell r="A491">
            <v>37592</v>
          </cell>
          <cell r="B491">
            <v>0</v>
          </cell>
          <cell r="C491">
            <v>0</v>
          </cell>
        </row>
        <row r="492">
          <cell r="A492">
            <v>37593</v>
          </cell>
          <cell r="B492">
            <v>0</v>
          </cell>
          <cell r="C492">
            <v>0</v>
          </cell>
        </row>
        <row r="493">
          <cell r="A493">
            <v>37594</v>
          </cell>
          <cell r="B493">
            <v>0</v>
          </cell>
          <cell r="C493">
            <v>0</v>
          </cell>
        </row>
        <row r="494">
          <cell r="A494">
            <v>37599</v>
          </cell>
          <cell r="B494">
            <v>0</v>
          </cell>
          <cell r="C494">
            <v>0</v>
          </cell>
        </row>
        <row r="495">
          <cell r="A495">
            <v>37600</v>
          </cell>
          <cell r="B495">
            <v>0</v>
          </cell>
          <cell r="C495">
            <v>0</v>
          </cell>
        </row>
        <row r="496">
          <cell r="A496">
            <v>37601</v>
          </cell>
          <cell r="B496">
            <v>0</v>
          </cell>
          <cell r="C496">
            <v>0</v>
          </cell>
        </row>
        <row r="497">
          <cell r="A497">
            <v>37602</v>
          </cell>
          <cell r="B497">
            <v>0</v>
          </cell>
          <cell r="C497">
            <v>0</v>
          </cell>
        </row>
        <row r="498">
          <cell r="A498">
            <v>37603</v>
          </cell>
          <cell r="B498">
            <v>0</v>
          </cell>
          <cell r="C498">
            <v>0</v>
          </cell>
        </row>
        <row r="499">
          <cell r="A499">
            <v>37606</v>
          </cell>
          <cell r="B499">
            <v>0</v>
          </cell>
          <cell r="C499">
            <v>0</v>
          </cell>
        </row>
        <row r="500">
          <cell r="A500">
            <v>37607</v>
          </cell>
          <cell r="B500">
            <v>0</v>
          </cell>
          <cell r="C500">
            <v>0</v>
          </cell>
        </row>
        <row r="501">
          <cell r="A501">
            <v>37608</v>
          </cell>
          <cell r="B501">
            <v>0</v>
          </cell>
          <cell r="C501">
            <v>0</v>
          </cell>
        </row>
        <row r="502">
          <cell r="A502">
            <v>37609</v>
          </cell>
          <cell r="B502">
            <v>0</v>
          </cell>
          <cell r="C502">
            <v>0</v>
          </cell>
        </row>
        <row r="503">
          <cell r="A503">
            <v>37610</v>
          </cell>
          <cell r="B503">
            <v>0</v>
          </cell>
          <cell r="C503">
            <v>0</v>
          </cell>
        </row>
        <row r="504">
          <cell r="A504">
            <v>37613</v>
          </cell>
          <cell r="B504">
            <v>0</v>
          </cell>
          <cell r="C504">
            <v>0</v>
          </cell>
        </row>
        <row r="505">
          <cell r="A505">
            <v>37614</v>
          </cell>
          <cell r="B505">
            <v>0</v>
          </cell>
          <cell r="C505">
            <v>0</v>
          </cell>
        </row>
        <row r="506">
          <cell r="A506">
            <v>37616</v>
          </cell>
          <cell r="B506">
            <v>0</v>
          </cell>
          <cell r="C506">
            <v>0</v>
          </cell>
        </row>
        <row r="507">
          <cell r="A507">
            <v>37617</v>
          </cell>
          <cell r="B507">
            <v>0</v>
          </cell>
          <cell r="C507">
            <v>0</v>
          </cell>
        </row>
        <row r="508">
          <cell r="A508">
            <v>37620</v>
          </cell>
          <cell r="B508">
            <v>0</v>
          </cell>
          <cell r="C508">
            <v>0</v>
          </cell>
        </row>
        <row r="509">
          <cell r="A509">
            <v>37621</v>
          </cell>
          <cell r="B509">
            <v>0</v>
          </cell>
          <cell r="C509">
            <v>0</v>
          </cell>
        </row>
        <row r="510">
          <cell r="A510">
            <v>37623</v>
          </cell>
          <cell r="B510">
            <v>0</v>
          </cell>
          <cell r="C510">
            <v>0</v>
          </cell>
        </row>
        <row r="511">
          <cell r="A511">
            <v>37624</v>
          </cell>
          <cell r="B511">
            <v>0</v>
          </cell>
          <cell r="C511">
            <v>0</v>
          </cell>
        </row>
        <row r="512">
          <cell r="A512">
            <v>37627</v>
          </cell>
          <cell r="B512">
            <v>0</v>
          </cell>
          <cell r="C512">
            <v>0</v>
          </cell>
        </row>
        <row r="513">
          <cell r="A513">
            <v>37628</v>
          </cell>
          <cell r="B513">
            <v>0</v>
          </cell>
          <cell r="C513">
            <v>0</v>
          </cell>
        </row>
        <row r="514">
          <cell r="A514">
            <v>37629</v>
          </cell>
          <cell r="B514">
            <v>0</v>
          </cell>
          <cell r="C514">
            <v>0</v>
          </cell>
        </row>
        <row r="515">
          <cell r="A515">
            <v>37630</v>
          </cell>
          <cell r="B515">
            <v>0</v>
          </cell>
          <cell r="C515">
            <v>0</v>
          </cell>
        </row>
        <row r="516">
          <cell r="A516">
            <v>37631</v>
          </cell>
          <cell r="B516">
            <v>0</v>
          </cell>
          <cell r="C516">
            <v>0</v>
          </cell>
        </row>
        <row r="517">
          <cell r="A517">
            <v>37634</v>
          </cell>
          <cell r="B517">
            <v>0</v>
          </cell>
          <cell r="C517">
            <v>0</v>
          </cell>
        </row>
        <row r="518">
          <cell r="A518">
            <v>37635</v>
          </cell>
          <cell r="B518">
            <v>0</v>
          </cell>
          <cell r="C518">
            <v>0</v>
          </cell>
        </row>
        <row r="519">
          <cell r="A519">
            <v>37636</v>
          </cell>
          <cell r="B519">
            <v>0</v>
          </cell>
          <cell r="C519">
            <v>0</v>
          </cell>
        </row>
        <row r="520">
          <cell r="A520">
            <v>37637</v>
          </cell>
          <cell r="B520">
            <v>0</v>
          </cell>
          <cell r="C520">
            <v>0</v>
          </cell>
        </row>
        <row r="521">
          <cell r="A521">
            <v>37638</v>
          </cell>
          <cell r="B521">
            <v>0</v>
          </cell>
          <cell r="C521">
            <v>0</v>
          </cell>
        </row>
        <row r="522">
          <cell r="A522">
            <v>37641</v>
          </cell>
          <cell r="B522">
            <v>0</v>
          </cell>
          <cell r="C522">
            <v>0</v>
          </cell>
        </row>
        <row r="523">
          <cell r="A523">
            <v>37642</v>
          </cell>
          <cell r="B523">
            <v>0</v>
          </cell>
          <cell r="C523">
            <v>0</v>
          </cell>
        </row>
        <row r="524">
          <cell r="A524">
            <v>37643</v>
          </cell>
          <cell r="B524">
            <v>0</v>
          </cell>
          <cell r="C524">
            <v>0</v>
          </cell>
        </row>
        <row r="525">
          <cell r="A525">
            <v>37644</v>
          </cell>
          <cell r="B525">
            <v>0</v>
          </cell>
          <cell r="C525">
            <v>0</v>
          </cell>
        </row>
        <row r="526">
          <cell r="A526">
            <v>37645</v>
          </cell>
          <cell r="B526">
            <v>0</v>
          </cell>
          <cell r="C526">
            <v>0</v>
          </cell>
        </row>
        <row r="527">
          <cell r="A527">
            <v>37648</v>
          </cell>
          <cell r="B527">
            <v>0</v>
          </cell>
          <cell r="C527">
            <v>0</v>
          </cell>
        </row>
        <row r="528">
          <cell r="A528">
            <v>37649</v>
          </cell>
          <cell r="B528">
            <v>0</v>
          </cell>
          <cell r="C528">
            <v>0</v>
          </cell>
        </row>
        <row r="529">
          <cell r="A529">
            <v>37650</v>
          </cell>
          <cell r="B529">
            <v>0</v>
          </cell>
          <cell r="C529">
            <v>0</v>
          </cell>
        </row>
        <row r="530">
          <cell r="A530">
            <v>37651</v>
          </cell>
          <cell r="B530">
            <v>0</v>
          </cell>
          <cell r="C530">
            <v>0</v>
          </cell>
        </row>
        <row r="531">
          <cell r="A531">
            <v>37657</v>
          </cell>
          <cell r="B531">
            <v>0</v>
          </cell>
          <cell r="C531">
            <v>0</v>
          </cell>
        </row>
        <row r="532">
          <cell r="A532">
            <v>37658</v>
          </cell>
          <cell r="B532">
            <v>0</v>
          </cell>
          <cell r="C532">
            <v>0</v>
          </cell>
        </row>
        <row r="533">
          <cell r="A533">
            <v>37659</v>
          </cell>
          <cell r="B533">
            <v>0</v>
          </cell>
          <cell r="C533">
            <v>0</v>
          </cell>
        </row>
        <row r="534">
          <cell r="A534">
            <v>37662</v>
          </cell>
          <cell r="B534">
            <v>0</v>
          </cell>
          <cell r="C534">
            <v>0</v>
          </cell>
        </row>
        <row r="535">
          <cell r="A535">
            <v>37663</v>
          </cell>
          <cell r="B535">
            <v>0</v>
          </cell>
          <cell r="C535">
            <v>0</v>
          </cell>
        </row>
        <row r="536">
          <cell r="A536">
            <v>37665</v>
          </cell>
          <cell r="B536">
            <v>0</v>
          </cell>
          <cell r="C536">
            <v>0</v>
          </cell>
        </row>
        <row r="537">
          <cell r="A537">
            <v>37666</v>
          </cell>
          <cell r="B537">
            <v>0</v>
          </cell>
          <cell r="C537">
            <v>0</v>
          </cell>
        </row>
        <row r="538">
          <cell r="A538">
            <v>37669</v>
          </cell>
          <cell r="B538">
            <v>0</v>
          </cell>
          <cell r="C538">
            <v>0</v>
          </cell>
        </row>
        <row r="539">
          <cell r="A539">
            <v>37670</v>
          </cell>
          <cell r="B539">
            <v>0</v>
          </cell>
          <cell r="C539">
            <v>0</v>
          </cell>
        </row>
        <row r="540">
          <cell r="A540">
            <v>37671</v>
          </cell>
          <cell r="B540">
            <v>0</v>
          </cell>
          <cell r="C540">
            <v>0</v>
          </cell>
        </row>
        <row r="541">
          <cell r="A541">
            <v>37672</v>
          </cell>
          <cell r="B541">
            <v>0</v>
          </cell>
          <cell r="C541">
            <v>0</v>
          </cell>
        </row>
        <row r="542">
          <cell r="A542">
            <v>37673</v>
          </cell>
          <cell r="B542">
            <v>0</v>
          </cell>
          <cell r="C542">
            <v>0</v>
          </cell>
        </row>
        <row r="543">
          <cell r="A543">
            <v>37676</v>
          </cell>
          <cell r="B543">
            <v>0</v>
          </cell>
          <cell r="C543">
            <v>0</v>
          </cell>
        </row>
        <row r="544">
          <cell r="A544">
            <v>37677</v>
          </cell>
          <cell r="B544">
            <v>0</v>
          </cell>
          <cell r="C544">
            <v>0</v>
          </cell>
        </row>
        <row r="545">
          <cell r="A545">
            <v>37678</v>
          </cell>
          <cell r="B545">
            <v>0</v>
          </cell>
          <cell r="C545">
            <v>0</v>
          </cell>
        </row>
        <row r="546">
          <cell r="A546">
            <v>37679</v>
          </cell>
          <cell r="B546">
            <v>0</v>
          </cell>
          <cell r="C546">
            <v>0</v>
          </cell>
        </row>
        <row r="547">
          <cell r="A547">
            <v>37680</v>
          </cell>
          <cell r="B547">
            <v>0</v>
          </cell>
          <cell r="C547">
            <v>0</v>
          </cell>
        </row>
        <row r="548">
          <cell r="A548">
            <v>37683</v>
          </cell>
          <cell r="B548">
            <v>0</v>
          </cell>
          <cell r="C548">
            <v>0</v>
          </cell>
        </row>
        <row r="549">
          <cell r="A549">
            <v>37685</v>
          </cell>
          <cell r="B549">
            <v>0</v>
          </cell>
          <cell r="C549">
            <v>0</v>
          </cell>
        </row>
        <row r="550">
          <cell r="A550">
            <v>37686</v>
          </cell>
          <cell r="B550">
            <v>0</v>
          </cell>
          <cell r="C550">
            <v>0</v>
          </cell>
        </row>
        <row r="551">
          <cell r="A551">
            <v>37687</v>
          </cell>
          <cell r="B551">
            <v>0</v>
          </cell>
          <cell r="C551">
            <v>0</v>
          </cell>
        </row>
        <row r="552">
          <cell r="A552">
            <v>37690</v>
          </cell>
          <cell r="B552">
            <v>0</v>
          </cell>
          <cell r="C552">
            <v>0</v>
          </cell>
        </row>
        <row r="553">
          <cell r="A553">
            <v>37691</v>
          </cell>
          <cell r="B553">
            <v>0</v>
          </cell>
          <cell r="C553">
            <v>0</v>
          </cell>
        </row>
        <row r="554">
          <cell r="A554">
            <v>37692</v>
          </cell>
          <cell r="B554">
            <v>0</v>
          </cell>
          <cell r="C554">
            <v>0</v>
          </cell>
        </row>
        <row r="555">
          <cell r="A555">
            <v>37693</v>
          </cell>
          <cell r="B555">
            <v>0</v>
          </cell>
          <cell r="C555">
            <v>0</v>
          </cell>
        </row>
        <row r="556">
          <cell r="A556">
            <v>37694</v>
          </cell>
          <cell r="B556">
            <v>0</v>
          </cell>
          <cell r="C556">
            <v>0</v>
          </cell>
        </row>
        <row r="557">
          <cell r="A557">
            <v>37697</v>
          </cell>
          <cell r="B557">
            <v>0</v>
          </cell>
          <cell r="C557">
            <v>0</v>
          </cell>
        </row>
        <row r="558">
          <cell r="A558">
            <v>37698</v>
          </cell>
          <cell r="B558">
            <v>0</v>
          </cell>
          <cell r="C558">
            <v>0</v>
          </cell>
        </row>
        <row r="559">
          <cell r="A559">
            <v>37699</v>
          </cell>
          <cell r="B559">
            <v>0</v>
          </cell>
          <cell r="C559">
            <v>0</v>
          </cell>
        </row>
        <row r="560">
          <cell r="A560">
            <v>37700</v>
          </cell>
          <cell r="B560">
            <v>0</v>
          </cell>
          <cell r="C560">
            <v>0</v>
          </cell>
        </row>
        <row r="561">
          <cell r="A561">
            <v>37701</v>
          </cell>
          <cell r="B561">
            <v>0</v>
          </cell>
          <cell r="C561">
            <v>0</v>
          </cell>
        </row>
        <row r="562">
          <cell r="A562">
            <v>37704</v>
          </cell>
          <cell r="B562">
            <v>0</v>
          </cell>
          <cell r="C562">
            <v>0</v>
          </cell>
        </row>
        <row r="563">
          <cell r="A563">
            <v>37705</v>
          </cell>
          <cell r="B563">
            <v>0</v>
          </cell>
          <cell r="C563">
            <v>0</v>
          </cell>
        </row>
        <row r="564">
          <cell r="A564">
            <v>37706</v>
          </cell>
          <cell r="B564">
            <v>0</v>
          </cell>
          <cell r="C564">
            <v>0</v>
          </cell>
        </row>
        <row r="565">
          <cell r="A565">
            <v>37707</v>
          </cell>
          <cell r="B565">
            <v>0</v>
          </cell>
          <cell r="C565">
            <v>0</v>
          </cell>
        </row>
        <row r="566">
          <cell r="A566">
            <v>37708</v>
          </cell>
          <cell r="B566">
            <v>0</v>
          </cell>
          <cell r="C566">
            <v>0</v>
          </cell>
        </row>
        <row r="567">
          <cell r="A567">
            <v>37711</v>
          </cell>
          <cell r="B567">
            <v>0</v>
          </cell>
          <cell r="C567">
            <v>0</v>
          </cell>
        </row>
        <row r="568">
          <cell r="A568">
            <v>37712</v>
          </cell>
          <cell r="B568">
            <v>0</v>
          </cell>
          <cell r="C568">
            <v>0</v>
          </cell>
        </row>
        <row r="569">
          <cell r="A569">
            <v>37713</v>
          </cell>
          <cell r="B569">
            <v>0</v>
          </cell>
          <cell r="C569">
            <v>0</v>
          </cell>
        </row>
        <row r="570">
          <cell r="A570">
            <v>37714</v>
          </cell>
          <cell r="B570">
            <v>0</v>
          </cell>
          <cell r="C570">
            <v>0</v>
          </cell>
        </row>
        <row r="571">
          <cell r="A571">
            <v>37715</v>
          </cell>
          <cell r="B571">
            <v>0</v>
          </cell>
          <cell r="C571">
            <v>0</v>
          </cell>
        </row>
        <row r="572">
          <cell r="A572">
            <v>37718</v>
          </cell>
          <cell r="B572">
            <v>0</v>
          </cell>
          <cell r="C572">
            <v>0</v>
          </cell>
        </row>
        <row r="573">
          <cell r="A573">
            <v>37719</v>
          </cell>
          <cell r="B573">
            <v>0</v>
          </cell>
          <cell r="C573">
            <v>0</v>
          </cell>
        </row>
        <row r="574">
          <cell r="A574">
            <v>37720</v>
          </cell>
          <cell r="B574">
            <v>0</v>
          </cell>
          <cell r="C574">
            <v>0</v>
          </cell>
        </row>
        <row r="575">
          <cell r="A575">
            <v>37721</v>
          </cell>
          <cell r="B575">
            <v>0</v>
          </cell>
          <cell r="C575">
            <v>0</v>
          </cell>
        </row>
        <row r="576">
          <cell r="A576">
            <v>37722</v>
          </cell>
          <cell r="B576">
            <v>0</v>
          </cell>
          <cell r="C576">
            <v>0</v>
          </cell>
        </row>
        <row r="577">
          <cell r="A577">
            <v>37725</v>
          </cell>
          <cell r="B577">
            <v>0</v>
          </cell>
          <cell r="C577">
            <v>0</v>
          </cell>
        </row>
        <row r="578">
          <cell r="A578">
            <v>37726</v>
          </cell>
          <cell r="B578">
            <v>0</v>
          </cell>
          <cell r="C578">
            <v>0</v>
          </cell>
        </row>
        <row r="579">
          <cell r="A579">
            <v>37727</v>
          </cell>
          <cell r="B579">
            <v>0</v>
          </cell>
          <cell r="C579">
            <v>0</v>
          </cell>
        </row>
        <row r="580">
          <cell r="A580">
            <v>37728</v>
          </cell>
          <cell r="B580">
            <v>0</v>
          </cell>
          <cell r="C580">
            <v>0</v>
          </cell>
        </row>
        <row r="581">
          <cell r="A581">
            <v>37729</v>
          </cell>
          <cell r="B581">
            <v>0</v>
          </cell>
          <cell r="C581">
            <v>0</v>
          </cell>
        </row>
        <row r="582">
          <cell r="A582">
            <v>37732</v>
          </cell>
          <cell r="B582">
            <v>0</v>
          </cell>
          <cell r="C582">
            <v>0</v>
          </cell>
        </row>
        <row r="583">
          <cell r="A583">
            <v>37733</v>
          </cell>
          <cell r="B583">
            <v>0</v>
          </cell>
          <cell r="C583">
            <v>0</v>
          </cell>
        </row>
        <row r="584">
          <cell r="A584">
            <v>37734</v>
          </cell>
          <cell r="B584">
            <v>0</v>
          </cell>
          <cell r="C584">
            <v>0</v>
          </cell>
        </row>
        <row r="585">
          <cell r="A585">
            <v>37735</v>
          </cell>
          <cell r="B585">
            <v>0</v>
          </cell>
          <cell r="C585">
            <v>0</v>
          </cell>
        </row>
        <row r="586">
          <cell r="A586">
            <v>37736</v>
          </cell>
          <cell r="B586">
            <v>0</v>
          </cell>
          <cell r="C586">
            <v>0</v>
          </cell>
        </row>
        <row r="587">
          <cell r="A587">
            <v>37739</v>
          </cell>
          <cell r="B587">
            <v>0</v>
          </cell>
          <cell r="C587">
            <v>0</v>
          </cell>
        </row>
        <row r="588">
          <cell r="A588">
            <v>37740</v>
          </cell>
          <cell r="B588">
            <v>0</v>
          </cell>
          <cell r="C588">
            <v>0</v>
          </cell>
        </row>
        <row r="589">
          <cell r="A589">
            <v>37743</v>
          </cell>
          <cell r="B589">
            <v>0</v>
          </cell>
          <cell r="C589">
            <v>0</v>
          </cell>
        </row>
        <row r="590">
          <cell r="A590">
            <v>37746</v>
          </cell>
          <cell r="B590">
            <v>0</v>
          </cell>
          <cell r="C590">
            <v>0</v>
          </cell>
        </row>
        <row r="591">
          <cell r="A591">
            <v>37747</v>
          </cell>
          <cell r="B591">
            <v>0</v>
          </cell>
          <cell r="C591">
            <v>0</v>
          </cell>
        </row>
        <row r="592">
          <cell r="A592">
            <v>37748</v>
          </cell>
          <cell r="B592">
            <v>0</v>
          </cell>
          <cell r="C592">
            <v>0</v>
          </cell>
        </row>
        <row r="593">
          <cell r="A593">
            <v>37749</v>
          </cell>
          <cell r="B593">
            <v>0</v>
          </cell>
          <cell r="C593">
            <v>0</v>
          </cell>
        </row>
        <row r="594">
          <cell r="A594">
            <v>37750</v>
          </cell>
          <cell r="B594">
            <v>0</v>
          </cell>
          <cell r="C594">
            <v>0</v>
          </cell>
        </row>
        <row r="595">
          <cell r="A595">
            <v>37753</v>
          </cell>
          <cell r="B595">
            <v>0</v>
          </cell>
          <cell r="C595">
            <v>0</v>
          </cell>
        </row>
        <row r="596">
          <cell r="A596">
            <v>37754</v>
          </cell>
          <cell r="B596">
            <v>0</v>
          </cell>
          <cell r="C596">
            <v>0</v>
          </cell>
        </row>
        <row r="597">
          <cell r="A597">
            <v>37757</v>
          </cell>
          <cell r="B597">
            <v>0</v>
          </cell>
          <cell r="C597">
            <v>0</v>
          </cell>
        </row>
        <row r="598">
          <cell r="A598">
            <v>37760</v>
          </cell>
          <cell r="B598">
            <v>0</v>
          </cell>
          <cell r="C598">
            <v>0</v>
          </cell>
        </row>
        <row r="599">
          <cell r="A599">
            <v>37761</v>
          </cell>
          <cell r="B599">
            <v>0</v>
          </cell>
          <cell r="C599">
            <v>0</v>
          </cell>
        </row>
        <row r="600">
          <cell r="A600">
            <v>37762</v>
          </cell>
          <cell r="B600">
            <v>0</v>
          </cell>
          <cell r="C600">
            <v>0</v>
          </cell>
        </row>
        <row r="601">
          <cell r="A601">
            <v>37763</v>
          </cell>
          <cell r="B601">
            <v>0</v>
          </cell>
          <cell r="C601">
            <v>0</v>
          </cell>
        </row>
        <row r="602">
          <cell r="A602">
            <v>37764</v>
          </cell>
          <cell r="B602">
            <v>0</v>
          </cell>
          <cell r="C602">
            <v>0</v>
          </cell>
        </row>
        <row r="603">
          <cell r="A603">
            <v>37767</v>
          </cell>
          <cell r="B603">
            <v>0</v>
          </cell>
          <cell r="C603">
            <v>0</v>
          </cell>
        </row>
        <row r="604">
          <cell r="A604">
            <v>37768</v>
          </cell>
          <cell r="B604">
            <v>0</v>
          </cell>
          <cell r="C604">
            <v>0</v>
          </cell>
        </row>
        <row r="605">
          <cell r="A605">
            <v>37769</v>
          </cell>
          <cell r="B605">
            <v>0</v>
          </cell>
          <cell r="C605">
            <v>0</v>
          </cell>
        </row>
        <row r="606">
          <cell r="A606">
            <v>37770</v>
          </cell>
          <cell r="B606">
            <v>0</v>
          </cell>
          <cell r="C606">
            <v>0</v>
          </cell>
        </row>
        <row r="607">
          <cell r="A607">
            <v>37771</v>
          </cell>
          <cell r="B607">
            <v>0</v>
          </cell>
          <cell r="C607">
            <v>0</v>
          </cell>
        </row>
        <row r="608">
          <cell r="A608">
            <v>37774</v>
          </cell>
          <cell r="B608">
            <v>0</v>
          </cell>
          <cell r="C608">
            <v>0</v>
          </cell>
        </row>
        <row r="609">
          <cell r="A609">
            <v>37775</v>
          </cell>
          <cell r="B609">
            <v>0</v>
          </cell>
          <cell r="C609">
            <v>0</v>
          </cell>
        </row>
        <row r="610">
          <cell r="A610">
            <v>37776</v>
          </cell>
          <cell r="B610">
            <v>0</v>
          </cell>
          <cell r="C610">
            <v>0</v>
          </cell>
        </row>
        <row r="611">
          <cell r="A611">
            <v>37777</v>
          </cell>
          <cell r="B611">
            <v>0</v>
          </cell>
          <cell r="C611">
            <v>0</v>
          </cell>
        </row>
        <row r="612">
          <cell r="A612">
            <v>37778</v>
          </cell>
          <cell r="B612">
            <v>0</v>
          </cell>
          <cell r="C612">
            <v>0</v>
          </cell>
        </row>
        <row r="613">
          <cell r="A613">
            <v>37781</v>
          </cell>
          <cell r="B613">
            <v>0</v>
          </cell>
          <cell r="C613">
            <v>0</v>
          </cell>
        </row>
        <row r="614">
          <cell r="A614">
            <v>37782</v>
          </cell>
          <cell r="B614">
            <v>0</v>
          </cell>
          <cell r="C614">
            <v>0</v>
          </cell>
        </row>
        <row r="615">
          <cell r="A615">
            <v>37783</v>
          </cell>
          <cell r="B615">
            <v>0</v>
          </cell>
          <cell r="C615">
            <v>0</v>
          </cell>
        </row>
        <row r="616">
          <cell r="A616">
            <v>37784</v>
          </cell>
          <cell r="B616">
            <v>0</v>
          </cell>
          <cell r="C616">
            <v>0</v>
          </cell>
        </row>
        <row r="617">
          <cell r="A617">
            <v>37785</v>
          </cell>
          <cell r="B617">
            <v>0</v>
          </cell>
          <cell r="C617">
            <v>0</v>
          </cell>
        </row>
        <row r="618">
          <cell r="A618">
            <v>37788</v>
          </cell>
          <cell r="B618">
            <v>0</v>
          </cell>
          <cell r="C618">
            <v>0</v>
          </cell>
        </row>
        <row r="619">
          <cell r="A619">
            <v>37789</v>
          </cell>
          <cell r="B619">
            <v>0</v>
          </cell>
          <cell r="C619">
            <v>0</v>
          </cell>
        </row>
        <row r="620">
          <cell r="A620">
            <v>37790</v>
          </cell>
          <cell r="B620">
            <v>0</v>
          </cell>
          <cell r="C620">
            <v>0</v>
          </cell>
        </row>
        <row r="621">
          <cell r="A621">
            <v>37791</v>
          </cell>
          <cell r="B621">
            <v>0</v>
          </cell>
          <cell r="C621">
            <v>0</v>
          </cell>
        </row>
        <row r="622">
          <cell r="A622">
            <v>37792</v>
          </cell>
          <cell r="B622">
            <v>0</v>
          </cell>
          <cell r="C622">
            <v>0</v>
          </cell>
        </row>
        <row r="623">
          <cell r="A623">
            <v>37795</v>
          </cell>
          <cell r="B623">
            <v>0</v>
          </cell>
          <cell r="C623">
            <v>0</v>
          </cell>
        </row>
        <row r="624">
          <cell r="A624">
            <v>37796</v>
          </cell>
          <cell r="B624">
            <v>0</v>
          </cell>
          <cell r="C624">
            <v>0</v>
          </cell>
        </row>
        <row r="625">
          <cell r="A625">
            <v>37797</v>
          </cell>
          <cell r="B625">
            <v>0</v>
          </cell>
          <cell r="C625">
            <v>0</v>
          </cell>
        </row>
        <row r="626">
          <cell r="A626">
            <v>37798</v>
          </cell>
          <cell r="B626">
            <v>0</v>
          </cell>
          <cell r="C626">
            <v>0</v>
          </cell>
        </row>
        <row r="627">
          <cell r="A627">
            <v>37799</v>
          </cell>
          <cell r="B627">
            <v>0</v>
          </cell>
          <cell r="C627">
            <v>0</v>
          </cell>
        </row>
        <row r="628">
          <cell r="A628">
            <v>37802</v>
          </cell>
          <cell r="B628">
            <v>0</v>
          </cell>
          <cell r="C628">
            <v>0</v>
          </cell>
        </row>
        <row r="629">
          <cell r="A629">
            <v>37803</v>
          </cell>
          <cell r="B629">
            <v>0</v>
          </cell>
          <cell r="C629">
            <v>0</v>
          </cell>
        </row>
        <row r="630">
          <cell r="A630">
            <v>37804</v>
          </cell>
          <cell r="B630">
            <v>0</v>
          </cell>
          <cell r="C630">
            <v>0</v>
          </cell>
        </row>
        <row r="631">
          <cell r="A631">
            <v>37805</v>
          </cell>
          <cell r="B631">
            <v>0</v>
          </cell>
          <cell r="C631">
            <v>0</v>
          </cell>
        </row>
        <row r="632">
          <cell r="A632">
            <v>37806</v>
          </cell>
          <cell r="B632">
            <v>0</v>
          </cell>
          <cell r="C632">
            <v>0</v>
          </cell>
        </row>
        <row r="633">
          <cell r="A633">
            <v>37809</v>
          </cell>
          <cell r="B633">
            <v>0</v>
          </cell>
          <cell r="C633">
            <v>0</v>
          </cell>
        </row>
        <row r="634">
          <cell r="A634">
            <v>37810</v>
          </cell>
          <cell r="B634">
            <v>0</v>
          </cell>
          <cell r="C634">
            <v>0</v>
          </cell>
        </row>
        <row r="635">
          <cell r="A635">
            <v>37811</v>
          </cell>
          <cell r="B635">
            <v>0</v>
          </cell>
          <cell r="C635">
            <v>0</v>
          </cell>
        </row>
        <row r="636">
          <cell r="A636">
            <v>37812</v>
          </cell>
          <cell r="B636">
            <v>0</v>
          </cell>
          <cell r="C636">
            <v>0</v>
          </cell>
        </row>
        <row r="637">
          <cell r="A637">
            <v>37813</v>
          </cell>
          <cell r="B637">
            <v>0</v>
          </cell>
          <cell r="C637">
            <v>0</v>
          </cell>
        </row>
        <row r="638">
          <cell r="A638">
            <v>37816</v>
          </cell>
          <cell r="B638">
            <v>0</v>
          </cell>
          <cell r="C638">
            <v>0</v>
          </cell>
        </row>
        <row r="639">
          <cell r="A639">
            <v>37817</v>
          </cell>
          <cell r="B639">
            <v>0</v>
          </cell>
          <cell r="C639">
            <v>0</v>
          </cell>
        </row>
        <row r="640">
          <cell r="A640">
            <v>37818</v>
          </cell>
          <cell r="B640">
            <v>0</v>
          </cell>
          <cell r="C640">
            <v>0</v>
          </cell>
        </row>
        <row r="641">
          <cell r="A641">
            <v>37819</v>
          </cell>
          <cell r="B641">
            <v>0</v>
          </cell>
          <cell r="C641">
            <v>0</v>
          </cell>
        </row>
        <row r="642">
          <cell r="A642">
            <v>37820</v>
          </cell>
          <cell r="B642">
            <v>0</v>
          </cell>
          <cell r="C642">
            <v>0</v>
          </cell>
        </row>
        <row r="643">
          <cell r="A643">
            <v>37823</v>
          </cell>
          <cell r="B643">
            <v>0</v>
          </cell>
          <cell r="C643">
            <v>0</v>
          </cell>
        </row>
        <row r="644">
          <cell r="A644">
            <v>37824</v>
          </cell>
          <cell r="B644">
            <v>0</v>
          </cell>
          <cell r="C644">
            <v>0</v>
          </cell>
        </row>
        <row r="645">
          <cell r="A645">
            <v>37825</v>
          </cell>
          <cell r="B645">
            <v>0</v>
          </cell>
          <cell r="C645">
            <v>0</v>
          </cell>
        </row>
        <row r="646">
          <cell r="A646">
            <v>37826</v>
          </cell>
          <cell r="B646">
            <v>0</v>
          </cell>
          <cell r="C646">
            <v>0</v>
          </cell>
        </row>
        <row r="647">
          <cell r="A647">
            <v>37827</v>
          </cell>
          <cell r="B647">
            <v>0</v>
          </cell>
          <cell r="C647">
            <v>0</v>
          </cell>
        </row>
        <row r="648">
          <cell r="A648">
            <v>37830</v>
          </cell>
          <cell r="B648">
            <v>0</v>
          </cell>
          <cell r="C648">
            <v>0</v>
          </cell>
        </row>
        <row r="649">
          <cell r="A649">
            <v>37831</v>
          </cell>
          <cell r="B649">
            <v>0</v>
          </cell>
          <cell r="C649">
            <v>0</v>
          </cell>
        </row>
        <row r="650">
          <cell r="A650">
            <v>37832</v>
          </cell>
          <cell r="B650">
            <v>0</v>
          </cell>
          <cell r="C650">
            <v>0</v>
          </cell>
        </row>
        <row r="651">
          <cell r="A651">
            <v>37833</v>
          </cell>
          <cell r="B651">
            <v>0</v>
          </cell>
          <cell r="C651">
            <v>0</v>
          </cell>
        </row>
        <row r="652">
          <cell r="A652">
            <v>37834</v>
          </cell>
          <cell r="B652">
            <v>0</v>
          </cell>
          <cell r="C652">
            <v>0</v>
          </cell>
        </row>
        <row r="653">
          <cell r="A653">
            <v>37837</v>
          </cell>
          <cell r="B653">
            <v>0</v>
          </cell>
          <cell r="C653">
            <v>0</v>
          </cell>
        </row>
        <row r="654">
          <cell r="A654">
            <v>37838</v>
          </cell>
          <cell r="B654">
            <v>0</v>
          </cell>
          <cell r="C654">
            <v>0</v>
          </cell>
        </row>
        <row r="655">
          <cell r="A655">
            <v>37839</v>
          </cell>
          <cell r="B655">
            <v>0</v>
          </cell>
          <cell r="C655">
            <v>0</v>
          </cell>
        </row>
        <row r="656">
          <cell r="A656">
            <v>37840</v>
          </cell>
          <cell r="B656">
            <v>0</v>
          </cell>
          <cell r="C656">
            <v>0</v>
          </cell>
        </row>
        <row r="657">
          <cell r="A657">
            <v>37841</v>
          </cell>
          <cell r="B657">
            <v>0</v>
          </cell>
          <cell r="C657">
            <v>0</v>
          </cell>
        </row>
        <row r="658">
          <cell r="A658">
            <v>37844</v>
          </cell>
          <cell r="B658">
            <v>0</v>
          </cell>
          <cell r="C658">
            <v>0</v>
          </cell>
        </row>
        <row r="659">
          <cell r="A659">
            <v>37845</v>
          </cell>
          <cell r="B659">
            <v>0</v>
          </cell>
          <cell r="C659">
            <v>0</v>
          </cell>
        </row>
        <row r="660">
          <cell r="A660">
            <v>37846</v>
          </cell>
          <cell r="B660">
            <v>0</v>
          </cell>
          <cell r="C660">
            <v>0</v>
          </cell>
        </row>
        <row r="661">
          <cell r="A661">
            <v>37847</v>
          </cell>
          <cell r="B661">
            <v>0</v>
          </cell>
          <cell r="C661">
            <v>0</v>
          </cell>
        </row>
        <row r="662">
          <cell r="A662">
            <v>37848</v>
          </cell>
          <cell r="B662">
            <v>0</v>
          </cell>
          <cell r="C662">
            <v>0</v>
          </cell>
        </row>
        <row r="663">
          <cell r="A663">
            <v>37851</v>
          </cell>
          <cell r="B663">
            <v>0</v>
          </cell>
          <cell r="C663">
            <v>0</v>
          </cell>
        </row>
        <row r="664">
          <cell r="A664">
            <v>37852</v>
          </cell>
          <cell r="B664">
            <v>0</v>
          </cell>
          <cell r="C664">
            <v>0</v>
          </cell>
        </row>
        <row r="665">
          <cell r="A665">
            <v>37853</v>
          </cell>
          <cell r="B665">
            <v>0</v>
          </cell>
          <cell r="C665">
            <v>0</v>
          </cell>
        </row>
        <row r="666">
          <cell r="A666">
            <v>37854</v>
          </cell>
          <cell r="B666">
            <v>0</v>
          </cell>
          <cell r="C666">
            <v>0</v>
          </cell>
        </row>
        <row r="667">
          <cell r="A667">
            <v>37855</v>
          </cell>
          <cell r="B667">
            <v>0</v>
          </cell>
          <cell r="C667">
            <v>0</v>
          </cell>
        </row>
        <row r="668">
          <cell r="A668">
            <v>37858</v>
          </cell>
          <cell r="B668">
            <v>0</v>
          </cell>
          <cell r="C668">
            <v>0</v>
          </cell>
        </row>
        <row r="669">
          <cell r="A669">
            <v>37859</v>
          </cell>
          <cell r="B669">
            <v>0</v>
          </cell>
          <cell r="C669">
            <v>0</v>
          </cell>
        </row>
        <row r="670">
          <cell r="A670">
            <v>37860</v>
          </cell>
          <cell r="B670">
            <v>0</v>
          </cell>
          <cell r="C670">
            <v>0</v>
          </cell>
        </row>
        <row r="671">
          <cell r="A671">
            <v>37861</v>
          </cell>
          <cell r="B671">
            <v>0</v>
          </cell>
          <cell r="C671">
            <v>0</v>
          </cell>
        </row>
        <row r="672">
          <cell r="A672">
            <v>37862</v>
          </cell>
          <cell r="B672">
            <v>0</v>
          </cell>
          <cell r="C672">
            <v>0</v>
          </cell>
        </row>
        <row r="673">
          <cell r="A673">
            <v>37866</v>
          </cell>
          <cell r="B673">
            <v>0</v>
          </cell>
          <cell r="C673">
            <v>0</v>
          </cell>
        </row>
        <row r="674">
          <cell r="A674">
            <v>37867</v>
          </cell>
          <cell r="B674">
            <v>0</v>
          </cell>
          <cell r="C674">
            <v>0</v>
          </cell>
        </row>
        <row r="675">
          <cell r="A675">
            <v>37868</v>
          </cell>
          <cell r="B675">
            <v>0</v>
          </cell>
          <cell r="C675">
            <v>0</v>
          </cell>
        </row>
        <row r="676">
          <cell r="A676">
            <v>37869</v>
          </cell>
          <cell r="B676">
            <v>0</v>
          </cell>
          <cell r="C676">
            <v>0</v>
          </cell>
        </row>
        <row r="677">
          <cell r="A677">
            <v>37872</v>
          </cell>
          <cell r="B677">
            <v>0</v>
          </cell>
          <cell r="C677">
            <v>0</v>
          </cell>
        </row>
        <row r="678">
          <cell r="A678">
            <v>37873</v>
          </cell>
          <cell r="B678">
            <v>0</v>
          </cell>
          <cell r="C678">
            <v>0</v>
          </cell>
        </row>
        <row r="679">
          <cell r="A679">
            <v>37874</v>
          </cell>
          <cell r="B679">
            <v>0</v>
          </cell>
          <cell r="C679">
            <v>0</v>
          </cell>
        </row>
        <row r="680">
          <cell r="A680">
            <v>37875</v>
          </cell>
          <cell r="B680">
            <v>0</v>
          </cell>
          <cell r="C680">
            <v>0</v>
          </cell>
        </row>
        <row r="681">
          <cell r="A681">
            <v>37876</v>
          </cell>
          <cell r="B681">
            <v>0</v>
          </cell>
          <cell r="C681">
            <v>0</v>
          </cell>
        </row>
        <row r="682">
          <cell r="A682">
            <v>37879</v>
          </cell>
          <cell r="B682">
            <v>0</v>
          </cell>
          <cell r="C682">
            <v>0</v>
          </cell>
        </row>
        <row r="683">
          <cell r="A683">
            <v>37880</v>
          </cell>
          <cell r="B683">
            <v>0</v>
          </cell>
          <cell r="C683">
            <v>0</v>
          </cell>
        </row>
        <row r="684">
          <cell r="A684">
            <v>37881</v>
          </cell>
          <cell r="B684">
            <v>0</v>
          </cell>
          <cell r="C684">
            <v>0</v>
          </cell>
        </row>
        <row r="685">
          <cell r="A685">
            <v>37882</v>
          </cell>
          <cell r="B685">
            <v>0</v>
          </cell>
          <cell r="C685">
            <v>0</v>
          </cell>
        </row>
        <row r="686">
          <cell r="A686">
            <v>37883</v>
          </cell>
          <cell r="B686">
            <v>0</v>
          </cell>
          <cell r="C686">
            <v>0</v>
          </cell>
        </row>
        <row r="687">
          <cell r="A687">
            <v>37886</v>
          </cell>
          <cell r="B687">
            <v>0</v>
          </cell>
          <cell r="C687">
            <v>0</v>
          </cell>
        </row>
        <row r="688">
          <cell r="A688">
            <v>37887</v>
          </cell>
          <cell r="B688">
            <v>0</v>
          </cell>
          <cell r="C688">
            <v>0</v>
          </cell>
        </row>
        <row r="689">
          <cell r="A689">
            <v>37888</v>
          </cell>
          <cell r="B689">
            <v>0</v>
          </cell>
          <cell r="C689">
            <v>0</v>
          </cell>
        </row>
        <row r="690">
          <cell r="A690">
            <v>37889</v>
          </cell>
          <cell r="B690">
            <v>0</v>
          </cell>
          <cell r="C690">
            <v>0</v>
          </cell>
        </row>
        <row r="691">
          <cell r="A691">
            <v>37890</v>
          </cell>
          <cell r="B691">
            <v>0</v>
          </cell>
          <cell r="C691">
            <v>0</v>
          </cell>
        </row>
        <row r="692">
          <cell r="A692">
            <v>37893</v>
          </cell>
          <cell r="B692">
            <v>0</v>
          </cell>
          <cell r="C692">
            <v>0</v>
          </cell>
        </row>
        <row r="693">
          <cell r="A693">
            <v>37894</v>
          </cell>
          <cell r="B693">
            <v>0</v>
          </cell>
          <cell r="C693">
            <v>0</v>
          </cell>
        </row>
        <row r="694">
          <cell r="A694">
            <v>37895</v>
          </cell>
          <cell r="B694">
            <v>0</v>
          </cell>
          <cell r="C694">
            <v>0</v>
          </cell>
        </row>
        <row r="695">
          <cell r="A695">
            <v>37896</v>
          </cell>
          <cell r="B695">
            <v>0</v>
          </cell>
          <cell r="C695">
            <v>0</v>
          </cell>
        </row>
        <row r="696">
          <cell r="A696">
            <v>37897</v>
          </cell>
          <cell r="B696">
            <v>0</v>
          </cell>
          <cell r="C696">
            <v>0</v>
          </cell>
        </row>
        <row r="697">
          <cell r="A697">
            <v>37900</v>
          </cell>
          <cell r="B697">
            <v>0</v>
          </cell>
          <cell r="C697">
            <v>0</v>
          </cell>
        </row>
        <row r="698">
          <cell r="A698">
            <v>37901</v>
          </cell>
          <cell r="B698">
            <v>0</v>
          </cell>
          <cell r="C698">
            <v>0</v>
          </cell>
        </row>
        <row r="699">
          <cell r="A699">
            <v>37902</v>
          </cell>
          <cell r="B699">
            <v>0</v>
          </cell>
          <cell r="C699">
            <v>0</v>
          </cell>
        </row>
        <row r="700">
          <cell r="A700">
            <v>37903</v>
          </cell>
          <cell r="B700">
            <v>0</v>
          </cell>
          <cell r="C700">
            <v>0</v>
          </cell>
        </row>
        <row r="701">
          <cell r="A701">
            <v>37904</v>
          </cell>
          <cell r="B701">
            <v>0</v>
          </cell>
          <cell r="C701">
            <v>0</v>
          </cell>
        </row>
        <row r="702">
          <cell r="A702">
            <v>37907</v>
          </cell>
          <cell r="B702">
            <v>0</v>
          </cell>
          <cell r="C702">
            <v>0</v>
          </cell>
        </row>
        <row r="703">
          <cell r="A703">
            <v>37908</v>
          </cell>
          <cell r="B703">
            <v>0</v>
          </cell>
          <cell r="C703">
            <v>0</v>
          </cell>
        </row>
        <row r="704">
          <cell r="A704">
            <v>37909</v>
          </cell>
          <cell r="B704">
            <v>0</v>
          </cell>
          <cell r="C704">
            <v>0</v>
          </cell>
        </row>
        <row r="705">
          <cell r="A705">
            <v>37910</v>
          </cell>
          <cell r="B705">
            <v>0</v>
          </cell>
          <cell r="C705">
            <v>0</v>
          </cell>
        </row>
        <row r="706">
          <cell r="A706">
            <v>37911</v>
          </cell>
          <cell r="B706">
            <v>0</v>
          </cell>
          <cell r="C706">
            <v>0</v>
          </cell>
        </row>
        <row r="707">
          <cell r="A707">
            <v>37914</v>
          </cell>
          <cell r="B707">
            <v>0</v>
          </cell>
          <cell r="C707">
            <v>0</v>
          </cell>
        </row>
        <row r="708">
          <cell r="A708">
            <v>37915</v>
          </cell>
          <cell r="B708">
            <v>0</v>
          </cell>
          <cell r="C708">
            <v>0</v>
          </cell>
        </row>
        <row r="709">
          <cell r="A709">
            <v>37916</v>
          </cell>
          <cell r="B709">
            <v>0</v>
          </cell>
          <cell r="C709">
            <v>0</v>
          </cell>
        </row>
        <row r="710">
          <cell r="A710">
            <v>37917</v>
          </cell>
          <cell r="B710">
            <v>0</v>
          </cell>
          <cell r="C710">
            <v>0</v>
          </cell>
        </row>
        <row r="711">
          <cell r="A711">
            <v>37921</v>
          </cell>
          <cell r="B711">
            <v>0</v>
          </cell>
          <cell r="C711">
            <v>0</v>
          </cell>
        </row>
        <row r="712">
          <cell r="A712">
            <v>37922</v>
          </cell>
          <cell r="B712">
            <v>0</v>
          </cell>
          <cell r="C712">
            <v>0</v>
          </cell>
        </row>
        <row r="713">
          <cell r="A713">
            <v>37923</v>
          </cell>
          <cell r="B713">
            <v>0</v>
          </cell>
          <cell r="C713">
            <v>0</v>
          </cell>
        </row>
        <row r="714">
          <cell r="A714">
            <v>37924</v>
          </cell>
          <cell r="B714">
            <v>0</v>
          </cell>
          <cell r="C714">
            <v>0</v>
          </cell>
        </row>
        <row r="715">
          <cell r="A715">
            <v>37925</v>
          </cell>
          <cell r="B715">
            <v>0</v>
          </cell>
          <cell r="C715">
            <v>0</v>
          </cell>
        </row>
        <row r="716">
          <cell r="A716">
            <v>37928</v>
          </cell>
          <cell r="B716">
            <v>0</v>
          </cell>
          <cell r="C716">
            <v>0</v>
          </cell>
        </row>
        <row r="717">
          <cell r="A717">
            <v>37929</v>
          </cell>
          <cell r="B717">
            <v>0</v>
          </cell>
          <cell r="C717">
            <v>0</v>
          </cell>
        </row>
        <row r="718">
          <cell r="A718">
            <v>37930</v>
          </cell>
          <cell r="B718">
            <v>0</v>
          </cell>
          <cell r="C718">
            <v>0</v>
          </cell>
        </row>
        <row r="719">
          <cell r="A719">
            <v>37931</v>
          </cell>
          <cell r="B719">
            <v>0</v>
          </cell>
          <cell r="C719">
            <v>0</v>
          </cell>
        </row>
        <row r="720">
          <cell r="A720">
            <v>37932</v>
          </cell>
          <cell r="B720">
            <v>0</v>
          </cell>
          <cell r="C720">
            <v>0</v>
          </cell>
        </row>
        <row r="721">
          <cell r="A721">
            <v>37935</v>
          </cell>
          <cell r="B721">
            <v>0</v>
          </cell>
          <cell r="C721">
            <v>0</v>
          </cell>
        </row>
        <row r="722">
          <cell r="A722">
            <v>37936</v>
          </cell>
          <cell r="B722">
            <v>0</v>
          </cell>
          <cell r="C722">
            <v>0</v>
          </cell>
        </row>
        <row r="723">
          <cell r="A723">
            <v>37937</v>
          </cell>
          <cell r="B723">
            <v>0</v>
          </cell>
          <cell r="C723">
            <v>0</v>
          </cell>
        </row>
        <row r="724">
          <cell r="A724">
            <v>37938</v>
          </cell>
          <cell r="B724">
            <v>0</v>
          </cell>
          <cell r="C724">
            <v>0</v>
          </cell>
        </row>
        <row r="725">
          <cell r="A725">
            <v>37939</v>
          </cell>
          <cell r="B725">
            <v>0</v>
          </cell>
          <cell r="C725">
            <v>0</v>
          </cell>
        </row>
        <row r="726">
          <cell r="A726">
            <v>37942</v>
          </cell>
          <cell r="B726">
            <v>0</v>
          </cell>
          <cell r="C726">
            <v>0</v>
          </cell>
        </row>
        <row r="727">
          <cell r="A727">
            <v>37943</v>
          </cell>
          <cell r="B727">
            <v>0</v>
          </cell>
          <cell r="C727">
            <v>0</v>
          </cell>
        </row>
        <row r="728">
          <cell r="A728">
            <v>37944</v>
          </cell>
          <cell r="B728">
            <v>0</v>
          </cell>
          <cell r="C728">
            <v>0</v>
          </cell>
        </row>
        <row r="729">
          <cell r="A729">
            <v>37945</v>
          </cell>
          <cell r="B729">
            <v>0</v>
          </cell>
          <cell r="C729">
            <v>0</v>
          </cell>
        </row>
        <row r="730">
          <cell r="A730">
            <v>37946</v>
          </cell>
          <cell r="B730">
            <v>0</v>
          </cell>
          <cell r="C730">
            <v>0</v>
          </cell>
        </row>
        <row r="731">
          <cell r="A731">
            <v>37952</v>
          </cell>
          <cell r="B731">
            <v>0</v>
          </cell>
          <cell r="C731">
            <v>0</v>
          </cell>
        </row>
        <row r="732">
          <cell r="A732">
            <v>37953</v>
          </cell>
          <cell r="B732">
            <v>0</v>
          </cell>
          <cell r="C732">
            <v>0</v>
          </cell>
        </row>
        <row r="733">
          <cell r="A733">
            <v>37956</v>
          </cell>
          <cell r="B733">
            <v>0</v>
          </cell>
          <cell r="C733">
            <v>0</v>
          </cell>
        </row>
        <row r="734">
          <cell r="A734">
            <v>37957</v>
          </cell>
          <cell r="B734">
            <v>0</v>
          </cell>
          <cell r="C734">
            <v>0</v>
          </cell>
        </row>
        <row r="735">
          <cell r="A735">
            <v>37958</v>
          </cell>
          <cell r="B735">
            <v>0</v>
          </cell>
          <cell r="C735">
            <v>0</v>
          </cell>
        </row>
        <row r="736">
          <cell r="A736">
            <v>37959</v>
          </cell>
          <cell r="B736">
            <v>0</v>
          </cell>
          <cell r="C736">
            <v>0</v>
          </cell>
        </row>
        <row r="737">
          <cell r="A737">
            <v>37960</v>
          </cell>
          <cell r="B737">
            <v>0</v>
          </cell>
          <cell r="C737">
            <v>0</v>
          </cell>
        </row>
        <row r="738">
          <cell r="A738">
            <v>37963</v>
          </cell>
          <cell r="B738">
            <v>0</v>
          </cell>
          <cell r="C738">
            <v>0</v>
          </cell>
        </row>
        <row r="739">
          <cell r="A739">
            <v>37964</v>
          </cell>
          <cell r="B739">
            <v>0</v>
          </cell>
          <cell r="C739">
            <v>0</v>
          </cell>
        </row>
        <row r="740">
          <cell r="A740">
            <v>37965</v>
          </cell>
          <cell r="B740">
            <v>0</v>
          </cell>
          <cell r="C740">
            <v>0</v>
          </cell>
        </row>
        <row r="741">
          <cell r="A741">
            <v>37966</v>
          </cell>
          <cell r="B741">
            <v>0</v>
          </cell>
          <cell r="C741">
            <v>0</v>
          </cell>
        </row>
        <row r="742">
          <cell r="A742">
            <v>37967</v>
          </cell>
          <cell r="B742">
            <v>0</v>
          </cell>
          <cell r="C742">
            <v>0</v>
          </cell>
        </row>
        <row r="743">
          <cell r="A743">
            <v>37970</v>
          </cell>
          <cell r="B743">
            <v>0</v>
          </cell>
          <cell r="C743">
            <v>0</v>
          </cell>
        </row>
        <row r="744">
          <cell r="A744">
            <v>37971</v>
          </cell>
          <cell r="B744">
            <v>0</v>
          </cell>
          <cell r="C744">
            <v>0</v>
          </cell>
        </row>
        <row r="745">
          <cell r="A745">
            <v>37972</v>
          </cell>
          <cell r="B745">
            <v>0</v>
          </cell>
          <cell r="C745">
            <v>0</v>
          </cell>
        </row>
        <row r="746">
          <cell r="A746">
            <v>37973</v>
          </cell>
          <cell r="B746">
            <v>0</v>
          </cell>
          <cell r="C746">
            <v>0</v>
          </cell>
        </row>
        <row r="747">
          <cell r="A747">
            <v>37974</v>
          </cell>
          <cell r="B747">
            <v>0</v>
          </cell>
          <cell r="C747">
            <v>0</v>
          </cell>
        </row>
        <row r="748">
          <cell r="A748">
            <v>37977</v>
          </cell>
          <cell r="B748">
            <v>0</v>
          </cell>
          <cell r="C748">
            <v>0</v>
          </cell>
        </row>
        <row r="749">
          <cell r="A749">
            <v>37978</v>
          </cell>
          <cell r="B749">
            <v>0</v>
          </cell>
          <cell r="C749">
            <v>0</v>
          </cell>
        </row>
        <row r="750">
          <cell r="A750">
            <v>37979</v>
          </cell>
          <cell r="B750">
            <v>0</v>
          </cell>
          <cell r="C750">
            <v>0</v>
          </cell>
        </row>
        <row r="751">
          <cell r="A751">
            <v>37981</v>
          </cell>
          <cell r="B751">
            <v>0</v>
          </cell>
          <cell r="C751">
            <v>0</v>
          </cell>
        </row>
        <row r="752">
          <cell r="A752">
            <v>37984</v>
          </cell>
          <cell r="B752">
            <v>0</v>
          </cell>
          <cell r="C752">
            <v>0</v>
          </cell>
        </row>
        <row r="753">
          <cell r="A753">
            <v>37985</v>
          </cell>
          <cell r="B753">
            <v>0</v>
          </cell>
          <cell r="C753">
            <v>0</v>
          </cell>
        </row>
        <row r="754">
          <cell r="A754">
            <v>37986</v>
          </cell>
          <cell r="B754">
            <v>0</v>
          </cell>
          <cell r="C754">
            <v>0</v>
          </cell>
        </row>
        <row r="755">
          <cell r="A755">
            <v>37988</v>
          </cell>
          <cell r="B755">
            <v>0</v>
          </cell>
          <cell r="C755">
            <v>0</v>
          </cell>
        </row>
        <row r="756">
          <cell r="A756">
            <v>37991</v>
          </cell>
          <cell r="B756">
            <v>0</v>
          </cell>
          <cell r="C756">
            <v>0</v>
          </cell>
        </row>
        <row r="757">
          <cell r="A757">
            <v>37992</v>
          </cell>
          <cell r="B757">
            <v>0</v>
          </cell>
          <cell r="C757">
            <v>0</v>
          </cell>
        </row>
        <row r="758">
          <cell r="A758">
            <v>37993</v>
          </cell>
          <cell r="B758">
            <v>0</v>
          </cell>
          <cell r="C758">
            <v>0</v>
          </cell>
        </row>
        <row r="759">
          <cell r="A759">
            <v>37994</v>
          </cell>
          <cell r="B759">
            <v>0</v>
          </cell>
          <cell r="C759">
            <v>0</v>
          </cell>
        </row>
        <row r="760">
          <cell r="A760">
            <v>37995</v>
          </cell>
          <cell r="B760">
            <v>0</v>
          </cell>
          <cell r="C760">
            <v>0</v>
          </cell>
        </row>
        <row r="761">
          <cell r="A761">
            <v>37998</v>
          </cell>
          <cell r="B761">
            <v>0</v>
          </cell>
          <cell r="C761">
            <v>0</v>
          </cell>
        </row>
        <row r="762">
          <cell r="A762">
            <v>37999</v>
          </cell>
          <cell r="B762">
            <v>0</v>
          </cell>
          <cell r="C762">
            <v>0</v>
          </cell>
        </row>
        <row r="763">
          <cell r="A763">
            <v>38000</v>
          </cell>
          <cell r="B763">
            <v>0</v>
          </cell>
          <cell r="C763">
            <v>0</v>
          </cell>
        </row>
      </sheetData>
      <sheetData sheetId="2">
        <row r="1">
          <cell r="B1" t="str">
            <v>VOLUME</v>
          </cell>
          <cell r="C1" t="str">
            <v>FKLI VOLATILITY</v>
          </cell>
        </row>
        <row r="1747">
          <cell r="A1747">
            <v>37637</v>
          </cell>
          <cell r="B1747">
            <v>860</v>
          </cell>
          <cell r="C1747">
            <v>0.18107547652166905</v>
          </cell>
        </row>
        <row r="1748">
          <cell r="A1748">
            <v>37638</v>
          </cell>
          <cell r="B1748">
            <v>786</v>
          </cell>
          <cell r="C1748">
            <v>0.19842814792096455</v>
          </cell>
        </row>
        <row r="1749">
          <cell r="A1749">
            <v>37641</v>
          </cell>
          <cell r="B1749">
            <v>711</v>
          </cell>
          <cell r="C1749">
            <v>0.15311892273299571</v>
          </cell>
        </row>
        <row r="1750">
          <cell r="A1750">
            <v>37642</v>
          </cell>
          <cell r="B1750">
            <v>1124</v>
          </cell>
          <cell r="C1750">
            <v>0.13774436430162595</v>
          </cell>
        </row>
        <row r="1751">
          <cell r="A1751">
            <v>37643</v>
          </cell>
          <cell r="B1751">
            <v>519</v>
          </cell>
          <cell r="C1751">
            <v>8.9020965177529179E-2</v>
          </cell>
        </row>
        <row r="1752">
          <cell r="A1752">
            <v>37644</v>
          </cell>
          <cell r="B1752">
            <v>961</v>
          </cell>
          <cell r="C1752">
            <v>0.10295441900275451</v>
          </cell>
        </row>
        <row r="1753">
          <cell r="A1753">
            <v>37645</v>
          </cell>
          <cell r="B1753">
            <v>1317</v>
          </cell>
          <cell r="C1753">
            <v>0.11417899158723982</v>
          </cell>
        </row>
        <row r="1754">
          <cell r="A1754">
            <v>37648</v>
          </cell>
          <cell r="B1754">
            <v>1909</v>
          </cell>
          <cell r="C1754">
            <v>0.13049723814356134</v>
          </cell>
        </row>
        <row r="1755">
          <cell r="A1755">
            <v>37649</v>
          </cell>
          <cell r="B1755">
            <v>2274</v>
          </cell>
          <cell r="C1755">
            <v>0.2217040761988732</v>
          </cell>
        </row>
        <row r="1756">
          <cell r="A1756">
            <v>37650</v>
          </cell>
          <cell r="B1756">
            <v>1876</v>
          </cell>
          <cell r="C1756">
            <v>0.25025080494492791</v>
          </cell>
        </row>
        <row r="1757">
          <cell r="A1757">
            <v>37651</v>
          </cell>
          <cell r="B1757">
            <v>814</v>
          </cell>
          <cell r="C1757">
            <v>0.24880744243004427</v>
          </cell>
        </row>
        <row r="1758">
          <cell r="A1758">
            <v>37657</v>
          </cell>
          <cell r="B1758">
            <v>387</v>
          </cell>
          <cell r="C1758">
            <v>0.25766352712898949</v>
          </cell>
        </row>
        <row r="1759">
          <cell r="A1759">
            <v>37658</v>
          </cell>
          <cell r="B1759">
            <v>289</v>
          </cell>
          <cell r="C1759">
            <v>0.23992982744744792</v>
          </cell>
        </row>
        <row r="1760">
          <cell r="A1760">
            <v>37659</v>
          </cell>
          <cell r="B1760">
            <v>1270</v>
          </cell>
          <cell r="C1760">
            <v>0.20576716914448057</v>
          </cell>
        </row>
        <row r="1761">
          <cell r="A1761">
            <v>37662</v>
          </cell>
          <cell r="B1761">
            <v>597</v>
          </cell>
          <cell r="C1761">
            <v>0.18233733561621773</v>
          </cell>
        </row>
        <row r="1762">
          <cell r="A1762">
            <v>37663</v>
          </cell>
          <cell r="B1762">
            <v>648</v>
          </cell>
          <cell r="C1762">
            <v>0.19747103761637508</v>
          </cell>
        </row>
        <row r="1763">
          <cell r="A1763">
            <v>37665</v>
          </cell>
          <cell r="B1763">
            <v>585</v>
          </cell>
          <cell r="C1763">
            <v>0.16693761224272077</v>
          </cell>
        </row>
        <row r="1764">
          <cell r="A1764">
            <v>37666</v>
          </cell>
          <cell r="B1764">
            <v>279</v>
          </cell>
          <cell r="C1764">
            <v>0.18397390519035756</v>
          </cell>
        </row>
        <row r="1765">
          <cell r="A1765">
            <v>37669</v>
          </cell>
          <cell r="B1765">
            <v>871</v>
          </cell>
          <cell r="C1765">
            <v>0.10199273769788679</v>
          </cell>
        </row>
        <row r="1766">
          <cell r="A1766">
            <v>37670</v>
          </cell>
          <cell r="B1766">
            <v>443</v>
          </cell>
          <cell r="C1766">
            <v>0.10920559957702673</v>
          </cell>
        </row>
        <row r="1767">
          <cell r="A1767">
            <v>37671</v>
          </cell>
          <cell r="B1767">
            <v>394</v>
          </cell>
          <cell r="C1767">
            <v>0.10332623960480282</v>
          </cell>
        </row>
        <row r="1768">
          <cell r="A1768">
            <v>37672</v>
          </cell>
          <cell r="B1768">
            <v>337</v>
          </cell>
          <cell r="C1768">
            <v>0.12743389628245849</v>
          </cell>
        </row>
        <row r="1769">
          <cell r="A1769">
            <v>37673</v>
          </cell>
          <cell r="B1769">
            <v>273</v>
          </cell>
          <cell r="C1769">
            <v>0.12011515034775634</v>
          </cell>
        </row>
        <row r="1770">
          <cell r="A1770">
            <v>37676</v>
          </cell>
          <cell r="B1770">
            <v>582</v>
          </cell>
          <cell r="C1770">
            <v>0.11126257277862002</v>
          </cell>
        </row>
        <row r="1771">
          <cell r="A1771">
            <v>37677</v>
          </cell>
          <cell r="B1771">
            <v>1228</v>
          </cell>
          <cell r="C1771">
            <v>0.1140776219838263</v>
          </cell>
        </row>
        <row r="1772">
          <cell r="A1772">
            <v>37678</v>
          </cell>
          <cell r="B1772">
            <v>1290</v>
          </cell>
          <cell r="C1772">
            <v>0.11160468743352718</v>
          </cell>
        </row>
        <row r="1773">
          <cell r="A1773">
            <v>37679</v>
          </cell>
          <cell r="B1773">
            <v>2004</v>
          </cell>
          <cell r="C1773">
            <v>9.6150838903635863E-2</v>
          </cell>
        </row>
        <row r="1774">
          <cell r="A1774">
            <v>37680</v>
          </cell>
          <cell r="B1774">
            <v>819</v>
          </cell>
          <cell r="C1774">
            <v>9.4039492497525551E-2</v>
          </cell>
        </row>
        <row r="1775">
          <cell r="A1775">
            <v>37683</v>
          </cell>
          <cell r="B1775">
            <v>236</v>
          </cell>
          <cell r="C1775">
            <v>6.310813850709919E-2</v>
          </cell>
        </row>
        <row r="1776">
          <cell r="A1776">
            <v>37685</v>
          </cell>
          <cell r="B1776">
            <v>389</v>
          </cell>
          <cell r="C1776">
            <v>0.14740344403977468</v>
          </cell>
        </row>
        <row r="1777">
          <cell r="A1777">
            <v>37686</v>
          </cell>
          <cell r="B1777">
            <v>221</v>
          </cell>
          <cell r="C1777">
            <v>0.14738561109808332</v>
          </cell>
        </row>
        <row r="1778">
          <cell r="A1778">
            <v>37687</v>
          </cell>
          <cell r="B1778">
            <v>376</v>
          </cell>
          <cell r="C1778">
            <v>0.12700529465953889</v>
          </cell>
        </row>
        <row r="1779">
          <cell r="A1779">
            <v>37690</v>
          </cell>
          <cell r="B1779">
            <v>339</v>
          </cell>
          <cell r="C1779">
            <v>0.14841089088662926</v>
          </cell>
        </row>
        <row r="1780">
          <cell r="A1780">
            <v>37691</v>
          </cell>
          <cell r="B1780">
            <v>620</v>
          </cell>
          <cell r="C1780">
            <v>0.15367849208660503</v>
          </cell>
        </row>
        <row r="1781">
          <cell r="A1781">
            <v>37692</v>
          </cell>
          <cell r="B1781">
            <v>662</v>
          </cell>
          <cell r="C1781">
            <v>0.16117976544630988</v>
          </cell>
        </row>
        <row r="1782">
          <cell r="A1782">
            <v>37693</v>
          </cell>
          <cell r="B1782">
            <v>519</v>
          </cell>
          <cell r="C1782">
            <v>0.16137244052660504</v>
          </cell>
        </row>
        <row r="1783">
          <cell r="A1783">
            <v>37694</v>
          </cell>
          <cell r="B1783">
            <v>819</v>
          </cell>
          <cell r="C1783">
            <v>0.17571963308437538</v>
          </cell>
        </row>
        <row r="1784">
          <cell r="A1784">
            <v>37697</v>
          </cell>
          <cell r="B1784">
            <v>548</v>
          </cell>
          <cell r="C1784">
            <v>0.19131274840747528</v>
          </cell>
        </row>
        <row r="1785">
          <cell r="A1785">
            <v>37698</v>
          </cell>
          <cell r="B1785">
            <v>791</v>
          </cell>
          <cell r="C1785">
            <v>0.26513210397747683</v>
          </cell>
        </row>
        <row r="1786">
          <cell r="A1786">
            <v>37699</v>
          </cell>
          <cell r="B1786">
            <v>304</v>
          </cell>
          <cell r="C1786">
            <v>0.26346017423781382</v>
          </cell>
        </row>
        <row r="1787">
          <cell r="A1787">
            <v>37700</v>
          </cell>
          <cell r="B1787">
            <v>1456</v>
          </cell>
          <cell r="C1787">
            <v>0.28209829348230464</v>
          </cell>
        </row>
        <row r="1788">
          <cell r="A1788">
            <v>37701</v>
          </cell>
          <cell r="B1788">
            <v>474</v>
          </cell>
          <cell r="C1788">
            <v>0.28228894140569549</v>
          </cell>
        </row>
        <row r="1789">
          <cell r="A1789">
            <v>37704</v>
          </cell>
          <cell r="B1789">
            <v>748</v>
          </cell>
          <cell r="C1789">
            <v>0.17892547956329941</v>
          </cell>
        </row>
        <row r="1790">
          <cell r="A1790">
            <v>37705</v>
          </cell>
          <cell r="B1790">
            <v>1135</v>
          </cell>
          <cell r="C1790">
            <v>0.12026039564383124</v>
          </cell>
        </row>
        <row r="1791">
          <cell r="A1791">
            <v>37706</v>
          </cell>
          <cell r="B1791">
            <v>1189</v>
          </cell>
          <cell r="C1791">
            <v>0.1167414600252162</v>
          </cell>
        </row>
        <row r="1792">
          <cell r="A1792">
            <v>37707</v>
          </cell>
          <cell r="B1792">
            <v>1266</v>
          </cell>
          <cell r="C1792">
            <v>5.0322885770418622E-2</v>
          </cell>
        </row>
        <row r="1793">
          <cell r="A1793">
            <v>37708</v>
          </cell>
          <cell r="B1793">
            <v>1488</v>
          </cell>
          <cell r="C1793">
            <v>7.6746521825959202E-2</v>
          </cell>
        </row>
        <row r="1794">
          <cell r="A1794">
            <v>37711</v>
          </cell>
          <cell r="B1794">
            <v>1140</v>
          </cell>
          <cell r="C1794">
            <v>6.9357340252970384E-2</v>
          </cell>
        </row>
        <row r="1795">
          <cell r="A1795">
            <v>37712</v>
          </cell>
          <cell r="B1795">
            <v>457</v>
          </cell>
          <cell r="C1795">
            <v>0.19618963562560865</v>
          </cell>
        </row>
        <row r="1796">
          <cell r="A1796">
            <v>37713</v>
          </cell>
          <cell r="B1796">
            <v>374</v>
          </cell>
          <cell r="C1796">
            <v>0.20606200637738789</v>
          </cell>
        </row>
        <row r="1797">
          <cell r="A1797">
            <v>37714</v>
          </cell>
          <cell r="B1797">
            <v>675</v>
          </cell>
          <cell r="C1797">
            <v>0.20963301008569787</v>
          </cell>
        </row>
        <row r="1798">
          <cell r="A1798">
            <v>37715</v>
          </cell>
          <cell r="B1798">
            <v>1195</v>
          </cell>
          <cell r="C1798">
            <v>0.20621288129493834</v>
          </cell>
        </row>
        <row r="1799">
          <cell r="A1799">
            <v>37718</v>
          </cell>
          <cell r="B1799">
            <v>727</v>
          </cell>
          <cell r="C1799">
            <v>0.27536005560561766</v>
          </cell>
        </row>
        <row r="1800">
          <cell r="A1800">
            <v>37719</v>
          </cell>
          <cell r="B1800">
            <v>770</v>
          </cell>
          <cell r="C1800">
            <v>0.19767943039497338</v>
          </cell>
        </row>
        <row r="1801">
          <cell r="A1801">
            <v>37720</v>
          </cell>
          <cell r="B1801">
            <v>712</v>
          </cell>
          <cell r="C1801">
            <v>0.27273129742466262</v>
          </cell>
        </row>
        <row r="1802">
          <cell r="A1802">
            <v>37721</v>
          </cell>
          <cell r="B1802">
            <v>424</v>
          </cell>
          <cell r="C1802">
            <v>0.2714646099244582</v>
          </cell>
        </row>
        <row r="1803">
          <cell r="A1803">
            <v>37722</v>
          </cell>
          <cell r="B1803">
            <v>341</v>
          </cell>
          <cell r="C1803">
            <v>0.26814043858689385</v>
          </cell>
        </row>
        <row r="1804">
          <cell r="A1804">
            <v>37725</v>
          </cell>
          <cell r="B1804">
            <v>498</v>
          </cell>
          <cell r="C1804">
            <v>0.13760818711468806</v>
          </cell>
        </row>
        <row r="1805">
          <cell r="A1805">
            <v>37726</v>
          </cell>
          <cell r="B1805">
            <v>587</v>
          </cell>
          <cell r="C1805">
            <v>0.21641727808812158</v>
          </cell>
        </row>
        <row r="1806">
          <cell r="A1806">
            <v>37727</v>
          </cell>
          <cell r="B1806">
            <v>595</v>
          </cell>
          <cell r="C1806">
            <v>0.16243241417868109</v>
          </cell>
        </row>
        <row r="1807">
          <cell r="A1807">
            <v>37728</v>
          </cell>
          <cell r="B1807">
            <v>248</v>
          </cell>
          <cell r="C1807">
            <v>0.16116774091453726</v>
          </cell>
        </row>
        <row r="1808">
          <cell r="A1808">
            <v>37729</v>
          </cell>
          <cell r="B1808">
            <v>328</v>
          </cell>
          <cell r="C1808">
            <v>0.1697762747429965</v>
          </cell>
        </row>
        <row r="1809">
          <cell r="A1809">
            <v>37732</v>
          </cell>
          <cell r="B1809">
            <v>167</v>
          </cell>
          <cell r="C1809">
            <v>0.13095567612328929</v>
          </cell>
        </row>
        <row r="1810">
          <cell r="A1810">
            <v>37733</v>
          </cell>
          <cell r="B1810">
            <v>401</v>
          </cell>
          <cell r="C1810">
            <v>9.9665862101454811E-2</v>
          </cell>
        </row>
        <row r="1811">
          <cell r="A1811">
            <v>37734</v>
          </cell>
          <cell r="B1811">
            <v>493</v>
          </cell>
          <cell r="C1811">
            <v>9.9766571898643464E-2</v>
          </cell>
        </row>
        <row r="1812">
          <cell r="A1812">
            <v>37735</v>
          </cell>
          <cell r="B1812">
            <v>523</v>
          </cell>
          <cell r="C1812">
            <v>0.12189217325793593</v>
          </cell>
        </row>
        <row r="1813">
          <cell r="A1813">
            <v>37736</v>
          </cell>
          <cell r="B1813">
            <v>1621</v>
          </cell>
          <cell r="C1813">
            <v>0.10517070211023881</v>
          </cell>
        </row>
        <row r="1814">
          <cell r="A1814">
            <v>37739</v>
          </cell>
          <cell r="B1814">
            <v>1996</v>
          </cell>
          <cell r="C1814">
            <v>0.10942669772651946</v>
          </cell>
        </row>
        <row r="1815">
          <cell r="A1815">
            <v>37740</v>
          </cell>
          <cell r="B1815">
            <v>770</v>
          </cell>
          <cell r="C1815">
            <v>0.11179517593427879</v>
          </cell>
        </row>
        <row r="1816">
          <cell r="A1816">
            <v>37741</v>
          </cell>
          <cell r="B1816">
            <v>591</v>
          </cell>
          <cell r="C1816">
            <v>0.1116822944474634</v>
          </cell>
        </row>
        <row r="1817">
          <cell r="A1817">
            <v>37743</v>
          </cell>
          <cell r="B1817">
            <v>148</v>
          </cell>
          <cell r="C1817">
            <v>0.10116919385153381</v>
          </cell>
        </row>
        <row r="1818">
          <cell r="A1818">
            <v>37746</v>
          </cell>
          <cell r="B1818">
            <v>592</v>
          </cell>
          <cell r="C1818">
            <v>0.10405041004748516</v>
          </cell>
        </row>
        <row r="1819">
          <cell r="A1819">
            <v>37747</v>
          </cell>
          <cell r="B1819">
            <v>250</v>
          </cell>
          <cell r="C1819">
            <v>0.10640737261381056</v>
          </cell>
        </row>
        <row r="1820">
          <cell r="A1820">
            <v>37748</v>
          </cell>
          <cell r="B1820">
            <v>307</v>
          </cell>
          <cell r="C1820">
            <v>9.7668848213409612E-2</v>
          </cell>
        </row>
        <row r="1821">
          <cell r="A1821">
            <v>37749</v>
          </cell>
          <cell r="B1821">
            <v>318</v>
          </cell>
          <cell r="C1821">
            <v>0.10500698335492863</v>
          </cell>
        </row>
        <row r="1822">
          <cell r="A1822">
            <v>37750</v>
          </cell>
          <cell r="B1822">
            <v>225</v>
          </cell>
          <cell r="C1822">
            <v>7.9910570447910181E-2</v>
          </cell>
        </row>
        <row r="1823">
          <cell r="A1823">
            <v>37753</v>
          </cell>
          <cell r="B1823">
            <v>275</v>
          </cell>
          <cell r="C1823">
            <v>8.1549963997802538E-2</v>
          </cell>
        </row>
        <row r="1824">
          <cell r="A1824">
            <v>37754</v>
          </cell>
          <cell r="B1824">
            <v>208</v>
          </cell>
          <cell r="C1824">
            <v>7.8280309946741983E-2</v>
          </cell>
        </row>
        <row r="1825">
          <cell r="A1825">
            <v>37757</v>
          </cell>
          <cell r="B1825">
            <v>699</v>
          </cell>
          <cell r="C1825">
            <v>7.6893901241748941E-2</v>
          </cell>
        </row>
        <row r="1826">
          <cell r="A1826">
            <v>37760</v>
          </cell>
          <cell r="B1826">
            <v>692</v>
          </cell>
          <cell r="C1826">
            <v>3.8870260658995577E-2</v>
          </cell>
        </row>
        <row r="1827">
          <cell r="A1827">
            <v>37761</v>
          </cell>
          <cell r="B1827">
            <v>506</v>
          </cell>
          <cell r="C1827">
            <v>3.8771617714474717E-2</v>
          </cell>
        </row>
        <row r="1828">
          <cell r="A1828">
            <v>37762</v>
          </cell>
          <cell r="B1828">
            <v>369</v>
          </cell>
          <cell r="C1828">
            <v>7.795898651568374E-2</v>
          </cell>
        </row>
        <row r="1829">
          <cell r="A1829">
            <v>37763</v>
          </cell>
          <cell r="B1829">
            <v>663</v>
          </cell>
          <cell r="C1829">
            <v>9.7777334968370377E-2</v>
          </cell>
        </row>
        <row r="1830">
          <cell r="A1830">
            <v>37764</v>
          </cell>
          <cell r="B1830">
            <v>991</v>
          </cell>
          <cell r="C1830">
            <v>0.11368301396167911</v>
          </cell>
        </row>
        <row r="1831">
          <cell r="A1831">
            <v>37767</v>
          </cell>
          <cell r="B1831">
            <v>1583</v>
          </cell>
          <cell r="C1831">
            <v>0.13262512870691195</v>
          </cell>
        </row>
        <row r="1832">
          <cell r="A1832">
            <v>37768</v>
          </cell>
          <cell r="B1832">
            <v>1504</v>
          </cell>
          <cell r="C1832">
            <v>0.16546718091392645</v>
          </cell>
        </row>
        <row r="1833">
          <cell r="A1833">
            <v>37769</v>
          </cell>
          <cell r="B1833">
            <v>1466</v>
          </cell>
          <cell r="C1833">
            <v>0.14805235808684372</v>
          </cell>
        </row>
        <row r="1834">
          <cell r="A1834">
            <v>37770</v>
          </cell>
          <cell r="B1834">
            <v>2091</v>
          </cell>
          <cell r="C1834">
            <v>0.15004851979482758</v>
          </cell>
        </row>
        <row r="1835">
          <cell r="A1835">
            <v>37771</v>
          </cell>
          <cell r="B1835">
            <v>1634</v>
          </cell>
          <cell r="C1835">
            <v>0.16418934091265561</v>
          </cell>
        </row>
        <row r="1836">
          <cell r="A1836">
            <v>37774</v>
          </cell>
          <cell r="B1836">
            <v>654</v>
          </cell>
          <cell r="C1836">
            <v>0.15055094877108408</v>
          </cell>
        </row>
        <row r="1837">
          <cell r="A1837">
            <v>37775</v>
          </cell>
          <cell r="B1837">
            <v>568</v>
          </cell>
          <cell r="C1837">
            <v>0.1115262148449466</v>
          </cell>
        </row>
        <row r="1838">
          <cell r="A1838">
            <v>37776</v>
          </cell>
          <cell r="B1838">
            <v>286</v>
          </cell>
          <cell r="C1838">
            <v>9.0235346365772851E-2</v>
          </cell>
        </row>
        <row r="1839">
          <cell r="A1839">
            <v>37777</v>
          </cell>
          <cell r="B1839">
            <v>1412</v>
          </cell>
          <cell r="C1839">
            <v>6.274856394871467E-2</v>
          </cell>
        </row>
        <row r="1840">
          <cell r="A1840">
            <v>37778</v>
          </cell>
          <cell r="B1840">
            <v>576</v>
          </cell>
          <cell r="C1840">
            <v>8.3497808958380729E-2</v>
          </cell>
        </row>
        <row r="1841">
          <cell r="A1841">
            <v>37781</v>
          </cell>
          <cell r="B1841">
            <v>379</v>
          </cell>
          <cell r="C1841">
            <v>8.3089569906103694E-2</v>
          </cell>
        </row>
        <row r="1842">
          <cell r="A1842">
            <v>37782</v>
          </cell>
          <cell r="B1842">
            <v>416</v>
          </cell>
          <cell r="C1842">
            <v>0.10194947907349827</v>
          </cell>
        </row>
        <row r="1843">
          <cell r="A1843">
            <v>37783</v>
          </cell>
          <cell r="B1843">
            <v>926</v>
          </cell>
          <cell r="C1843">
            <v>9.3149764100580193E-2</v>
          </cell>
        </row>
        <row r="1844">
          <cell r="A1844">
            <v>37784</v>
          </cell>
          <cell r="B1844">
            <v>1169</v>
          </cell>
          <cell r="C1844">
            <v>9.6588431265342611E-2</v>
          </cell>
        </row>
        <row r="1845">
          <cell r="A1845">
            <v>37785</v>
          </cell>
          <cell r="B1845">
            <v>880</v>
          </cell>
          <cell r="C1845">
            <v>7.4437522650713281E-2</v>
          </cell>
        </row>
        <row r="1846">
          <cell r="A1846">
            <v>37788</v>
          </cell>
          <cell r="B1846">
            <v>705</v>
          </cell>
          <cell r="C1846">
            <v>0.13377798583170214</v>
          </cell>
        </row>
        <row r="1847">
          <cell r="A1847">
            <v>37789</v>
          </cell>
          <cell r="B1847">
            <v>1016</v>
          </cell>
          <cell r="C1847">
            <v>0.13791659586985441</v>
          </cell>
        </row>
        <row r="1848">
          <cell r="A1848">
            <v>37790</v>
          </cell>
          <cell r="B1848">
            <v>656</v>
          </cell>
          <cell r="C1848">
            <v>0.13513506255174382</v>
          </cell>
        </row>
        <row r="1849">
          <cell r="A1849">
            <v>37791</v>
          </cell>
          <cell r="B1849">
            <v>764</v>
          </cell>
          <cell r="C1849">
            <v>0.11129012364115436</v>
          </cell>
        </row>
        <row r="1850">
          <cell r="A1850">
            <v>37792</v>
          </cell>
          <cell r="B1850">
            <v>766</v>
          </cell>
          <cell r="C1850">
            <v>0.11064036120355196</v>
          </cell>
        </row>
        <row r="1851">
          <cell r="A1851">
            <v>37795</v>
          </cell>
          <cell r="B1851">
            <v>1603</v>
          </cell>
          <cell r="C1851">
            <v>5.8380415864669487E-2</v>
          </cell>
        </row>
        <row r="1852">
          <cell r="A1852">
            <v>37796</v>
          </cell>
          <cell r="B1852">
            <v>2020</v>
          </cell>
          <cell r="C1852">
            <v>7.1892557423767739E-2</v>
          </cell>
        </row>
        <row r="1853">
          <cell r="A1853">
            <v>37797</v>
          </cell>
          <cell r="B1853">
            <v>2196</v>
          </cell>
          <cell r="C1853">
            <v>0.10219575751245966</v>
          </cell>
        </row>
        <row r="1854">
          <cell r="A1854">
            <v>37798</v>
          </cell>
          <cell r="B1854">
            <v>1965</v>
          </cell>
          <cell r="C1854">
            <v>0.11388771163105275</v>
          </cell>
        </row>
        <row r="1855">
          <cell r="A1855">
            <v>37799</v>
          </cell>
          <cell r="B1855">
            <v>1445</v>
          </cell>
          <cell r="C1855">
            <v>0.1388758419033912</v>
          </cell>
        </row>
        <row r="1856">
          <cell r="A1856">
            <v>37802</v>
          </cell>
          <cell r="B1856">
            <v>1348</v>
          </cell>
          <cell r="C1856">
            <v>0.13240530257598357</v>
          </cell>
        </row>
        <row r="1857">
          <cell r="A1857">
            <v>37803</v>
          </cell>
          <cell r="B1857">
            <v>589</v>
          </cell>
          <cell r="C1857">
            <v>6.2391720057305873E-2</v>
          </cell>
        </row>
        <row r="1858">
          <cell r="A1858">
            <v>37804</v>
          </cell>
          <cell r="B1858">
            <v>849</v>
          </cell>
          <cell r="C1858">
            <v>0.10355343513268482</v>
          </cell>
        </row>
        <row r="1859">
          <cell r="A1859">
            <v>37805</v>
          </cell>
          <cell r="B1859">
            <v>1931</v>
          </cell>
          <cell r="C1859">
            <v>0.1308758571889585</v>
          </cell>
        </row>
        <row r="1860">
          <cell r="A1860">
            <v>37806</v>
          </cell>
          <cell r="B1860">
            <v>856</v>
          </cell>
          <cell r="C1860">
            <v>0.13404339121588033</v>
          </cell>
        </row>
        <row r="1861">
          <cell r="A1861">
            <v>37809</v>
          </cell>
          <cell r="B1861">
            <v>1110</v>
          </cell>
          <cell r="C1861">
            <v>0.1034289453420867</v>
          </cell>
        </row>
        <row r="1862">
          <cell r="A1862">
            <v>37810</v>
          </cell>
          <cell r="B1862">
            <v>1231</v>
          </cell>
          <cell r="C1862">
            <v>0.15033571798671502</v>
          </cell>
        </row>
        <row r="1863">
          <cell r="A1863">
            <v>37811</v>
          </cell>
          <cell r="B1863">
            <v>760</v>
          </cell>
          <cell r="C1863">
            <v>0.16143292917104174</v>
          </cell>
        </row>
        <row r="1864">
          <cell r="A1864">
            <v>37812</v>
          </cell>
          <cell r="B1864">
            <v>771</v>
          </cell>
          <cell r="C1864">
            <v>9.2677076268148695E-2</v>
          </cell>
        </row>
        <row r="1865">
          <cell r="A1865">
            <v>37813</v>
          </cell>
          <cell r="B1865">
            <v>1073</v>
          </cell>
          <cell r="C1865">
            <v>9.316673369323128E-2</v>
          </cell>
        </row>
        <row r="1866">
          <cell r="A1866">
            <v>37816</v>
          </cell>
          <cell r="B1866">
            <v>1064</v>
          </cell>
          <cell r="C1866">
            <v>8.1329694246741344E-2</v>
          </cell>
        </row>
        <row r="1867">
          <cell r="A1867">
            <v>37817</v>
          </cell>
          <cell r="B1867">
            <v>985</v>
          </cell>
          <cell r="C1867">
            <v>8.7885808101645937E-2</v>
          </cell>
        </row>
        <row r="1868">
          <cell r="A1868">
            <v>37818</v>
          </cell>
          <cell r="B1868">
            <v>759</v>
          </cell>
          <cell r="C1868">
            <v>8.7910996925117765E-2</v>
          </cell>
        </row>
        <row r="1869">
          <cell r="A1869">
            <v>37819</v>
          </cell>
          <cell r="B1869">
            <v>1275</v>
          </cell>
          <cell r="C1869">
            <v>0.16089138152354368</v>
          </cell>
        </row>
        <row r="1870">
          <cell r="A1870">
            <v>37820</v>
          </cell>
          <cell r="B1870">
            <v>1413</v>
          </cell>
          <cell r="C1870">
            <v>0.16629679189975724</v>
          </cell>
        </row>
        <row r="1871">
          <cell r="A1871">
            <v>37823</v>
          </cell>
          <cell r="B1871">
            <v>950</v>
          </cell>
          <cell r="C1871">
            <v>0.15660013837290623</v>
          </cell>
        </row>
        <row r="1872">
          <cell r="A1872">
            <v>37824</v>
          </cell>
          <cell r="B1872">
            <v>1227</v>
          </cell>
          <cell r="C1872">
            <v>0.1566184063026807</v>
          </cell>
        </row>
        <row r="1873">
          <cell r="A1873">
            <v>37825</v>
          </cell>
          <cell r="B1873">
            <v>1093</v>
          </cell>
          <cell r="C1873">
            <v>0.15646481980962773</v>
          </cell>
        </row>
        <row r="1874">
          <cell r="A1874">
            <v>37826</v>
          </cell>
          <cell r="B1874">
            <v>1461</v>
          </cell>
          <cell r="C1874">
            <v>0.1226949487296414</v>
          </cell>
        </row>
        <row r="1875">
          <cell r="A1875">
            <v>37827</v>
          </cell>
          <cell r="B1875">
            <v>813</v>
          </cell>
          <cell r="C1875">
            <v>9.220615888240391E-2</v>
          </cell>
        </row>
        <row r="1876">
          <cell r="A1876">
            <v>37830</v>
          </cell>
          <cell r="B1876">
            <v>2318</v>
          </cell>
          <cell r="C1876">
            <v>9.3552259676327021E-2</v>
          </cell>
        </row>
        <row r="1877">
          <cell r="A1877">
            <v>37831</v>
          </cell>
          <cell r="B1877">
            <v>2908</v>
          </cell>
          <cell r="C1877">
            <v>8.6741824222185918E-2</v>
          </cell>
        </row>
        <row r="1878">
          <cell r="A1878">
            <v>37832</v>
          </cell>
          <cell r="B1878">
            <v>2265</v>
          </cell>
          <cell r="C1878">
            <v>0.11079175624079564</v>
          </cell>
        </row>
        <row r="1879">
          <cell r="A1879">
            <v>37833</v>
          </cell>
          <cell r="B1879">
            <v>1306</v>
          </cell>
          <cell r="C1879">
            <v>0.12099110416554179</v>
          </cell>
        </row>
        <row r="1880">
          <cell r="A1880">
            <v>37834</v>
          </cell>
          <cell r="B1880">
            <v>686</v>
          </cell>
          <cell r="C1880">
            <v>0.10720212357599797</v>
          </cell>
        </row>
        <row r="1881">
          <cell r="A1881">
            <v>37837</v>
          </cell>
          <cell r="B1881">
            <v>651</v>
          </cell>
          <cell r="C1881">
            <v>0.12738357120146757</v>
          </cell>
        </row>
        <row r="1882">
          <cell r="A1882">
            <v>37838</v>
          </cell>
          <cell r="B1882">
            <v>1273</v>
          </cell>
          <cell r="C1882">
            <v>0.14222335955138915</v>
          </cell>
        </row>
        <row r="1883">
          <cell r="A1883">
            <v>37839</v>
          </cell>
          <cell r="B1883">
            <v>2160</v>
          </cell>
          <cell r="C1883">
            <v>0.1152253481204184</v>
          </cell>
        </row>
        <row r="1884">
          <cell r="A1884">
            <v>37840</v>
          </cell>
          <cell r="B1884">
            <v>1020</v>
          </cell>
          <cell r="C1884">
            <v>0.11457840487957831</v>
          </cell>
        </row>
        <row r="1885">
          <cell r="A1885">
            <v>37841</v>
          </cell>
          <cell r="B1885">
            <v>406</v>
          </cell>
          <cell r="C1885">
            <v>7.9236615836309324E-2</v>
          </cell>
        </row>
        <row r="1886">
          <cell r="A1886">
            <v>37844</v>
          </cell>
          <cell r="B1886">
            <v>622</v>
          </cell>
          <cell r="C1886">
            <v>0.11177643331720687</v>
          </cell>
        </row>
        <row r="1887">
          <cell r="A1887">
            <v>37845</v>
          </cell>
          <cell r="B1887">
            <v>659</v>
          </cell>
          <cell r="C1887">
            <v>0.10536232937631576</v>
          </cell>
        </row>
        <row r="1888">
          <cell r="A1888">
            <v>37846</v>
          </cell>
          <cell r="B1888">
            <v>617</v>
          </cell>
          <cell r="C1888">
            <v>7.7652823897304185E-2</v>
          </cell>
        </row>
        <row r="1889">
          <cell r="A1889">
            <v>37847</v>
          </cell>
          <cell r="B1889">
            <v>685</v>
          </cell>
          <cell r="C1889">
            <v>5.7712789239444166E-2</v>
          </cell>
        </row>
        <row r="1890">
          <cell r="A1890">
            <v>37848</v>
          </cell>
          <cell r="B1890">
            <v>641</v>
          </cell>
          <cell r="C1890">
            <v>7.5488174966293217E-2</v>
          </cell>
        </row>
        <row r="1891">
          <cell r="A1891">
            <v>37851</v>
          </cell>
          <cell r="B1891">
            <v>466</v>
          </cell>
          <cell r="C1891">
            <v>6.9306688586765058E-2</v>
          </cell>
        </row>
        <row r="1892">
          <cell r="A1892">
            <v>37852</v>
          </cell>
          <cell r="B1892">
            <v>600</v>
          </cell>
          <cell r="C1892">
            <v>5.8499057550494706E-2</v>
          </cell>
        </row>
        <row r="1893">
          <cell r="A1893">
            <v>37853</v>
          </cell>
          <cell r="B1893">
            <v>553</v>
          </cell>
          <cell r="C1893">
            <v>8.9312753053795088E-2</v>
          </cell>
        </row>
        <row r="1894">
          <cell r="A1894">
            <v>37854</v>
          </cell>
          <cell r="B1894">
            <v>1222</v>
          </cell>
          <cell r="C1894">
            <v>0.13182711618894372</v>
          </cell>
        </row>
        <row r="1895">
          <cell r="A1895">
            <v>37855</v>
          </cell>
          <cell r="B1895">
            <v>1060</v>
          </cell>
          <cell r="C1895">
            <v>0.12390835234856529</v>
          </cell>
        </row>
        <row r="1896">
          <cell r="A1896">
            <v>37858</v>
          </cell>
          <cell r="B1896">
            <v>1092</v>
          </cell>
          <cell r="C1896">
            <v>0.13585648904042794</v>
          </cell>
        </row>
        <row r="1897">
          <cell r="A1897">
            <v>37859</v>
          </cell>
          <cell r="B1897">
            <v>1916</v>
          </cell>
          <cell r="C1897">
            <v>0.13320139967237263</v>
          </cell>
        </row>
        <row r="1898">
          <cell r="A1898">
            <v>37860</v>
          </cell>
          <cell r="B1898">
            <v>1975</v>
          </cell>
          <cell r="C1898">
            <v>0.11647690540205979</v>
          </cell>
        </row>
        <row r="1899">
          <cell r="A1899">
            <v>37861</v>
          </cell>
          <cell r="B1899">
            <v>1687</v>
          </cell>
          <cell r="C1899">
            <v>3.8609082886457362E-2</v>
          </cell>
        </row>
        <row r="1900">
          <cell r="A1900">
            <v>37862</v>
          </cell>
          <cell r="B1900">
            <v>1569</v>
          </cell>
          <cell r="C1900">
            <v>4.0607219508679494E-2</v>
          </cell>
        </row>
        <row r="1901">
          <cell r="A1901">
            <v>37866</v>
          </cell>
          <cell r="B1901">
            <v>400</v>
          </cell>
          <cell r="C1901">
            <v>2.8449603303026028E-2</v>
          </cell>
        </row>
        <row r="1902">
          <cell r="A1902">
            <v>37867</v>
          </cell>
          <cell r="B1902">
            <v>761</v>
          </cell>
          <cell r="C1902">
            <v>6.2454850078172294E-2</v>
          </cell>
        </row>
        <row r="1903">
          <cell r="A1903">
            <v>37868</v>
          </cell>
          <cell r="B1903">
            <v>752</v>
          </cell>
          <cell r="C1903">
            <v>6.9948444608300728E-2</v>
          </cell>
        </row>
        <row r="1904">
          <cell r="A1904">
            <v>37869</v>
          </cell>
          <cell r="B1904">
            <v>535</v>
          </cell>
          <cell r="C1904">
            <v>7.1574086092717509E-2</v>
          </cell>
        </row>
        <row r="1905">
          <cell r="A1905">
            <v>37872</v>
          </cell>
          <cell r="B1905">
            <v>579</v>
          </cell>
          <cell r="C1905">
            <v>9.128729763690617E-2</v>
          </cell>
        </row>
        <row r="1906">
          <cell r="A1906">
            <v>37873</v>
          </cell>
          <cell r="B1906">
            <v>1261</v>
          </cell>
          <cell r="C1906">
            <v>0.15027965560465911</v>
          </cell>
        </row>
        <row r="1907">
          <cell r="A1907">
            <v>37874</v>
          </cell>
          <cell r="B1907">
            <v>953</v>
          </cell>
          <cell r="C1907">
            <v>0.12464353072908989</v>
          </cell>
        </row>
        <row r="1908">
          <cell r="A1908">
            <v>37875</v>
          </cell>
          <cell r="B1908">
            <v>912</v>
          </cell>
          <cell r="C1908">
            <v>0.13823500873013725</v>
          </cell>
        </row>
        <row r="1909">
          <cell r="A1909">
            <v>37876</v>
          </cell>
          <cell r="B1909">
            <v>696</v>
          </cell>
          <cell r="C1909">
            <v>0.14226996066190978</v>
          </cell>
        </row>
        <row r="1910">
          <cell r="A1910">
            <v>37879</v>
          </cell>
          <cell r="B1910">
            <v>337</v>
          </cell>
          <cell r="C1910">
            <v>0.14909792548926201</v>
          </cell>
        </row>
        <row r="1911">
          <cell r="A1911">
            <v>37880</v>
          </cell>
          <cell r="B1911">
            <v>717</v>
          </cell>
          <cell r="C1911">
            <v>0.11818185600566682</v>
          </cell>
        </row>
        <row r="1912">
          <cell r="A1912">
            <v>37881</v>
          </cell>
          <cell r="B1912">
            <v>1318</v>
          </cell>
          <cell r="C1912">
            <v>0.1184063183156368</v>
          </cell>
        </row>
        <row r="1913">
          <cell r="A1913">
            <v>37882</v>
          </cell>
          <cell r="B1913">
            <v>384</v>
          </cell>
          <cell r="C1913">
            <v>0.12155320615598376</v>
          </cell>
        </row>
        <row r="1914">
          <cell r="A1914">
            <v>37883</v>
          </cell>
          <cell r="B1914">
            <v>959</v>
          </cell>
          <cell r="C1914">
            <v>8.635722929171373E-2</v>
          </cell>
        </row>
        <row r="1915">
          <cell r="A1915">
            <v>37886</v>
          </cell>
          <cell r="B1915">
            <v>1503</v>
          </cell>
          <cell r="C1915">
            <v>0.14638386643724735</v>
          </cell>
        </row>
        <row r="1916">
          <cell r="A1916">
            <v>37887</v>
          </cell>
          <cell r="B1916">
            <v>1544</v>
          </cell>
          <cell r="C1916">
            <v>0.12743334023321831</v>
          </cell>
        </row>
        <row r="1917">
          <cell r="A1917">
            <v>37888</v>
          </cell>
          <cell r="B1917">
            <v>3215</v>
          </cell>
          <cell r="C1917">
            <v>0.16461198812928679</v>
          </cell>
        </row>
        <row r="1918">
          <cell r="A1918">
            <v>37889</v>
          </cell>
          <cell r="B1918">
            <v>3514</v>
          </cell>
          <cell r="C1918">
            <v>0.17098166406267429</v>
          </cell>
        </row>
        <row r="1919">
          <cell r="A1919">
            <v>37890</v>
          </cell>
          <cell r="B1919">
            <v>4146</v>
          </cell>
          <cell r="C1919">
            <v>0.16922610145828831</v>
          </cell>
        </row>
        <row r="1920">
          <cell r="A1920">
            <v>37893</v>
          </cell>
          <cell r="B1920">
            <v>3272</v>
          </cell>
          <cell r="C1920">
            <v>0.14933393328710373</v>
          </cell>
        </row>
        <row r="1921">
          <cell r="A1921">
            <v>37894</v>
          </cell>
          <cell r="B1921">
            <v>1847</v>
          </cell>
          <cell r="C1921">
            <v>0.15230127090808479</v>
          </cell>
        </row>
        <row r="1922">
          <cell r="A1922">
            <v>37895</v>
          </cell>
          <cell r="B1922">
            <v>1734</v>
          </cell>
          <cell r="C1922">
            <v>6.2674408872050863E-2</v>
          </cell>
        </row>
        <row r="1923">
          <cell r="A1923">
            <v>37896</v>
          </cell>
          <cell r="B1923">
            <v>1412</v>
          </cell>
          <cell r="C1923">
            <v>7.0712387358016021E-2</v>
          </cell>
        </row>
        <row r="1924">
          <cell r="A1924">
            <v>37897</v>
          </cell>
          <cell r="B1924">
            <v>620</v>
          </cell>
          <cell r="C1924">
            <v>9.0959074404578205E-2</v>
          </cell>
        </row>
        <row r="1925">
          <cell r="A1925">
            <v>37900</v>
          </cell>
          <cell r="B1925">
            <v>1410</v>
          </cell>
          <cell r="C1925">
            <v>8.4635782420414474E-2</v>
          </cell>
        </row>
        <row r="1926">
          <cell r="A1926">
            <v>37901</v>
          </cell>
          <cell r="B1926">
            <v>1785</v>
          </cell>
          <cell r="C1926">
            <v>4.6097929282966882E-2</v>
          </cell>
        </row>
        <row r="1927">
          <cell r="A1927">
            <v>37902</v>
          </cell>
          <cell r="B1927">
            <v>2331</v>
          </cell>
          <cell r="C1927">
            <v>8.0893444317989116E-2</v>
          </cell>
        </row>
        <row r="1928">
          <cell r="A1928">
            <v>37903</v>
          </cell>
          <cell r="B1928">
            <v>3202</v>
          </cell>
          <cell r="C1928">
            <v>0.10492778408403475</v>
          </cell>
        </row>
        <row r="1929">
          <cell r="A1929">
            <v>37904</v>
          </cell>
          <cell r="B1929">
            <v>4356</v>
          </cell>
          <cell r="C1929">
            <v>0.10301375649404987</v>
          </cell>
        </row>
        <row r="1930">
          <cell r="A1930">
            <v>37907</v>
          </cell>
          <cell r="B1930">
            <v>2135</v>
          </cell>
          <cell r="C1930">
            <v>0.12492823837621252</v>
          </cell>
        </row>
        <row r="1931">
          <cell r="A1931">
            <v>37908</v>
          </cell>
          <cell r="B1931">
            <v>2397</v>
          </cell>
          <cell r="C1931">
            <v>0.20068515608223869</v>
          </cell>
        </row>
        <row r="1932">
          <cell r="A1932">
            <v>37909</v>
          </cell>
          <cell r="B1932">
            <v>2215</v>
          </cell>
          <cell r="C1932">
            <v>0.20369065869870237</v>
          </cell>
        </row>
        <row r="1933">
          <cell r="A1933">
            <v>37910</v>
          </cell>
          <cell r="B1933">
            <v>1155</v>
          </cell>
          <cell r="C1933">
            <v>0.16446111150257564</v>
          </cell>
        </row>
        <row r="1934">
          <cell r="A1934">
            <v>37911</v>
          </cell>
          <cell r="B1934">
            <v>1408</v>
          </cell>
          <cell r="C1934">
            <v>7.8031480422548954E-2</v>
          </cell>
        </row>
        <row r="1935">
          <cell r="A1935">
            <v>37914</v>
          </cell>
          <cell r="B1935">
            <v>1180</v>
          </cell>
          <cell r="C1935">
            <v>7.8175249777182571E-2</v>
          </cell>
        </row>
        <row r="1936">
          <cell r="A1936">
            <v>37915</v>
          </cell>
          <cell r="B1936">
            <v>1978</v>
          </cell>
          <cell r="C1936">
            <v>0.10959097608503299</v>
          </cell>
        </row>
        <row r="1937">
          <cell r="A1937">
            <v>37916</v>
          </cell>
          <cell r="B1937">
            <v>2985</v>
          </cell>
          <cell r="C1937">
            <v>0.11894908768917922</v>
          </cell>
        </row>
        <row r="1938">
          <cell r="A1938">
            <v>37917</v>
          </cell>
          <cell r="B1938">
            <v>3841</v>
          </cell>
          <cell r="C1938">
            <v>0.15973732727972109</v>
          </cell>
        </row>
        <row r="1939">
          <cell r="A1939">
            <v>37921</v>
          </cell>
          <cell r="B1939">
            <v>1641</v>
          </cell>
          <cell r="C1939">
            <v>0.15328792579754119</v>
          </cell>
        </row>
        <row r="1940">
          <cell r="A1940">
            <v>37922</v>
          </cell>
          <cell r="B1940">
            <v>4717</v>
          </cell>
          <cell r="C1940">
            <v>0.15205218854153976</v>
          </cell>
        </row>
        <row r="1941">
          <cell r="A1941">
            <v>37923</v>
          </cell>
          <cell r="B1941">
            <v>6208</v>
          </cell>
          <cell r="C1941">
            <v>0.13761404557304774</v>
          </cell>
        </row>
        <row r="1942">
          <cell r="A1942">
            <v>37924</v>
          </cell>
          <cell r="B1942">
            <v>2787</v>
          </cell>
          <cell r="C1942">
            <v>0.13097555304251612</v>
          </cell>
        </row>
        <row r="1943">
          <cell r="A1943">
            <v>37925</v>
          </cell>
          <cell r="B1943">
            <v>3365</v>
          </cell>
          <cell r="C1943">
            <v>9.6285144586545052E-2</v>
          </cell>
        </row>
        <row r="1944">
          <cell r="A1944">
            <v>37928</v>
          </cell>
          <cell r="B1944">
            <v>1583</v>
          </cell>
          <cell r="C1944">
            <v>9.2287229692875727E-2</v>
          </cell>
        </row>
        <row r="1945">
          <cell r="A1945">
            <v>37929</v>
          </cell>
          <cell r="B1945">
            <v>1278</v>
          </cell>
          <cell r="C1945">
            <v>9.4500281987080048E-2</v>
          </cell>
        </row>
        <row r="1946">
          <cell r="A1946">
            <v>37930</v>
          </cell>
          <cell r="B1946">
            <v>1835</v>
          </cell>
          <cell r="C1946">
            <v>9.9174057583848785E-2</v>
          </cell>
        </row>
        <row r="1947">
          <cell r="A1947">
            <v>37931</v>
          </cell>
          <cell r="B1947">
            <v>2118</v>
          </cell>
          <cell r="C1947">
            <v>0.15901263339543176</v>
          </cell>
        </row>
        <row r="1948">
          <cell r="A1948">
            <v>37932</v>
          </cell>
          <cell r="B1948">
            <v>1262</v>
          </cell>
          <cell r="C1948">
            <v>0.16594738298901485</v>
          </cell>
        </row>
        <row r="1949">
          <cell r="A1949">
            <v>37935</v>
          </cell>
          <cell r="B1949">
            <v>1272</v>
          </cell>
          <cell r="C1949">
            <v>0.15860744804446761</v>
          </cell>
        </row>
        <row r="1950">
          <cell r="A1950">
            <v>37936</v>
          </cell>
          <cell r="B1950">
            <v>2129</v>
          </cell>
          <cell r="C1950">
            <v>0.15538597972351487</v>
          </cell>
        </row>
        <row r="1951">
          <cell r="A1951">
            <v>37937</v>
          </cell>
          <cell r="B1951">
            <v>1863</v>
          </cell>
          <cell r="C1951">
            <v>0.16837099741627676</v>
          </cell>
        </row>
        <row r="1952">
          <cell r="A1952">
            <v>37938</v>
          </cell>
          <cell r="B1952">
            <v>1965</v>
          </cell>
          <cell r="C1952">
            <v>0.14542952337646775</v>
          </cell>
        </row>
        <row r="1953">
          <cell r="A1953">
            <v>37939</v>
          </cell>
          <cell r="B1953">
            <v>1483</v>
          </cell>
          <cell r="C1953">
            <v>0.10755669587934609</v>
          </cell>
        </row>
        <row r="1954">
          <cell r="A1954">
            <v>37942</v>
          </cell>
          <cell r="B1954">
            <v>2717</v>
          </cell>
          <cell r="C1954">
            <v>0.16350295045332877</v>
          </cell>
        </row>
        <row r="1955">
          <cell r="A1955">
            <v>37943</v>
          </cell>
          <cell r="B1955">
            <v>1769</v>
          </cell>
          <cell r="C1955">
            <v>0.17586921022023749</v>
          </cell>
        </row>
        <row r="1956">
          <cell r="A1956">
            <v>37944</v>
          </cell>
          <cell r="B1956">
            <v>3640</v>
          </cell>
          <cell r="C1956">
            <v>0.18182738559206019</v>
          </cell>
        </row>
        <row r="1957">
          <cell r="A1957">
            <v>37945</v>
          </cell>
          <cell r="B1957">
            <v>2735</v>
          </cell>
          <cell r="C1957">
            <v>0.21022276267204237</v>
          </cell>
        </row>
        <row r="1958">
          <cell r="A1958">
            <v>37946</v>
          </cell>
          <cell r="B1958">
            <v>3358</v>
          </cell>
          <cell r="C1958">
            <v>0.2260227699724639</v>
          </cell>
        </row>
        <row r="1959">
          <cell r="A1959">
            <v>37952</v>
          </cell>
          <cell r="B1959">
            <v>8967</v>
          </cell>
          <cell r="C1959">
            <v>0.16595196433362694</v>
          </cell>
        </row>
        <row r="1960">
          <cell r="A1960">
            <v>37953</v>
          </cell>
          <cell r="B1960">
            <v>3576</v>
          </cell>
          <cell r="C1960">
            <v>0.16228532208592783</v>
          </cell>
        </row>
        <row r="1961">
          <cell r="A1961">
            <v>37956</v>
          </cell>
          <cell r="B1961">
            <v>2371</v>
          </cell>
          <cell r="C1961">
            <v>0.21823890920187414</v>
          </cell>
        </row>
        <row r="1962">
          <cell r="A1962">
            <v>37957</v>
          </cell>
          <cell r="B1962">
            <v>3327</v>
          </cell>
          <cell r="C1962">
            <v>0.22121842466506145</v>
          </cell>
        </row>
        <row r="1963">
          <cell r="A1963">
            <v>37958</v>
          </cell>
          <cell r="B1963">
            <v>1158</v>
          </cell>
          <cell r="C1963">
            <v>0.24147976881299393</v>
          </cell>
        </row>
        <row r="1964">
          <cell r="A1964">
            <v>37959</v>
          </cell>
          <cell r="B1964">
            <v>2317</v>
          </cell>
          <cell r="C1964">
            <v>0.28054995532803523</v>
          </cell>
        </row>
        <row r="1965">
          <cell r="A1965">
            <v>37960</v>
          </cell>
          <cell r="B1965">
            <v>1311</v>
          </cell>
          <cell r="C1965">
            <v>0.27963725876426476</v>
          </cell>
        </row>
        <row r="1966">
          <cell r="A1966">
            <v>37963</v>
          </cell>
          <cell r="B1966">
            <v>1056</v>
          </cell>
          <cell r="C1966">
            <v>9.7765618475767688E-2</v>
          </cell>
        </row>
        <row r="1967">
          <cell r="A1967">
            <v>37964</v>
          </cell>
          <cell r="B1967">
            <v>1633</v>
          </cell>
          <cell r="C1967">
            <v>0.15600385123377916</v>
          </cell>
        </row>
        <row r="1968">
          <cell r="A1968">
            <v>37965</v>
          </cell>
          <cell r="B1968">
            <v>1497</v>
          </cell>
          <cell r="C1968">
            <v>0.15866571722186723</v>
          </cell>
        </row>
        <row r="1969">
          <cell r="A1969">
            <v>37966</v>
          </cell>
          <cell r="B1969">
            <v>1177</v>
          </cell>
          <cell r="C1969">
            <v>0.11973728250487679</v>
          </cell>
        </row>
        <row r="1970">
          <cell r="A1970">
            <v>37967</v>
          </cell>
          <cell r="B1970">
            <v>1062</v>
          </cell>
          <cell r="C1970">
            <v>0.11970161688882182</v>
          </cell>
        </row>
        <row r="1971">
          <cell r="A1971">
            <v>37970</v>
          </cell>
          <cell r="B1971">
            <v>1512</v>
          </cell>
          <cell r="C1971">
            <v>9.4714696940288973E-2</v>
          </cell>
        </row>
        <row r="1972">
          <cell r="A1972">
            <v>37971</v>
          </cell>
          <cell r="B1972">
            <v>1606</v>
          </cell>
          <cell r="C1972">
            <v>0.10293921028003622</v>
          </cell>
        </row>
        <row r="1973">
          <cell r="A1973">
            <v>37972</v>
          </cell>
          <cell r="B1973">
            <v>2504</v>
          </cell>
          <cell r="C1973">
            <v>0.12718905966929606</v>
          </cell>
        </row>
        <row r="1974">
          <cell r="A1974">
            <v>37973</v>
          </cell>
          <cell r="B1974">
            <v>3546</v>
          </cell>
          <cell r="C1974">
            <v>0.12626727727522369</v>
          </cell>
        </row>
        <row r="1975">
          <cell r="A1975">
            <v>37974</v>
          </cell>
          <cell r="B1975">
            <v>2705</v>
          </cell>
          <cell r="C1975">
            <v>0.19333552611925917</v>
          </cell>
        </row>
        <row r="1976">
          <cell r="A1976">
            <v>37977</v>
          </cell>
          <cell r="B1976">
            <v>2994</v>
          </cell>
          <cell r="C1976">
            <v>0.19348213250682678</v>
          </cell>
        </row>
        <row r="1977">
          <cell r="A1977">
            <v>37978</v>
          </cell>
          <cell r="B1977">
            <v>4642</v>
          </cell>
          <cell r="C1977">
            <v>0.20490318033893351</v>
          </cell>
        </row>
        <row r="1978">
          <cell r="A1978">
            <v>37979</v>
          </cell>
          <cell r="B1978">
            <v>5455</v>
          </cell>
          <cell r="C1978">
            <v>0.16583481926564075</v>
          </cell>
        </row>
        <row r="1979">
          <cell r="A1979">
            <v>37981</v>
          </cell>
          <cell r="B1979">
            <v>2109</v>
          </cell>
          <cell r="C1979">
            <v>7.131667003881495E-2</v>
          </cell>
        </row>
        <row r="1980">
          <cell r="A1980">
            <v>37984</v>
          </cell>
          <cell r="B1980">
            <v>5034</v>
          </cell>
          <cell r="C1980">
            <v>6.072464597292429E-2</v>
          </cell>
        </row>
        <row r="1981">
          <cell r="A1981">
            <v>37985</v>
          </cell>
          <cell r="B1981">
            <v>5044</v>
          </cell>
          <cell r="C1981">
            <v>5.6946772692629377E-2</v>
          </cell>
        </row>
        <row r="1982">
          <cell r="A1982">
            <v>37986</v>
          </cell>
          <cell r="B1982">
            <v>1159</v>
          </cell>
          <cell r="C1982">
            <v>7.737930819782067E-2</v>
          </cell>
        </row>
        <row r="1983">
          <cell r="A1983">
            <v>37988</v>
          </cell>
          <cell r="B1983">
            <v>1907</v>
          </cell>
          <cell r="C1983">
            <v>7.5714696984897481E-2</v>
          </cell>
        </row>
        <row r="1984">
          <cell r="A1984">
            <v>37991</v>
          </cell>
          <cell r="B1984">
            <v>2348</v>
          </cell>
          <cell r="C1984">
            <v>8.0635576749719301E-2</v>
          </cell>
        </row>
        <row r="1985">
          <cell r="A1985">
            <v>37992</v>
          </cell>
          <cell r="B1985">
            <v>2675</v>
          </cell>
          <cell r="C1985">
            <v>0.10004977302966082</v>
          </cell>
        </row>
        <row r="1986">
          <cell r="A1986">
            <v>37993</v>
          </cell>
          <cell r="B1986">
            <v>3596</v>
          </cell>
          <cell r="C1986">
            <v>0.18314347897538161</v>
          </cell>
        </row>
        <row r="1987">
          <cell r="A1987">
            <v>37994</v>
          </cell>
          <cell r="B1987">
            <v>4363</v>
          </cell>
          <cell r="C1987">
            <v>0.17077190616632285</v>
          </cell>
        </row>
        <row r="1988">
          <cell r="A1988">
            <v>37995</v>
          </cell>
          <cell r="B1988">
            <v>7596</v>
          </cell>
          <cell r="C1988">
            <v>0.16865778457922401</v>
          </cell>
        </row>
        <row r="1989">
          <cell r="A1989">
            <v>37998</v>
          </cell>
          <cell r="B1989">
            <v>3451</v>
          </cell>
          <cell r="C1989">
            <v>0.17266226732333581</v>
          </cell>
        </row>
        <row r="1990">
          <cell r="A1990">
            <v>37999</v>
          </cell>
          <cell r="B1990">
            <v>2800</v>
          </cell>
          <cell r="C1990">
            <v>0.25643409332623568</v>
          </cell>
        </row>
        <row r="1991">
          <cell r="A1991">
            <v>38000</v>
          </cell>
          <cell r="B1991">
            <v>3324</v>
          </cell>
          <cell r="C1991">
            <v>0.21681737145197877</v>
          </cell>
        </row>
      </sheetData>
      <sheetData sheetId="3">
        <row r="2">
          <cell r="K2" t="str">
            <v>Settlement Price</v>
          </cell>
          <cell r="AL2" t="str">
            <v xml:space="preserve">Volume </v>
          </cell>
          <cell r="AM2" t="str">
            <v>Open Position</v>
          </cell>
        </row>
        <row r="5442">
          <cell r="A5442">
            <v>37637</v>
          </cell>
          <cell r="K5442">
            <v>1627</v>
          </cell>
        </row>
        <row r="5443">
          <cell r="A5443">
            <v>37638</v>
          </cell>
          <cell r="K5443">
            <v>1619</v>
          </cell>
          <cell r="AL5443">
            <v>2687</v>
          </cell>
          <cell r="AM5443">
            <v>18752</v>
          </cell>
        </row>
        <row r="5444">
          <cell r="A5444">
            <v>37641</v>
          </cell>
          <cell r="K5444">
            <v>1600</v>
          </cell>
          <cell r="AL5444">
            <v>3449</v>
          </cell>
          <cell r="AM5444">
            <v>18297</v>
          </cell>
        </row>
        <row r="5445">
          <cell r="A5445">
            <v>37642</v>
          </cell>
          <cell r="K5445">
            <v>1591</v>
          </cell>
          <cell r="AL5445">
            <v>8015</v>
          </cell>
          <cell r="AM5445">
            <v>18697</v>
          </cell>
        </row>
        <row r="5446">
          <cell r="A5446">
            <v>37643</v>
          </cell>
          <cell r="K5446">
            <v>1611</v>
          </cell>
          <cell r="AL5446">
            <v>5122</v>
          </cell>
          <cell r="AM5446">
            <v>18680</v>
          </cell>
        </row>
        <row r="5447">
          <cell r="A5447">
            <v>37644</v>
          </cell>
          <cell r="K5447">
            <v>1635</v>
          </cell>
          <cell r="AL5447">
            <v>7748</v>
          </cell>
          <cell r="AM5447">
            <v>18727</v>
          </cell>
        </row>
        <row r="5448">
          <cell r="A5448">
            <v>37645</v>
          </cell>
          <cell r="K5448">
            <v>1627</v>
          </cell>
          <cell r="AL5448">
            <v>2020</v>
          </cell>
          <cell r="AM5448">
            <v>18611</v>
          </cell>
        </row>
        <row r="5449">
          <cell r="A5449">
            <v>37648</v>
          </cell>
          <cell r="K5449">
            <v>1632</v>
          </cell>
          <cell r="AL5449">
            <v>3574</v>
          </cell>
          <cell r="AM5449">
            <v>18696</v>
          </cell>
        </row>
        <row r="5450">
          <cell r="A5450">
            <v>37649</v>
          </cell>
          <cell r="K5450">
            <v>1633</v>
          </cell>
          <cell r="AL5450">
            <v>3147</v>
          </cell>
          <cell r="AM5450">
            <v>19139</v>
          </cell>
        </row>
        <row r="5451">
          <cell r="A5451">
            <v>37650</v>
          </cell>
          <cell r="K5451">
            <v>1614</v>
          </cell>
          <cell r="AL5451">
            <v>2749</v>
          </cell>
          <cell r="AM5451">
            <v>18726</v>
          </cell>
        </row>
        <row r="5452">
          <cell r="A5452">
            <v>37651</v>
          </cell>
          <cell r="K5452">
            <v>1619</v>
          </cell>
          <cell r="AL5452">
            <v>4683</v>
          </cell>
          <cell r="AM5452">
            <v>19594</v>
          </cell>
        </row>
        <row r="5453">
          <cell r="A5453">
            <v>37657</v>
          </cell>
          <cell r="K5453">
            <v>1623</v>
          </cell>
          <cell r="AL5453">
            <v>2992</v>
          </cell>
          <cell r="AM5453">
            <v>19492</v>
          </cell>
        </row>
        <row r="5454">
          <cell r="A5454">
            <v>37658</v>
          </cell>
          <cell r="K5454">
            <v>1607</v>
          </cell>
          <cell r="AL5454">
            <v>1774</v>
          </cell>
          <cell r="AM5454">
            <v>19581</v>
          </cell>
        </row>
        <row r="5455">
          <cell r="A5455">
            <v>37659</v>
          </cell>
          <cell r="K5455">
            <v>1594</v>
          </cell>
          <cell r="AL5455">
            <v>4517</v>
          </cell>
          <cell r="AM5455">
            <v>19478</v>
          </cell>
        </row>
        <row r="5456">
          <cell r="A5456">
            <v>37662</v>
          </cell>
          <cell r="K5456">
            <v>1600</v>
          </cell>
          <cell r="AL5456">
            <v>4785</v>
          </cell>
          <cell r="AM5456">
            <v>19637</v>
          </cell>
        </row>
        <row r="5457">
          <cell r="A5457">
            <v>37663</v>
          </cell>
          <cell r="K5457">
            <v>1600</v>
          </cell>
          <cell r="AL5457">
            <v>5041</v>
          </cell>
          <cell r="AM5457">
            <v>20384</v>
          </cell>
        </row>
        <row r="5458">
          <cell r="A5458">
            <v>37665</v>
          </cell>
          <cell r="K5458">
            <v>1590</v>
          </cell>
          <cell r="AL5458">
            <v>3572</v>
          </cell>
          <cell r="AM5458">
            <v>20048</v>
          </cell>
        </row>
        <row r="5459">
          <cell r="A5459">
            <v>37666</v>
          </cell>
          <cell r="K5459">
            <v>1592</v>
          </cell>
          <cell r="AL5459">
            <v>3404</v>
          </cell>
          <cell r="AM5459">
            <v>19989</v>
          </cell>
        </row>
        <row r="5460">
          <cell r="A5460">
            <v>37669</v>
          </cell>
          <cell r="K5460">
            <v>1597</v>
          </cell>
          <cell r="AL5460">
            <v>10055</v>
          </cell>
          <cell r="AM5460">
            <v>19958</v>
          </cell>
        </row>
        <row r="5461">
          <cell r="A5461">
            <v>37670</v>
          </cell>
          <cell r="K5461">
            <v>1607</v>
          </cell>
          <cell r="AL5461">
            <v>6644</v>
          </cell>
          <cell r="AM5461">
            <v>20127</v>
          </cell>
        </row>
        <row r="5462">
          <cell r="A5462">
            <v>37671</v>
          </cell>
          <cell r="K5462">
            <v>1612</v>
          </cell>
          <cell r="AL5462">
            <v>6642</v>
          </cell>
          <cell r="AM5462">
            <v>20048</v>
          </cell>
        </row>
        <row r="5463">
          <cell r="A5463">
            <v>37672</v>
          </cell>
          <cell r="K5463">
            <v>1610</v>
          </cell>
          <cell r="AL5463">
            <v>3197</v>
          </cell>
          <cell r="AM5463">
            <v>20205</v>
          </cell>
        </row>
        <row r="5464">
          <cell r="A5464">
            <v>37673</v>
          </cell>
          <cell r="K5464">
            <v>1613</v>
          </cell>
          <cell r="AL5464">
            <v>2496</v>
          </cell>
          <cell r="AM5464">
            <v>20539</v>
          </cell>
        </row>
        <row r="5465">
          <cell r="A5465">
            <v>37676</v>
          </cell>
          <cell r="K5465">
            <v>1614</v>
          </cell>
          <cell r="AL5465">
            <v>1525</v>
          </cell>
          <cell r="AM5465">
            <v>20641</v>
          </cell>
        </row>
        <row r="5466">
          <cell r="A5466">
            <v>37677</v>
          </cell>
          <cell r="K5466">
            <v>1603</v>
          </cell>
          <cell r="AL5466">
            <v>3100</v>
          </cell>
          <cell r="AM5466">
            <v>20438</v>
          </cell>
        </row>
        <row r="5467">
          <cell r="A5467">
            <v>37678</v>
          </cell>
          <cell r="K5467">
            <v>1608</v>
          </cell>
          <cell r="AL5467">
            <v>1996</v>
          </cell>
          <cell r="AM5467">
            <v>20189</v>
          </cell>
        </row>
        <row r="5468">
          <cell r="A5468">
            <v>37679</v>
          </cell>
          <cell r="K5468">
            <v>1605</v>
          </cell>
          <cell r="AL5468">
            <v>1234</v>
          </cell>
          <cell r="AM5468">
            <v>20294</v>
          </cell>
        </row>
        <row r="5469">
          <cell r="A5469">
            <v>37680</v>
          </cell>
          <cell r="K5469">
            <v>1594</v>
          </cell>
          <cell r="AL5469">
            <v>5488</v>
          </cell>
          <cell r="AM5469">
            <v>21143</v>
          </cell>
        </row>
        <row r="5470">
          <cell r="A5470">
            <v>37683</v>
          </cell>
          <cell r="K5470">
            <v>1580</v>
          </cell>
          <cell r="AL5470">
            <v>3064</v>
          </cell>
          <cell r="AM5470">
            <v>20551</v>
          </cell>
        </row>
        <row r="5471">
          <cell r="A5471">
            <v>37685</v>
          </cell>
          <cell r="K5471">
            <v>1518</v>
          </cell>
          <cell r="AL5471">
            <v>14003</v>
          </cell>
          <cell r="AM5471">
            <v>18054</v>
          </cell>
        </row>
        <row r="5472">
          <cell r="A5472">
            <v>37686</v>
          </cell>
          <cell r="K5472">
            <v>1527</v>
          </cell>
          <cell r="AL5472">
            <v>5060</v>
          </cell>
          <cell r="AM5472">
            <v>18513</v>
          </cell>
        </row>
        <row r="5473">
          <cell r="A5473">
            <v>37687</v>
          </cell>
          <cell r="K5473">
            <v>1528</v>
          </cell>
          <cell r="AL5473">
            <v>7056</v>
          </cell>
          <cell r="AM5473">
            <v>19239</v>
          </cell>
        </row>
        <row r="5474">
          <cell r="A5474">
            <v>37690</v>
          </cell>
          <cell r="K5474">
            <v>1491</v>
          </cell>
          <cell r="AL5474">
            <v>8538</v>
          </cell>
          <cell r="AM5474">
            <v>20387</v>
          </cell>
        </row>
        <row r="5475">
          <cell r="A5475">
            <v>37691</v>
          </cell>
          <cell r="K5475">
            <v>1484</v>
          </cell>
          <cell r="AL5475">
            <v>5906</v>
          </cell>
          <cell r="AM5475">
            <v>20257</v>
          </cell>
        </row>
        <row r="5476">
          <cell r="A5476">
            <v>37692</v>
          </cell>
          <cell r="K5476">
            <v>1501</v>
          </cell>
          <cell r="AL5476">
            <v>6204</v>
          </cell>
          <cell r="AM5476">
            <v>20150</v>
          </cell>
        </row>
        <row r="5477">
          <cell r="A5477">
            <v>37693</v>
          </cell>
          <cell r="K5477">
            <v>1492</v>
          </cell>
          <cell r="AL5477">
            <v>2633</v>
          </cell>
          <cell r="AM5477">
            <v>19919</v>
          </cell>
        </row>
        <row r="5478">
          <cell r="A5478">
            <v>37694</v>
          </cell>
          <cell r="K5478">
            <v>1504</v>
          </cell>
          <cell r="AL5478">
            <v>3448</v>
          </cell>
          <cell r="AM5478">
            <v>20269</v>
          </cell>
        </row>
        <row r="5479">
          <cell r="A5479">
            <v>37697</v>
          </cell>
          <cell r="K5479">
            <v>1480</v>
          </cell>
          <cell r="AL5479">
            <v>10175</v>
          </cell>
          <cell r="AM5479">
            <v>19465</v>
          </cell>
        </row>
        <row r="5480">
          <cell r="A5480">
            <v>37698</v>
          </cell>
          <cell r="K5480">
            <v>1477</v>
          </cell>
          <cell r="AL5480">
            <v>3984</v>
          </cell>
          <cell r="AM5480">
            <v>18585</v>
          </cell>
        </row>
        <row r="5481">
          <cell r="A5481">
            <v>37699</v>
          </cell>
          <cell r="K5481">
            <v>1478</v>
          </cell>
          <cell r="AL5481">
            <v>4468</v>
          </cell>
          <cell r="AM5481">
            <v>19065</v>
          </cell>
        </row>
        <row r="5482">
          <cell r="A5482">
            <v>37700</v>
          </cell>
          <cell r="K5482">
            <v>1446</v>
          </cell>
          <cell r="AL5482">
            <v>6635</v>
          </cell>
          <cell r="AM5482">
            <v>18271</v>
          </cell>
        </row>
        <row r="5483">
          <cell r="A5483">
            <v>37701</v>
          </cell>
          <cell r="K5483">
            <v>1455</v>
          </cell>
          <cell r="AL5483">
            <v>5527</v>
          </cell>
          <cell r="AM5483">
            <v>19135</v>
          </cell>
        </row>
        <row r="5484">
          <cell r="A5484">
            <v>37704</v>
          </cell>
          <cell r="K5484">
            <v>1417</v>
          </cell>
          <cell r="AL5484">
            <v>5643</v>
          </cell>
          <cell r="AM5484">
            <v>19184</v>
          </cell>
        </row>
        <row r="5485">
          <cell r="A5485">
            <v>37705</v>
          </cell>
          <cell r="K5485">
            <v>1391</v>
          </cell>
          <cell r="AL5485">
            <v>11438</v>
          </cell>
          <cell r="AM5485">
            <v>18755</v>
          </cell>
        </row>
        <row r="5486">
          <cell r="A5486">
            <v>37706</v>
          </cell>
          <cell r="K5486">
            <v>1405</v>
          </cell>
          <cell r="AL5486">
            <v>10258</v>
          </cell>
          <cell r="AM5486">
            <v>19408</v>
          </cell>
        </row>
        <row r="5487">
          <cell r="A5487">
            <v>37707</v>
          </cell>
          <cell r="K5487">
            <v>1452</v>
          </cell>
          <cell r="AL5487">
            <v>11280</v>
          </cell>
          <cell r="AM5487">
            <v>20843</v>
          </cell>
        </row>
        <row r="5488">
          <cell r="A5488">
            <v>37708</v>
          </cell>
          <cell r="K5488">
            <v>1460</v>
          </cell>
          <cell r="AL5488">
            <v>8350</v>
          </cell>
          <cell r="AM5488">
            <v>20936</v>
          </cell>
        </row>
        <row r="5489">
          <cell r="A5489">
            <v>37711</v>
          </cell>
          <cell r="K5489">
            <v>1433</v>
          </cell>
          <cell r="AL5489">
            <v>5268</v>
          </cell>
          <cell r="AM5489">
            <v>21499</v>
          </cell>
        </row>
        <row r="5490">
          <cell r="A5490">
            <v>37712</v>
          </cell>
          <cell r="K5490">
            <v>1430</v>
          </cell>
          <cell r="AL5490">
            <v>4501</v>
          </cell>
          <cell r="AM5490">
            <v>21540</v>
          </cell>
        </row>
        <row r="5491">
          <cell r="A5491">
            <v>37713</v>
          </cell>
          <cell r="K5491">
            <v>1456</v>
          </cell>
          <cell r="AL5491">
            <v>6277</v>
          </cell>
          <cell r="AM5491">
            <v>21500</v>
          </cell>
        </row>
        <row r="5492">
          <cell r="A5492">
            <v>37714</v>
          </cell>
          <cell r="K5492">
            <v>1465</v>
          </cell>
          <cell r="AL5492">
            <v>7705</v>
          </cell>
          <cell r="AM5492">
            <v>21378</v>
          </cell>
        </row>
        <row r="5493">
          <cell r="A5493">
            <v>37715</v>
          </cell>
          <cell r="K5493">
            <v>1452</v>
          </cell>
          <cell r="AL5493">
            <v>5455</v>
          </cell>
          <cell r="AM5493">
            <v>21547</v>
          </cell>
        </row>
        <row r="5494">
          <cell r="A5494">
            <v>37718</v>
          </cell>
          <cell r="K5494">
            <v>1480</v>
          </cell>
          <cell r="AL5494">
            <v>6729</v>
          </cell>
          <cell r="AM5494">
            <v>22581</v>
          </cell>
        </row>
        <row r="5495">
          <cell r="A5495">
            <v>37719</v>
          </cell>
          <cell r="K5495">
            <v>1443</v>
          </cell>
          <cell r="AL5495">
            <v>7934</v>
          </cell>
          <cell r="AM5495">
            <v>22282</v>
          </cell>
        </row>
        <row r="5496">
          <cell r="A5496">
            <v>37720</v>
          </cell>
          <cell r="K5496">
            <v>1434</v>
          </cell>
          <cell r="AL5496">
            <v>12426</v>
          </cell>
          <cell r="AM5496">
            <v>21038</v>
          </cell>
        </row>
        <row r="5497">
          <cell r="A5497">
            <v>37721</v>
          </cell>
          <cell r="K5497">
            <v>1445</v>
          </cell>
          <cell r="AL5497">
            <v>4444</v>
          </cell>
          <cell r="AM5497">
            <v>21054</v>
          </cell>
        </row>
        <row r="5498">
          <cell r="A5498">
            <v>37722</v>
          </cell>
          <cell r="K5498">
            <v>1424</v>
          </cell>
          <cell r="AL5498">
            <v>4188</v>
          </cell>
          <cell r="AM5498">
            <v>20908</v>
          </cell>
        </row>
        <row r="5499">
          <cell r="A5499">
            <v>37725</v>
          </cell>
          <cell r="K5499">
            <v>1399</v>
          </cell>
          <cell r="AL5499">
            <v>6412</v>
          </cell>
          <cell r="AM5499">
            <v>21335</v>
          </cell>
        </row>
        <row r="5500">
          <cell r="A5500">
            <v>37726</v>
          </cell>
          <cell r="K5500">
            <v>1379</v>
          </cell>
          <cell r="AL5500">
            <v>6044</v>
          </cell>
          <cell r="AM5500">
            <v>21673</v>
          </cell>
        </row>
        <row r="5501">
          <cell r="A5501">
            <v>37727</v>
          </cell>
          <cell r="K5501">
            <v>1377</v>
          </cell>
          <cell r="AL5501">
            <v>7655</v>
          </cell>
          <cell r="AM5501">
            <v>22076</v>
          </cell>
        </row>
        <row r="5502">
          <cell r="A5502">
            <v>37728</v>
          </cell>
          <cell r="K5502">
            <v>1370</v>
          </cell>
          <cell r="AL5502">
            <v>7140</v>
          </cell>
          <cell r="AM5502">
            <v>22566</v>
          </cell>
        </row>
        <row r="5503">
          <cell r="A5503">
            <v>37729</v>
          </cell>
          <cell r="K5503">
            <v>1374</v>
          </cell>
          <cell r="AL5503">
            <v>3898</v>
          </cell>
          <cell r="AM5503">
            <v>23273</v>
          </cell>
        </row>
        <row r="5504">
          <cell r="A5504">
            <v>37732</v>
          </cell>
          <cell r="K5504">
            <v>1362</v>
          </cell>
          <cell r="AL5504">
            <v>4272</v>
          </cell>
          <cell r="AM5504">
            <v>23663</v>
          </cell>
        </row>
        <row r="5505">
          <cell r="A5505">
            <v>37733</v>
          </cell>
          <cell r="K5505">
            <v>1338</v>
          </cell>
          <cell r="AL5505">
            <v>6865</v>
          </cell>
          <cell r="AM5505">
            <v>24183</v>
          </cell>
        </row>
        <row r="5506">
          <cell r="A5506">
            <v>37734</v>
          </cell>
          <cell r="K5506">
            <v>1349</v>
          </cell>
          <cell r="AL5506">
            <v>7169</v>
          </cell>
          <cell r="AM5506">
            <v>24807</v>
          </cell>
        </row>
        <row r="5507">
          <cell r="A5507">
            <v>37735</v>
          </cell>
          <cell r="K5507">
            <v>1340</v>
          </cell>
          <cell r="AL5507">
            <v>5024</v>
          </cell>
          <cell r="AM5507">
            <v>25378</v>
          </cell>
        </row>
        <row r="5508">
          <cell r="A5508">
            <v>37736</v>
          </cell>
          <cell r="K5508">
            <v>1347</v>
          </cell>
          <cell r="AL5508">
            <v>4687</v>
          </cell>
          <cell r="AM5508">
            <v>25316</v>
          </cell>
        </row>
        <row r="5509">
          <cell r="A5509">
            <v>37739</v>
          </cell>
          <cell r="K5509">
            <v>1364</v>
          </cell>
          <cell r="AL5509">
            <v>4507</v>
          </cell>
          <cell r="AM5509">
            <v>25972</v>
          </cell>
        </row>
        <row r="5510">
          <cell r="A5510">
            <v>37740</v>
          </cell>
          <cell r="K5510">
            <v>1353</v>
          </cell>
          <cell r="AL5510">
            <v>5279</v>
          </cell>
          <cell r="AM5510">
            <v>25705</v>
          </cell>
        </row>
        <row r="5511">
          <cell r="A5511">
            <v>37741</v>
          </cell>
          <cell r="K5511">
            <v>1355</v>
          </cell>
          <cell r="AL5511">
            <v>5573</v>
          </cell>
          <cell r="AM5511">
            <v>26363</v>
          </cell>
        </row>
        <row r="5512">
          <cell r="A5512">
            <v>37743</v>
          </cell>
          <cell r="K5512">
            <v>1374</v>
          </cell>
          <cell r="AL5512">
            <v>5208</v>
          </cell>
          <cell r="AM5512">
            <v>20723</v>
          </cell>
        </row>
        <row r="5513">
          <cell r="A5513">
            <v>37746</v>
          </cell>
          <cell r="K5513">
            <v>1364</v>
          </cell>
          <cell r="AL5513">
            <v>2795</v>
          </cell>
          <cell r="AM5513">
            <v>26012</v>
          </cell>
        </row>
        <row r="5514">
          <cell r="A5514">
            <v>37747</v>
          </cell>
          <cell r="K5514">
            <v>1361</v>
          </cell>
          <cell r="AL5514">
            <v>3566</v>
          </cell>
          <cell r="AM5514">
            <v>26268</v>
          </cell>
        </row>
        <row r="5515">
          <cell r="A5515">
            <v>37748</v>
          </cell>
          <cell r="K5515">
            <v>1382</v>
          </cell>
          <cell r="AL5515">
            <v>4861</v>
          </cell>
          <cell r="AM5515">
            <v>26429</v>
          </cell>
        </row>
        <row r="5516">
          <cell r="A5516">
            <v>37749</v>
          </cell>
          <cell r="K5516">
            <v>1389</v>
          </cell>
          <cell r="AL5516">
            <v>4681</v>
          </cell>
          <cell r="AM5516">
            <v>26902</v>
          </cell>
        </row>
        <row r="5517">
          <cell r="A5517">
            <v>37750</v>
          </cell>
          <cell r="K5517">
            <v>1406</v>
          </cell>
          <cell r="AL5517">
            <v>6932</v>
          </cell>
          <cell r="AM5517">
            <v>26759</v>
          </cell>
        </row>
        <row r="5518">
          <cell r="A5518">
            <v>37753</v>
          </cell>
          <cell r="K5518">
            <v>1443</v>
          </cell>
          <cell r="AL5518">
            <v>8698</v>
          </cell>
          <cell r="AM5518">
            <v>26910</v>
          </cell>
        </row>
        <row r="5519">
          <cell r="A5519">
            <v>37754</v>
          </cell>
          <cell r="K5519">
            <v>1435</v>
          </cell>
          <cell r="AL5519">
            <v>6325</v>
          </cell>
          <cell r="AM5519">
            <v>26743</v>
          </cell>
        </row>
        <row r="5520">
          <cell r="A5520">
            <v>37757</v>
          </cell>
          <cell r="K5520">
            <v>1433</v>
          </cell>
          <cell r="AL5520">
            <v>8296</v>
          </cell>
          <cell r="AM5520">
            <v>27481</v>
          </cell>
        </row>
        <row r="5521">
          <cell r="A5521">
            <v>37760</v>
          </cell>
          <cell r="K5521">
            <v>1413</v>
          </cell>
          <cell r="AL5521">
            <v>8052</v>
          </cell>
          <cell r="AM5521">
            <v>27794</v>
          </cell>
        </row>
        <row r="5522">
          <cell r="A5522">
            <v>37761</v>
          </cell>
          <cell r="K5522">
            <v>1421</v>
          </cell>
          <cell r="AL5522">
            <v>4257</v>
          </cell>
          <cell r="AM5522">
            <v>27312</v>
          </cell>
        </row>
        <row r="5523">
          <cell r="A5523">
            <v>37762</v>
          </cell>
          <cell r="K5523">
            <v>1420</v>
          </cell>
          <cell r="AL5523">
            <v>6078</v>
          </cell>
          <cell r="AM5523">
            <v>27944</v>
          </cell>
        </row>
        <row r="5524">
          <cell r="A5524">
            <v>37763</v>
          </cell>
          <cell r="K5524">
            <v>1400</v>
          </cell>
          <cell r="AL5524">
            <v>6170</v>
          </cell>
          <cell r="AM5524">
            <v>28101</v>
          </cell>
        </row>
        <row r="5525">
          <cell r="A5525">
            <v>37764</v>
          </cell>
          <cell r="K5525">
            <v>1390</v>
          </cell>
          <cell r="AL5525">
            <v>5797</v>
          </cell>
          <cell r="AM5525">
            <v>28792</v>
          </cell>
        </row>
        <row r="5526">
          <cell r="A5526">
            <v>37767</v>
          </cell>
          <cell r="K5526">
            <v>1376</v>
          </cell>
          <cell r="AL5526">
            <v>3784</v>
          </cell>
          <cell r="AM5526">
            <v>28478</v>
          </cell>
        </row>
        <row r="5527">
          <cell r="A5527">
            <v>37768</v>
          </cell>
          <cell r="K5527">
            <v>1371</v>
          </cell>
          <cell r="AL5527">
            <v>5921</v>
          </cell>
          <cell r="AM5527">
            <v>27876</v>
          </cell>
        </row>
        <row r="5528">
          <cell r="A5528">
            <v>37769</v>
          </cell>
          <cell r="K5528">
            <v>1396</v>
          </cell>
          <cell r="AL5528">
            <v>6575</v>
          </cell>
          <cell r="AM5528">
            <v>27039</v>
          </cell>
        </row>
        <row r="5529">
          <cell r="A5529">
            <v>37770</v>
          </cell>
          <cell r="K5529">
            <v>1399</v>
          </cell>
          <cell r="AL5529">
            <v>5075</v>
          </cell>
          <cell r="AM5529">
            <v>26953</v>
          </cell>
        </row>
        <row r="5530">
          <cell r="A5530">
            <v>37771</v>
          </cell>
          <cell r="K5530">
            <v>1416</v>
          </cell>
          <cell r="AL5530">
            <v>6154</v>
          </cell>
          <cell r="AM5530">
            <v>26801</v>
          </cell>
        </row>
        <row r="5531">
          <cell r="A5531">
            <v>37774</v>
          </cell>
          <cell r="K5531">
            <v>1419</v>
          </cell>
          <cell r="AL5531">
            <v>3592</v>
          </cell>
          <cell r="AM5531">
            <v>26728</v>
          </cell>
        </row>
        <row r="5532">
          <cell r="A5532">
            <v>37775</v>
          </cell>
          <cell r="K5532">
            <v>1388</v>
          </cell>
          <cell r="AL5532">
            <v>5336</v>
          </cell>
          <cell r="AM5532">
            <v>25962</v>
          </cell>
        </row>
        <row r="5533">
          <cell r="A5533">
            <v>37776</v>
          </cell>
          <cell r="K5533">
            <v>1411</v>
          </cell>
          <cell r="AL5533">
            <v>6147</v>
          </cell>
          <cell r="AM5533">
            <v>26468</v>
          </cell>
        </row>
        <row r="5534">
          <cell r="A5534">
            <v>37777</v>
          </cell>
          <cell r="K5534">
            <v>1415</v>
          </cell>
          <cell r="AL5534">
            <v>6260</v>
          </cell>
          <cell r="AM5534">
            <v>26715</v>
          </cell>
        </row>
        <row r="5535">
          <cell r="A5535">
            <v>37778</v>
          </cell>
          <cell r="K5535">
            <v>1406</v>
          </cell>
          <cell r="AL5535">
            <v>7066</v>
          </cell>
          <cell r="AM5535">
            <v>27682</v>
          </cell>
        </row>
        <row r="5536">
          <cell r="A5536">
            <v>37781</v>
          </cell>
          <cell r="K5536">
            <v>1421</v>
          </cell>
          <cell r="AL5536">
            <v>6289</v>
          </cell>
          <cell r="AM5536">
            <v>27206</v>
          </cell>
        </row>
        <row r="5537">
          <cell r="A5537">
            <v>37782</v>
          </cell>
          <cell r="K5537">
            <v>1440</v>
          </cell>
          <cell r="AL5537">
            <v>6993</v>
          </cell>
          <cell r="AM5537">
            <v>26998</v>
          </cell>
        </row>
        <row r="5538">
          <cell r="A5538">
            <v>37783</v>
          </cell>
          <cell r="K5538">
            <v>1440</v>
          </cell>
          <cell r="AL5538">
            <v>6194</v>
          </cell>
          <cell r="AM5538">
            <v>26744</v>
          </cell>
        </row>
        <row r="5539">
          <cell r="A5539">
            <v>37784</v>
          </cell>
          <cell r="K5539">
            <v>1450</v>
          </cell>
          <cell r="AL5539">
            <v>6130</v>
          </cell>
          <cell r="AM5539">
            <v>25656</v>
          </cell>
        </row>
        <row r="5540">
          <cell r="A5540">
            <v>37785</v>
          </cell>
          <cell r="K5540">
            <v>1457</v>
          </cell>
          <cell r="AL5540">
            <v>4326</v>
          </cell>
          <cell r="AM5540">
            <v>25636</v>
          </cell>
        </row>
        <row r="5541">
          <cell r="A5541">
            <v>37788</v>
          </cell>
          <cell r="K5541">
            <v>1408</v>
          </cell>
          <cell r="AL5541">
            <v>5573</v>
          </cell>
          <cell r="AM5541">
            <v>25408</v>
          </cell>
        </row>
        <row r="5542">
          <cell r="A5542">
            <v>37789</v>
          </cell>
          <cell r="K5542">
            <v>1426</v>
          </cell>
          <cell r="AL5542">
            <v>5079</v>
          </cell>
          <cell r="AM5542">
            <v>25925</v>
          </cell>
        </row>
        <row r="5543">
          <cell r="A5543">
            <v>37790</v>
          </cell>
          <cell r="K5543">
            <v>1444</v>
          </cell>
          <cell r="AL5543">
            <v>6964</v>
          </cell>
          <cell r="AM5543">
            <v>26690</v>
          </cell>
        </row>
        <row r="5544">
          <cell r="A5544">
            <v>37791</v>
          </cell>
          <cell r="K5544">
            <v>1448</v>
          </cell>
          <cell r="AL5544">
            <v>6139</v>
          </cell>
          <cell r="AM5544">
            <v>26214</v>
          </cell>
        </row>
        <row r="5545">
          <cell r="A5545">
            <v>37792</v>
          </cell>
          <cell r="K5545">
            <v>1452</v>
          </cell>
          <cell r="AL5545">
            <v>3183</v>
          </cell>
          <cell r="AM5545">
            <v>26339</v>
          </cell>
        </row>
        <row r="5546">
          <cell r="A5546">
            <v>37795</v>
          </cell>
          <cell r="K5546">
            <v>1421</v>
          </cell>
          <cell r="AL5546">
            <v>4852</v>
          </cell>
          <cell r="AM5546">
            <v>25514</v>
          </cell>
        </row>
        <row r="5547">
          <cell r="A5547">
            <v>37796</v>
          </cell>
          <cell r="K5547">
            <v>1409</v>
          </cell>
          <cell r="AL5547">
            <v>5910</v>
          </cell>
          <cell r="AM5547">
            <v>24976</v>
          </cell>
        </row>
        <row r="5548">
          <cell r="A5548">
            <v>37797</v>
          </cell>
          <cell r="K5548">
            <v>1413</v>
          </cell>
          <cell r="AL5548">
            <v>3594</v>
          </cell>
          <cell r="AM5548">
            <v>25321</v>
          </cell>
        </row>
        <row r="5549">
          <cell r="A5549">
            <v>37798</v>
          </cell>
          <cell r="K5549">
            <v>1398</v>
          </cell>
          <cell r="AL5549">
            <v>6194</v>
          </cell>
          <cell r="AM5549">
            <v>25320</v>
          </cell>
        </row>
        <row r="5550">
          <cell r="A5550">
            <v>37799</v>
          </cell>
          <cell r="K5550">
            <v>1404</v>
          </cell>
          <cell r="AL5550">
            <v>8823</v>
          </cell>
          <cell r="AM5550">
            <v>24130</v>
          </cell>
        </row>
        <row r="5551">
          <cell r="A5551">
            <v>37802</v>
          </cell>
          <cell r="K5551">
            <v>1408</v>
          </cell>
          <cell r="AL5551">
            <v>2587</v>
          </cell>
          <cell r="AM5551">
            <v>24159</v>
          </cell>
        </row>
        <row r="5552">
          <cell r="A5552">
            <v>37803</v>
          </cell>
          <cell r="K5552">
            <v>1410</v>
          </cell>
          <cell r="AL5552">
            <v>2122</v>
          </cell>
          <cell r="AM5552">
            <v>24369</v>
          </cell>
        </row>
        <row r="5553">
          <cell r="A5553">
            <v>37804</v>
          </cell>
          <cell r="K5553">
            <v>1411</v>
          </cell>
          <cell r="AL5553">
            <v>5174</v>
          </cell>
          <cell r="AM5553">
            <v>24794</v>
          </cell>
        </row>
        <row r="5554">
          <cell r="A5554">
            <v>37805</v>
          </cell>
          <cell r="K5554">
            <v>1422</v>
          </cell>
          <cell r="AL5554">
            <v>5463</v>
          </cell>
          <cell r="AM5554">
            <v>24316</v>
          </cell>
        </row>
        <row r="5555">
          <cell r="A5555">
            <v>37806</v>
          </cell>
          <cell r="K5555">
            <v>1424</v>
          </cell>
          <cell r="AL5555">
            <v>3870</v>
          </cell>
          <cell r="AM5555">
            <v>24660</v>
          </cell>
        </row>
        <row r="5556">
          <cell r="A5556">
            <v>37809</v>
          </cell>
          <cell r="K5556">
            <v>1417</v>
          </cell>
          <cell r="AL5556">
            <v>5693</v>
          </cell>
          <cell r="AM5556">
            <v>27324</v>
          </cell>
        </row>
        <row r="5557">
          <cell r="A5557">
            <v>37810</v>
          </cell>
          <cell r="K5557">
            <v>1421</v>
          </cell>
          <cell r="AL5557">
            <v>4000</v>
          </cell>
          <cell r="AM5557">
            <v>24697</v>
          </cell>
        </row>
        <row r="5558">
          <cell r="A5558">
            <v>37811</v>
          </cell>
          <cell r="K5558">
            <v>1412</v>
          </cell>
          <cell r="AL5558">
            <v>4444</v>
          </cell>
          <cell r="AM5558">
            <v>24450</v>
          </cell>
        </row>
        <row r="5559">
          <cell r="A5559">
            <v>37812</v>
          </cell>
          <cell r="K5559">
            <v>1407</v>
          </cell>
          <cell r="AL5559">
            <v>3265</v>
          </cell>
          <cell r="AM5559">
            <v>24206</v>
          </cell>
        </row>
        <row r="5560">
          <cell r="A5560">
            <v>37813</v>
          </cell>
          <cell r="K5560">
            <v>1409</v>
          </cell>
          <cell r="AL5560">
            <v>3753</v>
          </cell>
          <cell r="AM5560">
            <v>24773</v>
          </cell>
        </row>
        <row r="5561">
          <cell r="A5561">
            <v>37816</v>
          </cell>
          <cell r="K5561">
            <v>1416</v>
          </cell>
          <cell r="AL5561">
            <v>2658</v>
          </cell>
          <cell r="AM5561">
            <v>24625</v>
          </cell>
        </row>
        <row r="5562">
          <cell r="A5562">
            <v>37817</v>
          </cell>
          <cell r="K5562">
            <v>1418</v>
          </cell>
          <cell r="AL5562">
            <v>3735</v>
          </cell>
          <cell r="AM5562">
            <v>25110</v>
          </cell>
        </row>
        <row r="5563">
          <cell r="A5563">
            <v>37818</v>
          </cell>
          <cell r="K5563">
            <v>1363</v>
          </cell>
          <cell r="AL5563">
            <v>4445</v>
          </cell>
          <cell r="AM5563">
            <v>25966</v>
          </cell>
        </row>
        <row r="5564">
          <cell r="A5564">
            <v>37819</v>
          </cell>
          <cell r="K5564">
            <v>1350</v>
          </cell>
          <cell r="AL5564">
            <v>5433</v>
          </cell>
          <cell r="AM5564">
            <v>26605</v>
          </cell>
        </row>
        <row r="5565">
          <cell r="A5565">
            <v>37820</v>
          </cell>
          <cell r="K5565">
            <v>1363</v>
          </cell>
          <cell r="AL5565">
            <v>5641</v>
          </cell>
          <cell r="AM5565">
            <v>27264</v>
          </cell>
        </row>
        <row r="5566">
          <cell r="A5566">
            <v>37823</v>
          </cell>
          <cell r="K5566">
            <v>1349</v>
          </cell>
          <cell r="AL5566">
            <v>4823</v>
          </cell>
          <cell r="AM5566">
            <v>27660</v>
          </cell>
        </row>
        <row r="5567">
          <cell r="A5567">
            <v>37824</v>
          </cell>
          <cell r="K5567">
            <v>1331</v>
          </cell>
          <cell r="AL5567">
            <v>6365</v>
          </cell>
          <cell r="AM5567">
            <v>28104</v>
          </cell>
        </row>
        <row r="5568">
          <cell r="A5568">
            <v>37825</v>
          </cell>
          <cell r="K5568">
            <v>1288</v>
          </cell>
          <cell r="AL5568">
            <v>10482</v>
          </cell>
          <cell r="AM5568">
            <v>29171</v>
          </cell>
        </row>
        <row r="5569">
          <cell r="A5569">
            <v>37826</v>
          </cell>
          <cell r="K5569">
            <v>1288</v>
          </cell>
          <cell r="AL5569">
            <v>3690</v>
          </cell>
          <cell r="AM5569">
            <v>29465</v>
          </cell>
        </row>
        <row r="5570">
          <cell r="A5570">
            <v>37827</v>
          </cell>
          <cell r="K5570">
            <v>1302</v>
          </cell>
          <cell r="AL5570">
            <v>3851</v>
          </cell>
          <cell r="AM5570">
            <v>29733</v>
          </cell>
        </row>
        <row r="5571">
          <cell r="A5571">
            <v>37830</v>
          </cell>
          <cell r="K5571">
            <v>1310</v>
          </cell>
          <cell r="AL5571">
            <v>5826</v>
          </cell>
          <cell r="AM5571">
            <v>30072</v>
          </cell>
        </row>
        <row r="5572">
          <cell r="A5572">
            <v>37831</v>
          </cell>
          <cell r="K5572">
            <v>1292</v>
          </cell>
          <cell r="AL5572">
            <v>6322</v>
          </cell>
          <cell r="AM5572">
            <v>30386</v>
          </cell>
        </row>
        <row r="5573">
          <cell r="A5573">
            <v>37832</v>
          </cell>
          <cell r="K5573">
            <v>1286</v>
          </cell>
          <cell r="AL5573">
            <v>6880</v>
          </cell>
          <cell r="AM5573">
            <v>30193</v>
          </cell>
        </row>
        <row r="5574">
          <cell r="A5574">
            <v>37833</v>
          </cell>
          <cell r="K5574">
            <v>1280</v>
          </cell>
          <cell r="AL5574">
            <v>4855</v>
          </cell>
          <cell r="AM5574">
            <v>30255</v>
          </cell>
        </row>
        <row r="5575">
          <cell r="A5575">
            <v>37834</v>
          </cell>
          <cell r="K5575">
            <v>1255</v>
          </cell>
          <cell r="AL5575">
            <v>6067</v>
          </cell>
          <cell r="AM5575">
            <v>30812</v>
          </cell>
        </row>
        <row r="5576">
          <cell r="A5576">
            <v>37837</v>
          </cell>
          <cell r="K5576">
            <v>1243</v>
          </cell>
          <cell r="AL5576">
            <v>5848</v>
          </cell>
          <cell r="AM5576">
            <v>30770</v>
          </cell>
        </row>
        <row r="5577">
          <cell r="A5577">
            <v>37838</v>
          </cell>
          <cell r="K5577">
            <v>1242</v>
          </cell>
          <cell r="AL5577">
            <v>3860</v>
          </cell>
          <cell r="AM5577">
            <v>30748</v>
          </cell>
        </row>
        <row r="5578">
          <cell r="A5578">
            <v>37839</v>
          </cell>
          <cell r="K5578">
            <v>1261</v>
          </cell>
          <cell r="AL5578">
            <v>7454</v>
          </cell>
          <cell r="AM5578">
            <v>30484</v>
          </cell>
        </row>
        <row r="5579">
          <cell r="A5579">
            <v>37840</v>
          </cell>
          <cell r="K5579">
            <v>1272</v>
          </cell>
          <cell r="AL5579">
            <v>8326</v>
          </cell>
          <cell r="AM5579">
            <v>30268</v>
          </cell>
        </row>
        <row r="5580">
          <cell r="A5580">
            <v>37841</v>
          </cell>
          <cell r="K5580">
            <v>1261</v>
          </cell>
          <cell r="AL5580">
            <v>5531</v>
          </cell>
          <cell r="AM5580">
            <v>31196</v>
          </cell>
        </row>
        <row r="5581">
          <cell r="A5581">
            <v>37844</v>
          </cell>
          <cell r="K5581">
            <v>1269</v>
          </cell>
          <cell r="AL5581">
            <v>3618</v>
          </cell>
          <cell r="AM5581">
            <v>31138</v>
          </cell>
        </row>
        <row r="5582">
          <cell r="A5582">
            <v>37845</v>
          </cell>
          <cell r="K5582">
            <v>1281</v>
          </cell>
          <cell r="AL5582">
            <v>4079</v>
          </cell>
          <cell r="AM5582">
            <v>31500</v>
          </cell>
        </row>
        <row r="5583">
          <cell r="A5583">
            <v>37846</v>
          </cell>
          <cell r="K5583">
            <v>1288</v>
          </cell>
          <cell r="AL5583">
            <v>5556</v>
          </cell>
          <cell r="AM5583">
            <v>32073</v>
          </cell>
        </row>
        <row r="5584">
          <cell r="A5584">
            <v>37847</v>
          </cell>
          <cell r="K5584">
            <v>1279</v>
          </cell>
          <cell r="AL5584">
            <v>5049</v>
          </cell>
          <cell r="AM5584">
            <v>32670</v>
          </cell>
        </row>
        <row r="5585">
          <cell r="A5585">
            <v>37848</v>
          </cell>
          <cell r="K5585">
            <v>1266</v>
          </cell>
          <cell r="AL5585">
            <v>5223</v>
          </cell>
          <cell r="AM5585">
            <v>32436</v>
          </cell>
        </row>
        <row r="5586">
          <cell r="A5586">
            <v>37851</v>
          </cell>
          <cell r="K5586">
            <v>1277</v>
          </cell>
          <cell r="AL5586">
            <v>5484</v>
          </cell>
          <cell r="AM5586">
            <v>33232</v>
          </cell>
        </row>
        <row r="5587">
          <cell r="A5587">
            <v>37852</v>
          </cell>
          <cell r="K5587">
            <v>1287</v>
          </cell>
          <cell r="AL5587">
            <v>5949</v>
          </cell>
          <cell r="AM5587">
            <v>32019</v>
          </cell>
        </row>
        <row r="5588">
          <cell r="A5588">
            <v>37853</v>
          </cell>
          <cell r="K5588">
            <v>1292</v>
          </cell>
          <cell r="AL5588">
            <v>5402</v>
          </cell>
          <cell r="AM5588">
            <v>31540</v>
          </cell>
        </row>
        <row r="5589">
          <cell r="A5589">
            <v>37854</v>
          </cell>
          <cell r="K5589">
            <v>1320</v>
          </cell>
          <cell r="AL5589">
            <v>11610</v>
          </cell>
          <cell r="AM5589">
            <v>28923</v>
          </cell>
        </row>
        <row r="5590">
          <cell r="A5590">
            <v>37855</v>
          </cell>
          <cell r="K5590">
            <v>1316</v>
          </cell>
          <cell r="AL5590">
            <v>3193</v>
          </cell>
          <cell r="AM5590">
            <v>28942</v>
          </cell>
        </row>
        <row r="5591">
          <cell r="A5591">
            <v>37858</v>
          </cell>
          <cell r="K5591">
            <v>1305</v>
          </cell>
          <cell r="AL5591">
            <v>3767</v>
          </cell>
          <cell r="AM5591">
            <v>29469</v>
          </cell>
        </row>
        <row r="5592">
          <cell r="A5592">
            <v>37859</v>
          </cell>
          <cell r="K5592">
            <v>1319</v>
          </cell>
          <cell r="AL5592">
            <v>3543</v>
          </cell>
          <cell r="AM5592">
            <v>29127</v>
          </cell>
        </row>
        <row r="5593">
          <cell r="A5593">
            <v>37860</v>
          </cell>
          <cell r="K5593">
            <v>1322</v>
          </cell>
          <cell r="AL5593">
            <v>4210</v>
          </cell>
          <cell r="AM5593">
            <v>29406</v>
          </cell>
        </row>
        <row r="5594">
          <cell r="A5594">
            <v>37861</v>
          </cell>
          <cell r="K5594">
            <v>1336</v>
          </cell>
          <cell r="AL5594">
            <v>6988</v>
          </cell>
          <cell r="AM5594">
            <v>29095</v>
          </cell>
        </row>
        <row r="5595">
          <cell r="A5595">
            <v>37862</v>
          </cell>
          <cell r="K5595">
            <v>1339</v>
          </cell>
          <cell r="AL5595">
            <v>5887</v>
          </cell>
          <cell r="AM5595">
            <v>29567</v>
          </cell>
        </row>
        <row r="5596">
          <cell r="A5596">
            <v>37866</v>
          </cell>
          <cell r="K5596">
            <v>1324</v>
          </cell>
          <cell r="AL5596">
            <v>4787</v>
          </cell>
          <cell r="AM5596">
            <v>29218</v>
          </cell>
        </row>
        <row r="5597">
          <cell r="A5597">
            <v>37867</v>
          </cell>
          <cell r="K5597">
            <v>1296</v>
          </cell>
          <cell r="AL5597">
            <v>6780</v>
          </cell>
          <cell r="AM5597">
            <v>30511</v>
          </cell>
        </row>
        <row r="5598">
          <cell r="A5598">
            <v>37868</v>
          </cell>
          <cell r="K5598">
            <v>1293</v>
          </cell>
          <cell r="AL5598">
            <v>5240</v>
          </cell>
          <cell r="AM5598">
            <v>31660</v>
          </cell>
        </row>
        <row r="5599">
          <cell r="A5599">
            <v>37869</v>
          </cell>
          <cell r="K5599">
            <v>1304</v>
          </cell>
          <cell r="AL5599">
            <v>2447</v>
          </cell>
          <cell r="AM5599">
            <v>31867</v>
          </cell>
        </row>
        <row r="5600">
          <cell r="A5600">
            <v>37872</v>
          </cell>
          <cell r="K5600">
            <v>1292</v>
          </cell>
          <cell r="AL5600">
            <v>2872</v>
          </cell>
          <cell r="AM5600">
            <v>31535</v>
          </cell>
        </row>
        <row r="5601">
          <cell r="A5601">
            <v>37873</v>
          </cell>
          <cell r="K5601">
            <v>1293</v>
          </cell>
          <cell r="AL5601">
            <v>5021</v>
          </cell>
          <cell r="AM5601">
            <v>32062</v>
          </cell>
        </row>
        <row r="5602">
          <cell r="A5602">
            <v>37874</v>
          </cell>
          <cell r="K5602">
            <v>1309</v>
          </cell>
          <cell r="AL5602">
            <v>6718</v>
          </cell>
          <cell r="AM5602">
            <v>32108</v>
          </cell>
        </row>
        <row r="5603">
          <cell r="A5603">
            <v>37875</v>
          </cell>
          <cell r="K5603">
            <v>1313</v>
          </cell>
          <cell r="AL5603">
            <v>5288</v>
          </cell>
          <cell r="AM5603">
            <v>31283</v>
          </cell>
        </row>
        <row r="5604">
          <cell r="A5604">
            <v>37876</v>
          </cell>
          <cell r="K5604">
            <v>1338</v>
          </cell>
          <cell r="AL5604">
            <v>9533</v>
          </cell>
          <cell r="AM5604">
            <v>30042</v>
          </cell>
        </row>
        <row r="5605">
          <cell r="A5605">
            <v>37879</v>
          </cell>
          <cell r="K5605">
            <v>1345</v>
          </cell>
          <cell r="AL5605">
            <v>4879</v>
          </cell>
          <cell r="AM5605">
            <v>29412</v>
          </cell>
        </row>
        <row r="5606">
          <cell r="A5606">
            <v>37880</v>
          </cell>
          <cell r="K5606">
            <v>1350</v>
          </cell>
          <cell r="AL5606">
            <v>3494</v>
          </cell>
          <cell r="AM5606">
            <v>29011</v>
          </cell>
        </row>
        <row r="5607">
          <cell r="A5607">
            <v>37881</v>
          </cell>
          <cell r="K5607">
            <v>1379</v>
          </cell>
          <cell r="AL5607">
            <v>10162</v>
          </cell>
          <cell r="AM5607">
            <v>29825</v>
          </cell>
        </row>
        <row r="5608">
          <cell r="A5608">
            <v>37882</v>
          </cell>
          <cell r="K5608">
            <v>1371</v>
          </cell>
          <cell r="AL5608">
            <v>6928</v>
          </cell>
          <cell r="AM5608">
            <v>28794</v>
          </cell>
        </row>
        <row r="5609">
          <cell r="A5609">
            <v>37883</v>
          </cell>
          <cell r="K5609">
            <v>1415</v>
          </cell>
          <cell r="AL5609">
            <v>8451</v>
          </cell>
          <cell r="AM5609">
            <v>28384</v>
          </cell>
        </row>
        <row r="5610">
          <cell r="A5610">
            <v>37886</v>
          </cell>
          <cell r="K5610">
            <v>1429</v>
          </cell>
          <cell r="AL5610">
            <v>7897</v>
          </cell>
          <cell r="AM5610">
            <v>27774</v>
          </cell>
        </row>
        <row r="5611">
          <cell r="A5611">
            <v>37887</v>
          </cell>
          <cell r="K5611">
            <v>1406</v>
          </cell>
          <cell r="AL5611">
            <v>7115</v>
          </cell>
          <cell r="AM5611">
            <v>27346</v>
          </cell>
        </row>
        <row r="5612">
          <cell r="A5612">
            <v>37888</v>
          </cell>
          <cell r="K5612">
            <v>1418</v>
          </cell>
          <cell r="AL5612">
            <v>5414</v>
          </cell>
          <cell r="AM5612">
            <v>27172</v>
          </cell>
        </row>
        <row r="5613">
          <cell r="A5613">
            <v>37889</v>
          </cell>
          <cell r="K5613">
            <v>1437</v>
          </cell>
          <cell r="AL5613">
            <v>7064</v>
          </cell>
          <cell r="AM5613">
            <v>26773</v>
          </cell>
        </row>
        <row r="5614">
          <cell r="A5614">
            <v>37890</v>
          </cell>
          <cell r="K5614">
            <v>1418</v>
          </cell>
          <cell r="AL5614">
            <v>4715</v>
          </cell>
          <cell r="AM5614">
            <v>26344</v>
          </cell>
        </row>
        <row r="5615">
          <cell r="A5615">
            <v>37893</v>
          </cell>
          <cell r="K5615">
            <v>1469</v>
          </cell>
          <cell r="AL5615">
            <v>10288</v>
          </cell>
          <cell r="AM5615">
            <v>26464</v>
          </cell>
        </row>
        <row r="5616">
          <cell r="A5616">
            <v>37894</v>
          </cell>
          <cell r="K5616">
            <v>1460</v>
          </cell>
          <cell r="AL5616">
            <v>8112</v>
          </cell>
          <cell r="AM5616">
            <v>25425</v>
          </cell>
        </row>
        <row r="5617">
          <cell r="A5617">
            <v>37895</v>
          </cell>
          <cell r="K5617">
            <v>1462</v>
          </cell>
          <cell r="AL5617">
            <v>6225</v>
          </cell>
          <cell r="AM5617">
            <v>25963</v>
          </cell>
        </row>
        <row r="5618">
          <cell r="A5618">
            <v>37896</v>
          </cell>
          <cell r="K5618">
            <v>1518</v>
          </cell>
          <cell r="AL5618">
            <v>12076</v>
          </cell>
          <cell r="AM5618">
            <v>25986</v>
          </cell>
        </row>
        <row r="5619">
          <cell r="A5619">
            <v>37897</v>
          </cell>
          <cell r="K5619">
            <v>1519</v>
          </cell>
          <cell r="AL5619">
            <v>6240</v>
          </cell>
          <cell r="AM5619">
            <v>25398</v>
          </cell>
        </row>
        <row r="5620">
          <cell r="A5620">
            <v>37900</v>
          </cell>
          <cell r="K5620">
            <v>1478</v>
          </cell>
          <cell r="AL5620">
            <v>5995</v>
          </cell>
          <cell r="AM5620">
            <v>25075</v>
          </cell>
        </row>
        <row r="5621">
          <cell r="A5621">
            <v>37901</v>
          </cell>
          <cell r="K5621">
            <v>1480</v>
          </cell>
          <cell r="AL5621">
            <v>5264</v>
          </cell>
          <cell r="AM5621">
            <v>24635</v>
          </cell>
        </row>
        <row r="5622">
          <cell r="A5622">
            <v>37902</v>
          </cell>
          <cell r="K5622">
            <v>1508</v>
          </cell>
          <cell r="AL5622">
            <v>7459</v>
          </cell>
          <cell r="AM5622">
            <v>25097</v>
          </cell>
        </row>
        <row r="5623">
          <cell r="A5623">
            <v>37903</v>
          </cell>
          <cell r="K5623">
            <v>1520</v>
          </cell>
          <cell r="AL5623">
            <v>5525</v>
          </cell>
          <cell r="AM5623">
            <v>24850</v>
          </cell>
        </row>
        <row r="5624">
          <cell r="A5624">
            <v>37904</v>
          </cell>
          <cell r="K5624">
            <v>1508</v>
          </cell>
          <cell r="AL5624">
            <v>6035</v>
          </cell>
          <cell r="AM5624">
            <v>25015</v>
          </cell>
        </row>
        <row r="5625">
          <cell r="A5625">
            <v>37907</v>
          </cell>
          <cell r="K5625">
            <v>1608</v>
          </cell>
          <cell r="AL5625">
            <v>5837</v>
          </cell>
          <cell r="AM5625">
            <v>25950</v>
          </cell>
        </row>
        <row r="5626">
          <cell r="A5626">
            <v>37908</v>
          </cell>
          <cell r="K5626">
            <v>1651</v>
          </cell>
          <cell r="AL5626">
            <v>12225</v>
          </cell>
          <cell r="AM5626">
            <v>24710</v>
          </cell>
        </row>
        <row r="5627">
          <cell r="A5627">
            <v>37909</v>
          </cell>
          <cell r="K5627">
            <v>1650</v>
          </cell>
          <cell r="AL5627">
            <v>7557</v>
          </cell>
          <cell r="AM5627">
            <v>23827</v>
          </cell>
        </row>
        <row r="5628">
          <cell r="A5628">
            <v>37910</v>
          </cell>
          <cell r="K5628">
            <v>1644</v>
          </cell>
          <cell r="AL5628">
            <v>8432</v>
          </cell>
          <cell r="AM5628">
            <v>23048</v>
          </cell>
        </row>
        <row r="5629">
          <cell r="A5629">
            <v>37911</v>
          </cell>
          <cell r="K5629">
            <v>1682</v>
          </cell>
          <cell r="AL5629">
            <v>11015</v>
          </cell>
          <cell r="AM5629">
            <v>23238</v>
          </cell>
        </row>
        <row r="5630">
          <cell r="A5630">
            <v>37914</v>
          </cell>
          <cell r="K5630">
            <v>1710</v>
          </cell>
          <cell r="AL5630">
            <v>10526</v>
          </cell>
          <cell r="AM5630">
            <v>25195</v>
          </cell>
        </row>
        <row r="5631">
          <cell r="A5631">
            <v>37915</v>
          </cell>
          <cell r="K5631">
            <v>1655</v>
          </cell>
          <cell r="AL5631">
            <v>14508</v>
          </cell>
          <cell r="AM5631">
            <v>25240</v>
          </cell>
        </row>
        <row r="5632">
          <cell r="A5632">
            <v>37916</v>
          </cell>
          <cell r="K5632">
            <v>1692</v>
          </cell>
          <cell r="AL5632">
            <v>6832</v>
          </cell>
          <cell r="AM5632">
            <v>25732</v>
          </cell>
        </row>
        <row r="5633">
          <cell r="A5633">
            <v>37917</v>
          </cell>
          <cell r="K5633">
            <v>1780</v>
          </cell>
          <cell r="AL5633">
            <v>8426</v>
          </cell>
          <cell r="AM5633">
            <v>26624</v>
          </cell>
        </row>
        <row r="5634">
          <cell r="A5634">
            <v>37921</v>
          </cell>
          <cell r="K5634">
            <v>1806</v>
          </cell>
          <cell r="AL5634">
            <v>8264</v>
          </cell>
          <cell r="AM5634">
            <v>26484</v>
          </cell>
        </row>
        <row r="5635">
          <cell r="A5635">
            <v>37922</v>
          </cell>
          <cell r="K5635">
            <v>1765</v>
          </cell>
          <cell r="AL5635">
            <v>7141</v>
          </cell>
          <cell r="AM5635">
            <v>26356</v>
          </cell>
        </row>
        <row r="5636">
          <cell r="A5636">
            <v>37923</v>
          </cell>
          <cell r="K5636">
            <v>1830</v>
          </cell>
          <cell r="AL5636">
            <v>8361</v>
          </cell>
          <cell r="AM5636">
            <v>25660</v>
          </cell>
        </row>
        <row r="5637">
          <cell r="A5637">
            <v>37924</v>
          </cell>
          <cell r="K5637">
            <v>1795</v>
          </cell>
          <cell r="AL5637">
            <v>6464</v>
          </cell>
          <cell r="AM5637">
            <v>25288</v>
          </cell>
        </row>
        <row r="5638">
          <cell r="A5638">
            <v>37925</v>
          </cell>
          <cell r="K5638">
            <v>1762</v>
          </cell>
          <cell r="AL5638">
            <v>6914</v>
          </cell>
          <cell r="AM5638">
            <v>25154</v>
          </cell>
        </row>
        <row r="5639">
          <cell r="A5639">
            <v>37928</v>
          </cell>
          <cell r="K5639">
            <v>1806</v>
          </cell>
          <cell r="AL5639">
            <v>6482</v>
          </cell>
          <cell r="AM5639">
            <v>25352</v>
          </cell>
        </row>
        <row r="5640">
          <cell r="A5640">
            <v>37929</v>
          </cell>
          <cell r="K5640">
            <v>1787</v>
          </cell>
          <cell r="AL5640">
            <v>6935</v>
          </cell>
          <cell r="AM5640">
            <v>26442</v>
          </cell>
        </row>
        <row r="5641">
          <cell r="A5641">
            <v>37930</v>
          </cell>
          <cell r="K5641">
            <v>1736</v>
          </cell>
          <cell r="AL5641">
            <v>6002</v>
          </cell>
          <cell r="AM5641">
            <v>25062</v>
          </cell>
        </row>
        <row r="5642">
          <cell r="A5642">
            <v>37931</v>
          </cell>
          <cell r="K5642">
            <v>1710</v>
          </cell>
          <cell r="AL5642">
            <v>7384</v>
          </cell>
          <cell r="AM5642">
            <v>25875</v>
          </cell>
        </row>
        <row r="5643">
          <cell r="A5643">
            <v>37932</v>
          </cell>
          <cell r="K5643">
            <v>1704</v>
          </cell>
          <cell r="AL5643">
            <v>7220</v>
          </cell>
          <cell r="AM5643">
            <v>25625</v>
          </cell>
        </row>
        <row r="5644">
          <cell r="A5644">
            <v>37935</v>
          </cell>
          <cell r="K5644">
            <v>1635</v>
          </cell>
          <cell r="AL5644">
            <v>10674</v>
          </cell>
          <cell r="AM5644">
            <v>24624</v>
          </cell>
        </row>
        <row r="5645">
          <cell r="A5645">
            <v>37936</v>
          </cell>
          <cell r="K5645">
            <v>1707</v>
          </cell>
          <cell r="AL5645">
            <v>7395</v>
          </cell>
          <cell r="AM5645">
            <v>23331</v>
          </cell>
        </row>
        <row r="5646">
          <cell r="A5646">
            <v>37937</v>
          </cell>
          <cell r="K5646">
            <v>1698</v>
          </cell>
          <cell r="AL5646">
            <v>5760</v>
          </cell>
          <cell r="AM5646">
            <v>23183</v>
          </cell>
        </row>
        <row r="5647">
          <cell r="A5647">
            <v>37938</v>
          </cell>
          <cell r="K5647">
            <v>1746</v>
          </cell>
          <cell r="AL5647">
            <v>9804</v>
          </cell>
          <cell r="AM5647">
            <v>23602</v>
          </cell>
        </row>
        <row r="5648">
          <cell r="A5648">
            <v>37939</v>
          </cell>
          <cell r="K5648">
            <v>1834</v>
          </cell>
          <cell r="AL5648">
            <v>10844</v>
          </cell>
          <cell r="AM5648">
            <v>22636</v>
          </cell>
        </row>
        <row r="5649">
          <cell r="A5649">
            <v>37942</v>
          </cell>
          <cell r="K5649">
            <v>1788</v>
          </cell>
          <cell r="AL5649">
            <v>7108</v>
          </cell>
          <cell r="AM5649">
            <v>23248</v>
          </cell>
        </row>
        <row r="5650">
          <cell r="A5650">
            <v>37943</v>
          </cell>
          <cell r="K5650">
            <v>1751</v>
          </cell>
          <cell r="AL5650">
            <v>5503</v>
          </cell>
          <cell r="AM5650">
            <v>23666</v>
          </cell>
        </row>
        <row r="5651">
          <cell r="A5651">
            <v>37944</v>
          </cell>
          <cell r="K5651">
            <v>1708</v>
          </cell>
          <cell r="AL5651">
            <v>7829</v>
          </cell>
          <cell r="AM5651">
            <v>24290</v>
          </cell>
        </row>
        <row r="5652">
          <cell r="A5652">
            <v>37945</v>
          </cell>
          <cell r="K5652">
            <v>1720</v>
          </cell>
          <cell r="AL5652">
            <v>6731</v>
          </cell>
          <cell r="AM5652">
            <v>23968</v>
          </cell>
        </row>
        <row r="5653">
          <cell r="A5653">
            <v>37946</v>
          </cell>
          <cell r="K5653">
            <v>1752</v>
          </cell>
          <cell r="AL5653">
            <v>6215</v>
          </cell>
          <cell r="AM5653">
            <v>23441</v>
          </cell>
        </row>
        <row r="5654">
          <cell r="A5654">
            <v>37952</v>
          </cell>
          <cell r="K5654">
            <v>1747</v>
          </cell>
          <cell r="AL5654">
            <v>862</v>
          </cell>
          <cell r="AM5654">
            <v>23434</v>
          </cell>
        </row>
        <row r="5655">
          <cell r="A5655">
            <v>37953</v>
          </cell>
          <cell r="K5655">
            <v>1737</v>
          </cell>
          <cell r="AL5655">
            <v>947</v>
          </cell>
          <cell r="AM5655">
            <v>23186</v>
          </cell>
        </row>
        <row r="5656">
          <cell r="A5656">
            <v>37956</v>
          </cell>
          <cell r="K5656">
            <v>1782</v>
          </cell>
          <cell r="AL5656">
            <v>4682</v>
          </cell>
          <cell r="AM5656">
            <v>23041</v>
          </cell>
        </row>
        <row r="5657">
          <cell r="A5657">
            <v>37957</v>
          </cell>
          <cell r="K5657">
            <v>1762</v>
          </cell>
          <cell r="AL5657">
            <v>5090</v>
          </cell>
          <cell r="AM5657">
            <v>22302</v>
          </cell>
        </row>
        <row r="5658">
          <cell r="A5658">
            <v>37958</v>
          </cell>
          <cell r="K5658">
            <v>1787</v>
          </cell>
          <cell r="AL5658">
            <v>5233</v>
          </cell>
          <cell r="AM5658">
            <v>22181</v>
          </cell>
        </row>
        <row r="5659">
          <cell r="A5659">
            <v>37959</v>
          </cell>
          <cell r="K5659">
            <v>1784</v>
          </cell>
          <cell r="AL5659">
            <v>3675</v>
          </cell>
          <cell r="AM5659">
            <v>21652</v>
          </cell>
        </row>
        <row r="5660">
          <cell r="A5660">
            <v>37960</v>
          </cell>
          <cell r="K5660">
            <v>1780</v>
          </cell>
          <cell r="AL5660">
            <v>3409</v>
          </cell>
          <cell r="AM5660">
            <v>21568</v>
          </cell>
        </row>
        <row r="5661">
          <cell r="A5661">
            <v>37963</v>
          </cell>
          <cell r="K5661">
            <v>1823</v>
          </cell>
          <cell r="AL5661">
            <v>4934</v>
          </cell>
          <cell r="AM5661">
            <v>21706</v>
          </cell>
        </row>
        <row r="5662">
          <cell r="A5662">
            <v>37964</v>
          </cell>
          <cell r="K5662">
            <v>1844</v>
          </cell>
          <cell r="AL5662">
            <v>5656</v>
          </cell>
          <cell r="AM5662">
            <v>21776</v>
          </cell>
        </row>
        <row r="5663">
          <cell r="A5663">
            <v>37965</v>
          </cell>
          <cell r="K5663">
            <v>1840</v>
          </cell>
          <cell r="AL5663">
            <v>5017</v>
          </cell>
          <cell r="AM5663">
            <v>21939</v>
          </cell>
        </row>
        <row r="5664">
          <cell r="A5664">
            <v>37966</v>
          </cell>
          <cell r="K5664">
            <v>1808</v>
          </cell>
          <cell r="AL5664">
            <v>4080</v>
          </cell>
          <cell r="AM5664">
            <v>21997</v>
          </cell>
        </row>
        <row r="5665">
          <cell r="A5665">
            <v>37967</v>
          </cell>
          <cell r="K5665">
            <v>1775</v>
          </cell>
          <cell r="AL5665">
            <v>6157</v>
          </cell>
          <cell r="AM5665">
            <v>21820</v>
          </cell>
        </row>
        <row r="5666">
          <cell r="A5666">
            <v>37970</v>
          </cell>
          <cell r="K5666">
            <v>1811</v>
          </cell>
          <cell r="AL5666">
            <v>4797</v>
          </cell>
          <cell r="AM5666">
            <v>21598</v>
          </cell>
        </row>
        <row r="5667">
          <cell r="A5667">
            <v>37971</v>
          </cell>
          <cell r="K5667">
            <v>1787</v>
          </cell>
          <cell r="AL5667">
            <v>3484</v>
          </cell>
          <cell r="AM5667">
            <v>21466</v>
          </cell>
        </row>
        <row r="5668">
          <cell r="A5668">
            <v>37972</v>
          </cell>
          <cell r="K5668">
            <v>1781</v>
          </cell>
          <cell r="AL5668">
            <v>3262</v>
          </cell>
          <cell r="AM5668">
            <v>21201</v>
          </cell>
        </row>
        <row r="5669">
          <cell r="A5669">
            <v>37973</v>
          </cell>
          <cell r="K5669">
            <v>1773</v>
          </cell>
          <cell r="AL5669">
            <v>2770</v>
          </cell>
          <cell r="AM5669">
            <v>20893</v>
          </cell>
        </row>
        <row r="5670">
          <cell r="A5670">
            <v>37974</v>
          </cell>
          <cell r="K5670">
            <v>1795</v>
          </cell>
          <cell r="AL5670">
            <v>5237</v>
          </cell>
          <cell r="AM5670">
            <v>21140</v>
          </cell>
        </row>
        <row r="5671">
          <cell r="A5671">
            <v>37977</v>
          </cell>
          <cell r="K5671">
            <v>1756</v>
          </cell>
          <cell r="AL5671">
            <v>5011</v>
          </cell>
          <cell r="AM5671">
            <v>21519</v>
          </cell>
        </row>
        <row r="5672">
          <cell r="A5672">
            <v>37978</v>
          </cell>
          <cell r="K5672">
            <v>1739</v>
          </cell>
          <cell r="AL5672">
            <v>5346</v>
          </cell>
          <cell r="AM5672">
            <v>21550</v>
          </cell>
        </row>
        <row r="5673">
          <cell r="A5673">
            <v>37979</v>
          </cell>
          <cell r="K5673">
            <v>1720</v>
          </cell>
          <cell r="AL5673">
            <v>5991</v>
          </cell>
          <cell r="AM5673">
            <v>21025</v>
          </cell>
        </row>
        <row r="5674">
          <cell r="A5674">
            <v>37981</v>
          </cell>
          <cell r="K5674">
            <v>1757</v>
          </cell>
          <cell r="AL5674">
            <v>2849</v>
          </cell>
          <cell r="AM5674">
            <v>21526</v>
          </cell>
        </row>
        <row r="5675">
          <cell r="A5675">
            <v>37984</v>
          </cell>
          <cell r="K5675">
            <v>1812</v>
          </cell>
          <cell r="AL5675">
            <v>4981</v>
          </cell>
          <cell r="AM5675">
            <v>21373</v>
          </cell>
        </row>
        <row r="5676">
          <cell r="A5676">
            <v>37985</v>
          </cell>
          <cell r="K5676">
            <v>1770</v>
          </cell>
          <cell r="AL5676">
            <v>3809</v>
          </cell>
          <cell r="AM5676">
            <v>21488</v>
          </cell>
        </row>
        <row r="5677">
          <cell r="A5677">
            <v>37986</v>
          </cell>
          <cell r="K5677">
            <v>1774</v>
          </cell>
          <cell r="AL5677">
            <v>1294</v>
          </cell>
          <cell r="AM5677">
            <v>21149</v>
          </cell>
        </row>
        <row r="5678">
          <cell r="A5678">
            <v>37988</v>
          </cell>
          <cell r="K5678">
            <v>1766</v>
          </cell>
          <cell r="AL5678">
            <v>1766</v>
          </cell>
          <cell r="AM5678">
            <v>21216</v>
          </cell>
        </row>
        <row r="5679">
          <cell r="A5679">
            <v>37991</v>
          </cell>
          <cell r="K5679">
            <v>1784</v>
          </cell>
          <cell r="AL5679">
            <v>2319</v>
          </cell>
          <cell r="AM5679">
            <v>21144</v>
          </cell>
        </row>
        <row r="5680">
          <cell r="A5680">
            <v>37992</v>
          </cell>
          <cell r="K5680">
            <v>1778</v>
          </cell>
          <cell r="AL5680">
            <v>4067</v>
          </cell>
          <cell r="AM5680">
            <v>21310</v>
          </cell>
        </row>
        <row r="5681">
          <cell r="A5681">
            <v>37993</v>
          </cell>
          <cell r="K5681">
            <v>1746</v>
          </cell>
          <cell r="AL5681">
            <v>4017</v>
          </cell>
          <cell r="AM5681">
            <v>21019</v>
          </cell>
        </row>
        <row r="5682">
          <cell r="A5682">
            <v>37994</v>
          </cell>
          <cell r="K5682">
            <v>1720</v>
          </cell>
          <cell r="AL5682">
            <v>5429</v>
          </cell>
          <cell r="AM5682">
            <v>20619</v>
          </cell>
        </row>
        <row r="5683">
          <cell r="A5683">
            <v>37995</v>
          </cell>
          <cell r="K5683">
            <v>1737</v>
          </cell>
          <cell r="AL5683">
            <v>3500</v>
          </cell>
          <cell r="AM5683">
            <v>21018</v>
          </cell>
        </row>
        <row r="5684">
          <cell r="A5684">
            <v>37998</v>
          </cell>
          <cell r="K5684">
            <v>1684</v>
          </cell>
          <cell r="AL5684">
            <v>5385</v>
          </cell>
          <cell r="AM5684">
            <v>21118</v>
          </cell>
        </row>
        <row r="5685">
          <cell r="A5685">
            <v>37999</v>
          </cell>
          <cell r="K5685">
            <v>1725</v>
          </cell>
          <cell r="AL5685">
            <v>6086</v>
          </cell>
          <cell r="AM5685">
            <v>21067</v>
          </cell>
        </row>
        <row r="5686">
          <cell r="A5686">
            <v>38000</v>
          </cell>
          <cell r="K5686">
            <v>1733</v>
          </cell>
          <cell r="AL5686">
            <v>3867</v>
          </cell>
          <cell r="AM5686">
            <v>21153</v>
          </cell>
        </row>
      </sheetData>
      <sheetData sheetId="4">
        <row r="1">
          <cell r="B1" t="str">
            <v>VOLUME</v>
          </cell>
          <cell r="C1" t="str">
            <v>FCPO VOLATILITY</v>
          </cell>
        </row>
        <row r="5442">
          <cell r="A5442">
            <v>37638</v>
          </cell>
          <cell r="B5442">
            <v>2687</v>
          </cell>
          <cell r="C5442">
            <v>0.18951640307787213</v>
          </cell>
        </row>
        <row r="5443">
          <cell r="A5443">
            <v>37641</v>
          </cell>
          <cell r="B5443">
            <v>3449</v>
          </cell>
          <cell r="C5443">
            <v>0.19309126973299021</v>
          </cell>
        </row>
        <row r="5444">
          <cell r="A5444">
            <v>37642</v>
          </cell>
          <cell r="B5444">
            <v>8015</v>
          </cell>
          <cell r="C5444">
            <v>0.15952360059206078</v>
          </cell>
        </row>
        <row r="5445">
          <cell r="A5445">
            <v>37643</v>
          </cell>
          <cell r="B5445">
            <v>5122</v>
          </cell>
          <cell r="C5445">
            <v>0.14620644257464877</v>
          </cell>
        </row>
        <row r="5446">
          <cell r="A5446">
            <v>37644</v>
          </cell>
          <cell r="B5446">
            <v>7748</v>
          </cell>
          <cell r="C5446">
            <v>0.18798245027654506</v>
          </cell>
        </row>
        <row r="5447">
          <cell r="A5447">
            <v>37645</v>
          </cell>
          <cell r="B5447">
            <v>2020</v>
          </cell>
          <cell r="C5447">
            <v>0.18793501353938499</v>
          </cell>
        </row>
        <row r="5448">
          <cell r="A5448">
            <v>37648</v>
          </cell>
          <cell r="B5448">
            <v>3574</v>
          </cell>
          <cell r="C5448">
            <v>0.15033291484599715</v>
          </cell>
        </row>
        <row r="5449">
          <cell r="A5449">
            <v>37649</v>
          </cell>
          <cell r="B5449">
            <v>3147</v>
          </cell>
          <cell r="C5449">
            <v>0.13057578594586883</v>
          </cell>
        </row>
        <row r="5450">
          <cell r="A5450">
            <v>37650</v>
          </cell>
          <cell r="B5450">
            <v>2749</v>
          </cell>
          <cell r="C5450">
            <v>0.15588437267953276</v>
          </cell>
        </row>
        <row r="5451">
          <cell r="A5451">
            <v>37651</v>
          </cell>
          <cell r="B5451">
            <v>4683</v>
          </cell>
          <cell r="C5451">
            <v>0.10032461978318807</v>
          </cell>
        </row>
        <row r="5452">
          <cell r="A5452">
            <v>37657</v>
          </cell>
          <cell r="B5452">
            <v>2992</v>
          </cell>
          <cell r="C5452">
            <v>0.10037460535604968</v>
          </cell>
        </row>
        <row r="5453">
          <cell r="A5453">
            <v>37658</v>
          </cell>
          <cell r="B5453">
            <v>1774</v>
          </cell>
          <cell r="C5453">
            <v>0.11277437944145459</v>
          </cell>
        </row>
        <row r="5454">
          <cell r="A5454">
            <v>37659</v>
          </cell>
          <cell r="B5454">
            <v>4517</v>
          </cell>
          <cell r="C5454">
            <v>0.11177285014893949</v>
          </cell>
        </row>
        <row r="5455">
          <cell r="A5455">
            <v>37662</v>
          </cell>
          <cell r="B5455">
            <v>4785</v>
          </cell>
          <cell r="C5455">
            <v>0.10568822284515512</v>
          </cell>
        </row>
        <row r="5456">
          <cell r="A5456">
            <v>37663</v>
          </cell>
          <cell r="B5456">
            <v>5041</v>
          </cell>
          <cell r="C5456">
            <v>9.8887711498950343E-2</v>
          </cell>
        </row>
        <row r="5457">
          <cell r="A5457">
            <v>37665</v>
          </cell>
          <cell r="B5457">
            <v>3572</v>
          </cell>
          <cell r="C5457">
            <v>9.1225760623728031E-2</v>
          </cell>
        </row>
        <row r="5458">
          <cell r="A5458">
            <v>37666</v>
          </cell>
          <cell r="B5458">
            <v>3404</v>
          </cell>
          <cell r="C5458">
            <v>8.0385565907598572E-2</v>
          </cell>
        </row>
        <row r="5459">
          <cell r="A5459">
            <v>37669</v>
          </cell>
          <cell r="B5459">
            <v>10055</v>
          </cell>
          <cell r="C5459">
            <v>6.3309617114908054E-2</v>
          </cell>
        </row>
        <row r="5460">
          <cell r="A5460">
            <v>37670</v>
          </cell>
          <cell r="B5460">
            <v>6644</v>
          </cell>
          <cell r="C5460">
            <v>7.3261193097808611E-2</v>
          </cell>
        </row>
        <row r="5461">
          <cell r="A5461">
            <v>37671</v>
          </cell>
          <cell r="B5461">
            <v>6642</v>
          </cell>
          <cell r="C5461">
            <v>7.4234080687509307E-2</v>
          </cell>
        </row>
        <row r="5462">
          <cell r="A5462">
            <v>37672</v>
          </cell>
          <cell r="B5462">
            <v>3197</v>
          </cell>
          <cell r="C5462">
            <v>4.3531422068182252E-2</v>
          </cell>
        </row>
        <row r="5463">
          <cell r="A5463">
            <v>37673</v>
          </cell>
          <cell r="B5463">
            <v>2496</v>
          </cell>
          <cell r="C5463">
            <v>4.2653602484999914E-2</v>
          </cell>
        </row>
        <row r="5464">
          <cell r="A5464">
            <v>37676</v>
          </cell>
          <cell r="B5464">
            <v>1525</v>
          </cell>
          <cell r="C5464">
            <v>4.4428905819086838E-2</v>
          </cell>
        </row>
        <row r="5465">
          <cell r="A5465">
            <v>37677</v>
          </cell>
          <cell r="B5465">
            <v>3100</v>
          </cell>
          <cell r="C5465">
            <v>6.1526020938139601E-2</v>
          </cell>
        </row>
        <row r="5466">
          <cell r="A5466">
            <v>37678</v>
          </cell>
          <cell r="B5466">
            <v>1996</v>
          </cell>
          <cell r="C5466">
            <v>6.1554382420515856E-2</v>
          </cell>
        </row>
        <row r="5467">
          <cell r="A5467">
            <v>37679</v>
          </cell>
          <cell r="B5467">
            <v>1234</v>
          </cell>
          <cell r="C5467">
            <v>6.2183522778376826E-2</v>
          </cell>
        </row>
        <row r="5468">
          <cell r="A5468">
            <v>37680</v>
          </cell>
          <cell r="B5468">
            <v>5488</v>
          </cell>
          <cell r="C5468">
            <v>7.0512729166735649E-2</v>
          </cell>
        </row>
        <row r="5469">
          <cell r="A5469">
            <v>37683</v>
          </cell>
          <cell r="B5469">
            <v>3064</v>
          </cell>
          <cell r="C5469">
            <v>7.6816910722729545E-2</v>
          </cell>
        </row>
        <row r="5470">
          <cell r="A5470">
            <v>37685</v>
          </cell>
          <cell r="B5470">
            <v>14003</v>
          </cell>
          <cell r="C5470">
            <v>0.2677586752400839</v>
          </cell>
        </row>
        <row r="5471">
          <cell r="A5471">
            <v>37686</v>
          </cell>
          <cell r="B5471">
            <v>5060</v>
          </cell>
          <cell r="C5471">
            <v>0.27746088726410179</v>
          </cell>
        </row>
        <row r="5472">
          <cell r="A5472">
            <v>37687</v>
          </cell>
          <cell r="B5472">
            <v>7056</v>
          </cell>
          <cell r="C5472">
            <v>0.28279459047559868</v>
          </cell>
        </row>
        <row r="5473">
          <cell r="A5473">
            <v>37690</v>
          </cell>
          <cell r="B5473">
            <v>8538</v>
          </cell>
          <cell r="C5473">
            <v>0.29834171154953482</v>
          </cell>
        </row>
        <row r="5474">
          <cell r="A5474">
            <v>37691</v>
          </cell>
          <cell r="B5474">
            <v>5906</v>
          </cell>
          <cell r="C5474">
            <v>0.3036273812016077</v>
          </cell>
        </row>
        <row r="5475">
          <cell r="A5475">
            <v>37692</v>
          </cell>
          <cell r="B5475">
            <v>6204</v>
          </cell>
          <cell r="C5475">
            <v>0.21834069853958915</v>
          </cell>
        </row>
        <row r="5476">
          <cell r="A5476">
            <v>37693</v>
          </cell>
          <cell r="B5476">
            <v>2633</v>
          </cell>
          <cell r="C5476">
            <v>0.20643131294227382</v>
          </cell>
        </row>
        <row r="5477">
          <cell r="A5477">
            <v>37694</v>
          </cell>
          <cell r="B5477">
            <v>3448</v>
          </cell>
          <cell r="C5477">
            <v>0.22402155317841069</v>
          </cell>
        </row>
        <row r="5478">
          <cell r="A5478">
            <v>37697</v>
          </cell>
          <cell r="B5478">
            <v>10175</v>
          </cell>
          <cell r="C5478">
            <v>0.17678102314240104</v>
          </cell>
        </row>
        <row r="5479">
          <cell r="A5479">
            <v>37698</v>
          </cell>
          <cell r="B5479">
            <v>3984</v>
          </cell>
          <cell r="C5479">
            <v>0.17473047848722981</v>
          </cell>
        </row>
        <row r="5480">
          <cell r="A5480">
            <v>37699</v>
          </cell>
          <cell r="B5480">
            <v>4468</v>
          </cell>
          <cell r="C5480">
            <v>0.14053251212760154</v>
          </cell>
        </row>
        <row r="5481">
          <cell r="A5481">
            <v>37700</v>
          </cell>
          <cell r="B5481">
            <v>6635</v>
          </cell>
          <cell r="C5481">
            <v>0.19533349964710897</v>
          </cell>
        </row>
        <row r="5482">
          <cell r="A5482">
            <v>37701</v>
          </cell>
          <cell r="B5482">
            <v>5527</v>
          </cell>
          <cell r="C5482">
            <v>0.18733923174115261</v>
          </cell>
        </row>
        <row r="5483">
          <cell r="A5483">
            <v>37704</v>
          </cell>
          <cell r="B5483">
            <v>5643</v>
          </cell>
          <cell r="C5483">
            <v>0.22968423466795865</v>
          </cell>
        </row>
        <row r="5484">
          <cell r="A5484">
            <v>37705</v>
          </cell>
          <cell r="B5484">
            <v>11438</v>
          </cell>
          <cell r="C5484">
            <v>0.22934765186197675</v>
          </cell>
        </row>
        <row r="5485">
          <cell r="A5485">
            <v>37706</v>
          </cell>
          <cell r="B5485">
            <v>10258</v>
          </cell>
          <cell r="C5485">
            <v>0.2678691482892574</v>
          </cell>
        </row>
        <row r="5486">
          <cell r="A5486">
            <v>37707</v>
          </cell>
          <cell r="B5486">
            <v>11280</v>
          </cell>
          <cell r="C5486">
            <v>0.37594604588736935</v>
          </cell>
        </row>
        <row r="5487">
          <cell r="A5487">
            <v>37708</v>
          </cell>
          <cell r="B5487">
            <v>8350</v>
          </cell>
          <cell r="C5487">
            <v>0.37534424828915819</v>
          </cell>
        </row>
        <row r="5488">
          <cell r="A5488">
            <v>37711</v>
          </cell>
          <cell r="B5488">
            <v>5268</v>
          </cell>
          <cell r="C5488">
            <v>0.34272458857934934</v>
          </cell>
        </row>
        <row r="5489">
          <cell r="A5489">
            <v>37712</v>
          </cell>
          <cell r="B5489">
            <v>4501</v>
          </cell>
          <cell r="C5489">
            <v>0.29718388143044838</v>
          </cell>
        </row>
        <row r="5490">
          <cell r="A5490">
            <v>37713</v>
          </cell>
          <cell r="B5490">
            <v>6277</v>
          </cell>
          <cell r="C5490">
            <v>0.30985148572078958</v>
          </cell>
        </row>
        <row r="5491">
          <cell r="A5491">
            <v>37714</v>
          </cell>
          <cell r="B5491">
            <v>7705</v>
          </cell>
          <cell r="C5491">
            <v>0.21356540294405998</v>
          </cell>
        </row>
        <row r="5492">
          <cell r="A5492">
            <v>37715</v>
          </cell>
          <cell r="B5492">
            <v>5455</v>
          </cell>
          <cell r="C5492">
            <v>0.22204617596852841</v>
          </cell>
        </row>
        <row r="5493">
          <cell r="A5493">
            <v>37718</v>
          </cell>
          <cell r="B5493">
            <v>6729</v>
          </cell>
          <cell r="C5493">
            <v>0.19413279750370341</v>
          </cell>
        </row>
        <row r="5494">
          <cell r="A5494">
            <v>37719</v>
          </cell>
          <cell r="B5494">
            <v>7934</v>
          </cell>
          <cell r="C5494">
            <v>0.2991149252801365</v>
          </cell>
        </row>
        <row r="5495">
          <cell r="A5495">
            <v>37720</v>
          </cell>
          <cell r="B5495">
            <v>12426</v>
          </cell>
          <cell r="C5495">
            <v>0.2641036792255318</v>
          </cell>
        </row>
        <row r="5496">
          <cell r="A5496">
            <v>37721</v>
          </cell>
          <cell r="B5496">
            <v>4444</v>
          </cell>
          <cell r="C5496">
            <v>0.26751206273421513</v>
          </cell>
        </row>
        <row r="5497">
          <cell r="A5497">
            <v>37722</v>
          </cell>
          <cell r="B5497">
            <v>4188</v>
          </cell>
          <cell r="C5497">
            <v>0.27859340838308899</v>
          </cell>
        </row>
        <row r="5498">
          <cell r="A5498">
            <v>37725</v>
          </cell>
          <cell r="B5498">
            <v>6412</v>
          </cell>
          <cell r="C5498">
            <v>0.19889965304623738</v>
          </cell>
        </row>
        <row r="5499">
          <cell r="A5499">
            <v>37726</v>
          </cell>
          <cell r="B5499">
            <v>6044</v>
          </cell>
          <cell r="C5499">
            <v>0.16226854628169535</v>
          </cell>
        </row>
        <row r="5500">
          <cell r="A5500">
            <v>37727</v>
          </cell>
          <cell r="B5500">
            <v>7655</v>
          </cell>
          <cell r="C5500">
            <v>0.17081374034685839</v>
          </cell>
        </row>
        <row r="5501">
          <cell r="A5501">
            <v>37728</v>
          </cell>
          <cell r="B5501">
            <v>7140</v>
          </cell>
          <cell r="C5501">
            <v>0.1104822235074526</v>
          </cell>
        </row>
        <row r="5502">
          <cell r="A5502">
            <v>37729</v>
          </cell>
          <cell r="B5502">
            <v>3898</v>
          </cell>
          <cell r="C5502">
            <v>0.13741185994961114</v>
          </cell>
        </row>
        <row r="5503">
          <cell r="A5503">
            <v>37732</v>
          </cell>
          <cell r="B5503">
            <v>4272</v>
          </cell>
          <cell r="C5503">
            <v>0.10523094171119809</v>
          </cell>
        </row>
        <row r="5504">
          <cell r="A5504">
            <v>37733</v>
          </cell>
          <cell r="B5504">
            <v>6865</v>
          </cell>
          <cell r="C5504">
            <v>0.12434727961224941</v>
          </cell>
        </row>
        <row r="5505">
          <cell r="A5505">
            <v>37734</v>
          </cell>
          <cell r="B5505">
            <v>7169</v>
          </cell>
          <cell r="C5505">
            <v>0.16010085664537957</v>
          </cell>
        </row>
        <row r="5506">
          <cell r="A5506">
            <v>37735</v>
          </cell>
          <cell r="B5506">
            <v>5024</v>
          </cell>
          <cell r="C5506">
            <v>0.16111213953467074</v>
          </cell>
        </row>
        <row r="5507">
          <cell r="A5507">
            <v>37736</v>
          </cell>
          <cell r="B5507">
            <v>4687</v>
          </cell>
          <cell r="C5507">
            <v>0.16830625381446315</v>
          </cell>
        </row>
        <row r="5508">
          <cell r="A5508">
            <v>37739</v>
          </cell>
          <cell r="B5508">
            <v>4507</v>
          </cell>
          <cell r="C5508">
            <v>0.19556359879723223</v>
          </cell>
        </row>
        <row r="5509">
          <cell r="A5509">
            <v>37740</v>
          </cell>
          <cell r="B5509">
            <v>5279</v>
          </cell>
          <cell r="C5509">
            <v>0.14512796858647281</v>
          </cell>
        </row>
        <row r="5510">
          <cell r="A5510">
            <v>37741</v>
          </cell>
          <cell r="B5510">
            <v>5573</v>
          </cell>
          <cell r="C5510">
            <v>0.13533689122298281</v>
          </cell>
        </row>
        <row r="5511">
          <cell r="A5511">
            <v>37743</v>
          </cell>
          <cell r="B5511">
            <v>5208</v>
          </cell>
          <cell r="C5511">
            <v>0.14153597668279408</v>
          </cell>
        </row>
        <row r="5512">
          <cell r="A5512">
            <v>37746</v>
          </cell>
          <cell r="B5512">
            <v>2795</v>
          </cell>
          <cell r="C5512">
            <v>0.16598895563176638</v>
          </cell>
        </row>
        <row r="5513">
          <cell r="A5513">
            <v>37747</v>
          </cell>
          <cell r="B5513">
            <v>3566</v>
          </cell>
          <cell r="C5513">
            <v>0.14117391100434701</v>
          </cell>
        </row>
        <row r="5514">
          <cell r="A5514">
            <v>37748</v>
          </cell>
          <cell r="B5514">
            <v>4861</v>
          </cell>
          <cell r="C5514">
            <v>0.15787511037122889</v>
          </cell>
        </row>
        <row r="5515">
          <cell r="A5515">
            <v>37749</v>
          </cell>
          <cell r="B5515">
            <v>4681</v>
          </cell>
          <cell r="C5515">
            <v>0.15597517954094173</v>
          </cell>
        </row>
        <row r="5516">
          <cell r="A5516">
            <v>37750</v>
          </cell>
          <cell r="B5516">
            <v>6932</v>
          </cell>
          <cell r="C5516">
            <v>0.1500337277232251</v>
          </cell>
        </row>
        <row r="5517">
          <cell r="A5517">
            <v>37753</v>
          </cell>
          <cell r="B5517">
            <v>8698</v>
          </cell>
          <cell r="C5517">
            <v>0.16836323750433374</v>
          </cell>
        </row>
        <row r="5518">
          <cell r="A5518">
            <v>37754</v>
          </cell>
          <cell r="B5518">
            <v>6325</v>
          </cell>
          <cell r="C5518">
            <v>0.18590321138799429</v>
          </cell>
        </row>
        <row r="5519">
          <cell r="A5519">
            <v>37757</v>
          </cell>
          <cell r="B5519">
            <v>8296</v>
          </cell>
          <cell r="C5519">
            <v>0.19660246279374885</v>
          </cell>
        </row>
        <row r="5520">
          <cell r="A5520">
            <v>37760</v>
          </cell>
          <cell r="B5520">
            <v>8052</v>
          </cell>
          <cell r="C5520">
            <v>0.2493001186045638</v>
          </cell>
        </row>
        <row r="5521">
          <cell r="A5521">
            <v>37761</v>
          </cell>
          <cell r="B5521">
            <v>4257</v>
          </cell>
          <cell r="C5521">
            <v>0.23907032716287091</v>
          </cell>
        </row>
        <row r="5522">
          <cell r="A5522">
            <v>37762</v>
          </cell>
          <cell r="B5522">
            <v>6078</v>
          </cell>
          <cell r="C5522">
            <v>0.11487342380484192</v>
          </cell>
        </row>
        <row r="5523">
          <cell r="A5523">
            <v>37763</v>
          </cell>
          <cell r="B5523">
            <v>6170</v>
          </cell>
          <cell r="C5523">
            <v>0.1394449611929309</v>
          </cell>
        </row>
        <row r="5524">
          <cell r="A5524">
            <v>37764</v>
          </cell>
          <cell r="B5524">
            <v>5797</v>
          </cell>
          <cell r="C5524">
            <v>0.13621332173412565</v>
          </cell>
        </row>
        <row r="5525">
          <cell r="A5525">
            <v>37767</v>
          </cell>
          <cell r="B5525">
            <v>3784</v>
          </cell>
          <cell r="C5525">
            <v>0.12415260864817312</v>
          </cell>
        </row>
        <row r="5526">
          <cell r="A5526">
            <v>37768</v>
          </cell>
          <cell r="B5526">
            <v>5921</v>
          </cell>
          <cell r="C5526">
            <v>8.3738111087158368E-2</v>
          </cell>
        </row>
        <row r="5527">
          <cell r="A5527">
            <v>37769</v>
          </cell>
          <cell r="B5527">
            <v>6575</v>
          </cell>
          <cell r="C5527">
            <v>0.19949198986615452</v>
          </cell>
        </row>
        <row r="5528">
          <cell r="A5528">
            <v>37770</v>
          </cell>
          <cell r="B5528">
            <v>5075</v>
          </cell>
          <cell r="C5528">
            <v>0.17645245157463713</v>
          </cell>
        </row>
        <row r="5529">
          <cell r="A5529">
            <v>37771</v>
          </cell>
          <cell r="B5529">
            <v>6154</v>
          </cell>
          <cell r="C5529">
            <v>0.18098322294692298</v>
          </cell>
        </row>
        <row r="5530">
          <cell r="A5530">
            <v>37774</v>
          </cell>
          <cell r="B5530">
            <v>3592</v>
          </cell>
          <cell r="C5530">
            <v>0.13815583553763611</v>
          </cell>
        </row>
        <row r="5531">
          <cell r="A5531">
            <v>37775</v>
          </cell>
          <cell r="B5531">
            <v>5336</v>
          </cell>
          <cell r="C5531">
            <v>0.24226139965855448</v>
          </cell>
        </row>
        <row r="5532">
          <cell r="A5532">
            <v>37776</v>
          </cell>
          <cell r="B5532">
            <v>6147</v>
          </cell>
          <cell r="C5532">
            <v>0.23586727551232842</v>
          </cell>
        </row>
        <row r="5533">
          <cell r="A5533">
            <v>37777</v>
          </cell>
          <cell r="B5533">
            <v>6260</v>
          </cell>
          <cell r="C5533">
            <v>0.23591854323618777</v>
          </cell>
        </row>
        <row r="5534">
          <cell r="A5534">
            <v>37778</v>
          </cell>
          <cell r="B5534">
            <v>7066</v>
          </cell>
          <cell r="C5534">
            <v>0.22376989847884612</v>
          </cell>
        </row>
        <row r="5535">
          <cell r="A5535">
            <v>37781</v>
          </cell>
          <cell r="B5535">
            <v>6289</v>
          </cell>
          <cell r="C5535">
            <v>0.23965508864584412</v>
          </cell>
        </row>
        <row r="5536">
          <cell r="A5536">
            <v>37782</v>
          </cell>
          <cell r="B5536">
            <v>6993</v>
          </cell>
          <cell r="C5536">
            <v>0.14519861087188654</v>
          </cell>
        </row>
        <row r="5537">
          <cell r="A5537">
            <v>37783</v>
          </cell>
          <cell r="B5537">
            <v>6194</v>
          </cell>
          <cell r="C5537">
            <v>0.12623950318279661</v>
          </cell>
        </row>
        <row r="5538">
          <cell r="A5538">
            <v>37784</v>
          </cell>
          <cell r="B5538">
            <v>6130</v>
          </cell>
          <cell r="C5538">
            <v>0.12704238964856707</v>
          </cell>
        </row>
        <row r="5539">
          <cell r="A5539">
            <v>37785</v>
          </cell>
          <cell r="B5539">
            <v>4326</v>
          </cell>
          <cell r="C5539">
            <v>8.1474896985225267E-2</v>
          </cell>
        </row>
        <row r="5540">
          <cell r="A5540">
            <v>37788</v>
          </cell>
          <cell r="B5540">
            <v>5573</v>
          </cell>
          <cell r="C5540">
            <v>0.29589750943517446</v>
          </cell>
        </row>
        <row r="5541">
          <cell r="A5541">
            <v>37789</v>
          </cell>
          <cell r="B5541">
            <v>5079</v>
          </cell>
          <cell r="C5541">
            <v>0.29407038887640574</v>
          </cell>
        </row>
        <row r="5542">
          <cell r="A5542">
            <v>37790</v>
          </cell>
          <cell r="B5542">
            <v>6964</v>
          </cell>
          <cell r="C5542">
            <v>0.31210314827256064</v>
          </cell>
        </row>
        <row r="5543">
          <cell r="A5543">
            <v>37791</v>
          </cell>
          <cell r="B5543">
            <v>6139</v>
          </cell>
          <cell r="C5543">
            <v>0.30816508775550361</v>
          </cell>
        </row>
        <row r="5544">
          <cell r="A5544">
            <v>37792</v>
          </cell>
          <cell r="B5544">
            <v>3183</v>
          </cell>
          <cell r="C5544">
            <v>0.30637860110730075</v>
          </cell>
        </row>
        <row r="5545">
          <cell r="A5545">
            <v>37795</v>
          </cell>
          <cell r="B5545">
            <v>4852</v>
          </cell>
          <cell r="C5545">
            <v>0.22119334616596778</v>
          </cell>
        </row>
        <row r="5546">
          <cell r="A5546">
            <v>37796</v>
          </cell>
          <cell r="B5546">
            <v>5910</v>
          </cell>
          <cell r="C5546">
            <v>0.2063830644518623</v>
          </cell>
        </row>
        <row r="5547">
          <cell r="A5547">
            <v>37797</v>
          </cell>
          <cell r="B5547">
            <v>3594</v>
          </cell>
          <cell r="C5547">
            <v>0.1708008988926846</v>
          </cell>
        </row>
        <row r="5548">
          <cell r="A5548">
            <v>37798</v>
          </cell>
          <cell r="B5548">
            <v>6194</v>
          </cell>
          <cell r="C5548">
            <v>0.16206444474591603</v>
          </cell>
        </row>
        <row r="5549">
          <cell r="A5549">
            <v>37799</v>
          </cell>
          <cell r="B5549">
            <v>8823</v>
          </cell>
          <cell r="C5549">
            <v>0.1680638079297844</v>
          </cell>
        </row>
        <row r="5550">
          <cell r="A5550">
            <v>37802</v>
          </cell>
          <cell r="B5550">
            <v>2587</v>
          </cell>
          <cell r="C5550">
            <v>0.11274980440040751</v>
          </cell>
        </row>
        <row r="5551">
          <cell r="A5551">
            <v>37803</v>
          </cell>
          <cell r="B5551">
            <v>2122</v>
          </cell>
          <cell r="C5551">
            <v>9.6917166952564068E-2</v>
          </cell>
        </row>
        <row r="5552">
          <cell r="A5552">
            <v>37804</v>
          </cell>
          <cell r="B5552">
            <v>5174</v>
          </cell>
          <cell r="C5552">
            <v>9.4357218400991871E-2</v>
          </cell>
        </row>
        <row r="5553">
          <cell r="A5553">
            <v>37805</v>
          </cell>
          <cell r="B5553">
            <v>5463</v>
          </cell>
          <cell r="C5553">
            <v>4.4236786393992554E-2</v>
          </cell>
        </row>
        <row r="5554">
          <cell r="A5554">
            <v>37806</v>
          </cell>
          <cell r="B5554">
            <v>3870</v>
          </cell>
          <cell r="C5554">
            <v>4.5331163782573312E-2</v>
          </cell>
        </row>
        <row r="5555">
          <cell r="A5555">
            <v>37809</v>
          </cell>
          <cell r="B5555">
            <v>5693</v>
          </cell>
          <cell r="C5555">
            <v>7.1134689196872603E-2</v>
          </cell>
        </row>
        <row r="5556">
          <cell r="A5556">
            <v>37810</v>
          </cell>
          <cell r="B5556">
            <v>4000</v>
          </cell>
          <cell r="C5556">
            <v>7.1996175612512689E-2</v>
          </cell>
        </row>
        <row r="5557">
          <cell r="A5557">
            <v>37811</v>
          </cell>
          <cell r="B5557">
            <v>4444</v>
          </cell>
          <cell r="C5557">
            <v>9.1780967885673345E-2</v>
          </cell>
        </row>
        <row r="5558">
          <cell r="A5558">
            <v>37812</v>
          </cell>
          <cell r="B5558">
            <v>3265</v>
          </cell>
          <cell r="C5558">
            <v>6.3574429577166081E-2</v>
          </cell>
        </row>
        <row r="5559">
          <cell r="A5559">
            <v>37813</v>
          </cell>
          <cell r="B5559">
            <v>3753</v>
          </cell>
          <cell r="C5559">
            <v>6.3626405423826665E-2</v>
          </cell>
        </row>
        <row r="5560">
          <cell r="A5560">
            <v>37816</v>
          </cell>
          <cell r="B5560">
            <v>2658</v>
          </cell>
          <cell r="C5560">
            <v>7.3899056012972253E-2</v>
          </cell>
        </row>
        <row r="5561">
          <cell r="A5561">
            <v>37817</v>
          </cell>
          <cell r="B5561">
            <v>3735</v>
          </cell>
          <cell r="C5561">
            <v>7.098833806248292E-2</v>
          </cell>
        </row>
        <row r="5562">
          <cell r="A5562">
            <v>37818</v>
          </cell>
          <cell r="B5562">
            <v>4445</v>
          </cell>
          <cell r="C5562">
            <v>0.2911832858107406</v>
          </cell>
        </row>
        <row r="5563">
          <cell r="A5563">
            <v>37819</v>
          </cell>
          <cell r="B5563">
            <v>5433</v>
          </cell>
          <cell r="C5563">
            <v>0.28975205300917817</v>
          </cell>
        </row>
        <row r="5564">
          <cell r="A5564">
            <v>37820</v>
          </cell>
          <cell r="B5564">
            <v>5641</v>
          </cell>
          <cell r="C5564">
            <v>0.3117324985100508</v>
          </cell>
        </row>
        <row r="5565">
          <cell r="A5565">
            <v>37823</v>
          </cell>
          <cell r="B5565">
            <v>4823</v>
          </cell>
          <cell r="C5565">
            <v>0.29445919326019826</v>
          </cell>
        </row>
        <row r="5566">
          <cell r="A5566">
            <v>37824</v>
          </cell>
          <cell r="B5566">
            <v>6365</v>
          </cell>
          <cell r="C5566">
            <v>0.2776984886455704</v>
          </cell>
        </row>
        <row r="5567">
          <cell r="A5567">
            <v>37825</v>
          </cell>
          <cell r="B5567">
            <v>10482</v>
          </cell>
          <cell r="C5567">
            <v>0.23829294643118998</v>
          </cell>
        </row>
        <row r="5568">
          <cell r="A5568">
            <v>37826</v>
          </cell>
          <cell r="B5568">
            <v>3690</v>
          </cell>
          <cell r="C5568">
            <v>0.25190340622413027</v>
          </cell>
        </row>
        <row r="5569">
          <cell r="A5569">
            <v>37827</v>
          </cell>
          <cell r="B5569">
            <v>3851</v>
          </cell>
          <cell r="C5569">
            <v>0.25776641096808534</v>
          </cell>
        </row>
        <row r="5570">
          <cell r="A5570">
            <v>37830</v>
          </cell>
          <cell r="B5570">
            <v>5826</v>
          </cell>
          <cell r="C5570">
            <v>0.27852061937615291</v>
          </cell>
        </row>
        <row r="5571">
          <cell r="A5571">
            <v>37831</v>
          </cell>
          <cell r="B5571">
            <v>6322</v>
          </cell>
          <cell r="C5571">
            <v>0.27921797728075826</v>
          </cell>
        </row>
        <row r="5572">
          <cell r="A5572">
            <v>37832</v>
          </cell>
          <cell r="B5572">
            <v>6880</v>
          </cell>
          <cell r="C5572">
            <v>0.15145343054712107</v>
          </cell>
        </row>
        <row r="5573">
          <cell r="A5573">
            <v>37833</v>
          </cell>
          <cell r="B5573">
            <v>4855</v>
          </cell>
          <cell r="C5573">
            <v>0.15443433078974556</v>
          </cell>
        </row>
        <row r="5574">
          <cell r="A5574">
            <v>37834</v>
          </cell>
          <cell r="B5574">
            <v>6067</v>
          </cell>
          <cell r="C5574">
            <v>0.1563642036581348</v>
          </cell>
        </row>
        <row r="5575">
          <cell r="A5575">
            <v>37837</v>
          </cell>
          <cell r="B5575">
            <v>5848</v>
          </cell>
          <cell r="C5575">
            <v>0.10157937002910503</v>
          </cell>
        </row>
        <row r="5576">
          <cell r="A5576">
            <v>37838</v>
          </cell>
          <cell r="B5576">
            <v>3860</v>
          </cell>
          <cell r="C5576">
            <v>0.11564998981575317</v>
          </cell>
        </row>
        <row r="5577">
          <cell r="A5577">
            <v>37839</v>
          </cell>
          <cell r="B5577">
            <v>7454</v>
          </cell>
          <cell r="C5577">
            <v>0.20268489557030608</v>
          </cell>
        </row>
        <row r="5578">
          <cell r="A5578">
            <v>37840</v>
          </cell>
          <cell r="B5578">
            <v>8326</v>
          </cell>
          <cell r="C5578">
            <v>0.22080576456825751</v>
          </cell>
        </row>
        <row r="5579">
          <cell r="A5579">
            <v>37841</v>
          </cell>
          <cell r="B5579">
            <v>5531</v>
          </cell>
          <cell r="C5579">
            <v>0.17135036906001788</v>
          </cell>
        </row>
        <row r="5580">
          <cell r="A5580">
            <v>37844</v>
          </cell>
          <cell r="B5580">
            <v>3618</v>
          </cell>
          <cell r="C5580">
            <v>0.14497865654989903</v>
          </cell>
        </row>
        <row r="5581">
          <cell r="A5581">
            <v>37845</v>
          </cell>
          <cell r="B5581">
            <v>4079</v>
          </cell>
          <cell r="C5581">
            <v>0.14114713286262648</v>
          </cell>
        </row>
        <row r="5582">
          <cell r="A5582">
            <v>37846</v>
          </cell>
          <cell r="B5582">
            <v>5556</v>
          </cell>
          <cell r="C5582">
            <v>0.11709568683652004</v>
          </cell>
        </row>
        <row r="5583">
          <cell r="A5583">
            <v>37847</v>
          </cell>
          <cell r="B5583">
            <v>5049</v>
          </cell>
          <cell r="C5583">
            <v>0.13154315605904321</v>
          </cell>
        </row>
        <row r="5584">
          <cell r="A5584">
            <v>37848</v>
          </cell>
          <cell r="B5584">
            <v>5223</v>
          </cell>
          <cell r="C5584">
            <v>0.13889829965472442</v>
          </cell>
        </row>
        <row r="5585">
          <cell r="A5585">
            <v>37851</v>
          </cell>
          <cell r="B5585">
            <v>5484</v>
          </cell>
          <cell r="C5585">
            <v>0.14550915538673659</v>
          </cell>
        </row>
        <row r="5586">
          <cell r="A5586">
            <v>37852</v>
          </cell>
          <cell r="B5586">
            <v>5949</v>
          </cell>
          <cell r="C5586">
            <v>0.14021434226589888</v>
          </cell>
        </row>
        <row r="5587">
          <cell r="A5587">
            <v>37853</v>
          </cell>
          <cell r="B5587">
            <v>5402</v>
          </cell>
          <cell r="C5587">
            <v>0.13746405605702985</v>
          </cell>
        </row>
        <row r="5588">
          <cell r="A5588">
            <v>37854</v>
          </cell>
          <cell r="B5588">
            <v>11610</v>
          </cell>
          <cell r="C5588">
            <v>0.17952401560422235</v>
          </cell>
        </row>
        <row r="5589">
          <cell r="A5589">
            <v>37855</v>
          </cell>
          <cell r="B5589">
            <v>3193</v>
          </cell>
          <cell r="C5589">
            <v>0.14132199455381389</v>
          </cell>
        </row>
        <row r="5590">
          <cell r="A5590">
            <v>37858</v>
          </cell>
          <cell r="B5590">
            <v>3767</v>
          </cell>
          <cell r="C5590">
            <v>0.18047644123087855</v>
          </cell>
        </row>
        <row r="5591">
          <cell r="A5591">
            <v>37859</v>
          </cell>
          <cell r="B5591">
            <v>3543</v>
          </cell>
          <cell r="C5591">
            <v>0.18500295799047026</v>
          </cell>
        </row>
        <row r="5592">
          <cell r="A5592">
            <v>37860</v>
          </cell>
          <cell r="B5592">
            <v>4210</v>
          </cell>
          <cell r="C5592">
            <v>0.18591025058171329</v>
          </cell>
        </row>
        <row r="5593">
          <cell r="A5593">
            <v>37861</v>
          </cell>
          <cell r="B5593">
            <v>6988</v>
          </cell>
          <cell r="C5593">
            <v>0.13243728223498588</v>
          </cell>
        </row>
        <row r="5594">
          <cell r="A5594">
            <v>37862</v>
          </cell>
          <cell r="B5594">
            <v>5887</v>
          </cell>
          <cell r="C5594">
            <v>0.12385660233910299</v>
          </cell>
        </row>
        <row r="5595">
          <cell r="A5595">
            <v>37866</v>
          </cell>
          <cell r="B5595">
            <v>4787</v>
          </cell>
          <cell r="C5595">
            <v>0.14145652473208981</v>
          </cell>
        </row>
        <row r="5596">
          <cell r="A5596">
            <v>37867</v>
          </cell>
          <cell r="B5596">
            <v>6780</v>
          </cell>
          <cell r="C5596">
            <v>0.20047951207568643</v>
          </cell>
        </row>
        <row r="5597">
          <cell r="A5597">
            <v>37868</v>
          </cell>
          <cell r="B5597">
            <v>5240</v>
          </cell>
          <cell r="C5597">
            <v>0.19473963309755932</v>
          </cell>
        </row>
        <row r="5598">
          <cell r="A5598">
            <v>37869</v>
          </cell>
          <cell r="B5598">
            <v>2447</v>
          </cell>
          <cell r="C5598">
            <v>0.18513742262777494</v>
          </cell>
        </row>
        <row r="5599">
          <cell r="A5599">
            <v>37872</v>
          </cell>
          <cell r="B5599">
            <v>2872</v>
          </cell>
          <cell r="C5599">
            <v>0.175188139785181</v>
          </cell>
        </row>
        <row r="5600">
          <cell r="A5600">
            <v>37873</v>
          </cell>
          <cell r="B5600">
            <v>5021</v>
          </cell>
          <cell r="C5600">
            <v>0.17815435079712721</v>
          </cell>
        </row>
        <row r="5601">
          <cell r="A5601">
            <v>37874</v>
          </cell>
          <cell r="B5601">
            <v>6718</v>
          </cell>
          <cell r="C5601">
            <v>0.13567682215820984</v>
          </cell>
        </row>
        <row r="5602">
          <cell r="A5602">
            <v>37875</v>
          </cell>
          <cell r="B5602">
            <v>5288</v>
          </cell>
          <cell r="C5602">
            <v>0.13020942082750928</v>
          </cell>
        </row>
        <row r="5603">
          <cell r="A5603">
            <v>37876</v>
          </cell>
          <cell r="B5603">
            <v>9533</v>
          </cell>
          <cell r="C5603">
            <v>0.17136876906412812</v>
          </cell>
        </row>
        <row r="5604">
          <cell r="A5604">
            <v>37879</v>
          </cell>
          <cell r="B5604">
            <v>4879</v>
          </cell>
          <cell r="C5604">
            <v>0.11749666495637406</v>
          </cell>
        </row>
        <row r="5605">
          <cell r="A5605">
            <v>37880</v>
          </cell>
          <cell r="B5605">
            <v>3494</v>
          </cell>
          <cell r="C5605">
            <v>0.10755929308660449</v>
          </cell>
        </row>
        <row r="5606">
          <cell r="A5606">
            <v>37881</v>
          </cell>
          <cell r="B5606">
            <v>10162</v>
          </cell>
          <cell r="C5606">
            <v>0.1403142708422325</v>
          </cell>
        </row>
        <row r="5607">
          <cell r="A5607">
            <v>37882</v>
          </cell>
          <cell r="B5607">
            <v>6928</v>
          </cell>
          <cell r="C5607">
            <v>0.17829711337815682</v>
          </cell>
        </row>
        <row r="5608">
          <cell r="A5608">
            <v>37883</v>
          </cell>
          <cell r="B5608">
            <v>8451</v>
          </cell>
          <cell r="C5608">
            <v>0.2369458611139679</v>
          </cell>
        </row>
        <row r="5609">
          <cell r="A5609">
            <v>37886</v>
          </cell>
          <cell r="B5609">
            <v>7897</v>
          </cell>
          <cell r="C5609">
            <v>0.23186045159310231</v>
          </cell>
        </row>
        <row r="5610">
          <cell r="A5610">
            <v>37887</v>
          </cell>
          <cell r="B5610">
            <v>7115</v>
          </cell>
          <cell r="C5610">
            <v>0.30753911738267137</v>
          </cell>
        </row>
        <row r="5611">
          <cell r="A5611">
            <v>37888</v>
          </cell>
          <cell r="B5611">
            <v>5414</v>
          </cell>
          <cell r="C5611">
            <v>0.28598642879948133</v>
          </cell>
        </row>
        <row r="5612">
          <cell r="A5612">
            <v>37889</v>
          </cell>
          <cell r="B5612">
            <v>7064</v>
          </cell>
          <cell r="C5612">
            <v>0.26987902979084061</v>
          </cell>
        </row>
        <row r="5613">
          <cell r="A5613">
            <v>37890</v>
          </cell>
          <cell r="B5613">
            <v>4715</v>
          </cell>
          <cell r="C5613">
            <v>0.22162315899926602</v>
          </cell>
        </row>
        <row r="5614">
          <cell r="A5614">
            <v>37893</v>
          </cell>
          <cell r="B5614">
            <v>10288</v>
          </cell>
          <cell r="C5614">
            <v>0.33409677284082467</v>
          </cell>
        </row>
        <row r="5615">
          <cell r="A5615">
            <v>37894</v>
          </cell>
          <cell r="B5615">
            <v>8112</v>
          </cell>
          <cell r="C5615">
            <v>0.29882773534088275</v>
          </cell>
        </row>
        <row r="5616">
          <cell r="A5616">
            <v>37895</v>
          </cell>
          <cell r="B5616">
            <v>6225</v>
          </cell>
          <cell r="C5616">
            <v>0.30163405313098213</v>
          </cell>
        </row>
        <row r="5617">
          <cell r="A5617">
            <v>37896</v>
          </cell>
          <cell r="B5617">
            <v>12076</v>
          </cell>
          <cell r="C5617">
            <v>0.3772274588733861</v>
          </cell>
        </row>
        <row r="5618">
          <cell r="A5618">
            <v>37897</v>
          </cell>
          <cell r="B5618">
            <v>6240</v>
          </cell>
          <cell r="C5618">
            <v>0.33115901457385538</v>
          </cell>
        </row>
        <row r="5619">
          <cell r="A5619">
            <v>37900</v>
          </cell>
          <cell r="B5619">
            <v>5995</v>
          </cell>
          <cell r="C5619">
            <v>0.37032043568770695</v>
          </cell>
        </row>
        <row r="5620">
          <cell r="A5620">
            <v>37901</v>
          </cell>
          <cell r="B5620">
            <v>5264</v>
          </cell>
          <cell r="C5620">
            <v>0.3647512956471945</v>
          </cell>
        </row>
        <row r="5621">
          <cell r="A5621">
            <v>37902</v>
          </cell>
          <cell r="B5621">
            <v>7459</v>
          </cell>
          <cell r="C5621">
            <v>0.38104918864651821</v>
          </cell>
        </row>
        <row r="5622">
          <cell r="A5622">
            <v>37903</v>
          </cell>
          <cell r="B5622">
            <v>5525</v>
          </cell>
          <cell r="C5622">
            <v>0.26980414989139706</v>
          </cell>
        </row>
        <row r="5623">
          <cell r="A5623">
            <v>37904</v>
          </cell>
          <cell r="B5623">
            <v>6035</v>
          </cell>
          <cell r="C5623">
            <v>0.27578064016430814</v>
          </cell>
        </row>
        <row r="5624">
          <cell r="A5624">
            <v>37907</v>
          </cell>
          <cell r="B5624">
            <v>5837</v>
          </cell>
          <cell r="C5624">
            <v>0.44580865549162907</v>
          </cell>
        </row>
        <row r="5625">
          <cell r="A5625">
            <v>37908</v>
          </cell>
          <cell r="B5625">
            <v>12225</v>
          </cell>
          <cell r="C5625">
            <v>0.42609165624436857</v>
          </cell>
        </row>
        <row r="5626">
          <cell r="A5626">
            <v>37909</v>
          </cell>
          <cell r="B5626">
            <v>7557</v>
          </cell>
          <cell r="C5626">
            <v>0.45588467451673725</v>
          </cell>
        </row>
        <row r="5627">
          <cell r="A5627">
            <v>37910</v>
          </cell>
          <cell r="B5627">
            <v>8432</v>
          </cell>
          <cell r="C5627">
            <v>0.47863204266451831</v>
          </cell>
        </row>
        <row r="5628">
          <cell r="A5628">
            <v>37911</v>
          </cell>
          <cell r="B5628">
            <v>11015</v>
          </cell>
          <cell r="C5628">
            <v>0.43083346974635867</v>
          </cell>
        </row>
        <row r="5629">
          <cell r="A5629">
            <v>37914</v>
          </cell>
          <cell r="B5629">
            <v>10526</v>
          </cell>
          <cell r="C5629">
            <v>0.2162637641021769</v>
          </cell>
        </row>
        <row r="5630">
          <cell r="A5630">
            <v>37915</v>
          </cell>
          <cell r="B5630">
            <v>14508</v>
          </cell>
          <cell r="C5630">
            <v>0.34241896454034076</v>
          </cell>
        </row>
        <row r="5631">
          <cell r="A5631">
            <v>37916</v>
          </cell>
          <cell r="B5631">
            <v>6832</v>
          </cell>
          <cell r="C5631">
            <v>0.37410859278188835</v>
          </cell>
        </row>
        <row r="5632">
          <cell r="A5632">
            <v>37917</v>
          </cell>
          <cell r="B5632">
            <v>8426</v>
          </cell>
          <cell r="C5632">
            <v>0.47825614928696358</v>
          </cell>
        </row>
        <row r="5633">
          <cell r="A5633">
            <v>37921</v>
          </cell>
          <cell r="B5633">
            <v>8264</v>
          </cell>
          <cell r="C5633">
            <v>0.47429498043033558</v>
          </cell>
        </row>
        <row r="5634">
          <cell r="A5634">
            <v>37922</v>
          </cell>
          <cell r="B5634">
            <v>7141</v>
          </cell>
          <cell r="C5634">
            <v>0.53999629446375808</v>
          </cell>
        </row>
        <row r="5635">
          <cell r="A5635">
            <v>37923</v>
          </cell>
          <cell r="B5635">
            <v>8361</v>
          </cell>
          <cell r="C5635">
            <v>0.43906566286694115</v>
          </cell>
        </row>
        <row r="5636">
          <cell r="A5636">
            <v>37924</v>
          </cell>
          <cell r="B5636">
            <v>6464</v>
          </cell>
          <cell r="C5636">
            <v>0.51785281936798333</v>
          </cell>
        </row>
        <row r="5637">
          <cell r="A5637">
            <v>37925</v>
          </cell>
          <cell r="B5637">
            <v>6914</v>
          </cell>
          <cell r="C5637">
            <v>0.41398230558934046</v>
          </cell>
        </row>
        <row r="5638">
          <cell r="A5638">
            <v>37928</v>
          </cell>
          <cell r="B5638">
            <v>6482</v>
          </cell>
          <cell r="C5638">
            <v>0.44446873635319106</v>
          </cell>
        </row>
        <row r="5639">
          <cell r="A5639">
            <v>37929</v>
          </cell>
          <cell r="B5639">
            <v>6935</v>
          </cell>
          <cell r="C5639">
            <v>0.41190646562737254</v>
          </cell>
        </row>
        <row r="5640">
          <cell r="A5640">
            <v>37930</v>
          </cell>
          <cell r="B5640">
            <v>6002</v>
          </cell>
          <cell r="C5640">
            <v>0.32783988798721442</v>
          </cell>
        </row>
        <row r="5641">
          <cell r="A5641">
            <v>37931</v>
          </cell>
          <cell r="B5641">
            <v>7384</v>
          </cell>
          <cell r="C5641">
            <v>0.32209576337253654</v>
          </cell>
        </row>
        <row r="5642">
          <cell r="A5642">
            <v>37932</v>
          </cell>
          <cell r="B5642">
            <v>7220</v>
          </cell>
          <cell r="C5642">
            <v>0.31370692003658401</v>
          </cell>
        </row>
        <row r="5643">
          <cell r="A5643">
            <v>37935</v>
          </cell>
          <cell r="B5643">
            <v>10674</v>
          </cell>
          <cell r="C5643">
            <v>0.23979271180253542</v>
          </cell>
        </row>
        <row r="5644">
          <cell r="A5644">
            <v>37936</v>
          </cell>
          <cell r="B5644">
            <v>7395</v>
          </cell>
          <cell r="C5644">
            <v>0.51385063493043448</v>
          </cell>
        </row>
        <row r="5645">
          <cell r="A5645">
            <v>37937</v>
          </cell>
          <cell r="B5645">
            <v>5760</v>
          </cell>
          <cell r="C5645">
            <v>0.48320724703856471</v>
          </cell>
        </row>
        <row r="5646">
          <cell r="A5646">
            <v>37938</v>
          </cell>
          <cell r="B5646">
            <v>9804</v>
          </cell>
          <cell r="C5646">
            <v>0.51819170477342136</v>
          </cell>
        </row>
        <row r="5647">
          <cell r="A5647">
            <v>37939</v>
          </cell>
          <cell r="B5647">
            <v>10844</v>
          </cell>
          <cell r="C5647">
            <v>0.59726620868224789</v>
          </cell>
        </row>
        <row r="5648">
          <cell r="A5648">
            <v>37942</v>
          </cell>
          <cell r="B5648">
            <v>7108</v>
          </cell>
          <cell r="C5648">
            <v>0.50774465943652303</v>
          </cell>
        </row>
        <row r="5649">
          <cell r="A5649">
            <v>37943</v>
          </cell>
          <cell r="B5649">
            <v>5503</v>
          </cell>
          <cell r="C5649">
            <v>0.51087417507503152</v>
          </cell>
        </row>
        <row r="5650">
          <cell r="A5650">
            <v>37944</v>
          </cell>
          <cell r="B5650">
            <v>7829</v>
          </cell>
          <cell r="C5650">
            <v>0.55276521009101964</v>
          </cell>
        </row>
        <row r="5651">
          <cell r="A5651">
            <v>37945</v>
          </cell>
          <cell r="B5651">
            <v>6731</v>
          </cell>
          <cell r="C5651">
            <v>0.50760416987398627</v>
          </cell>
        </row>
        <row r="5652">
          <cell r="A5652">
            <v>37946</v>
          </cell>
          <cell r="B5652">
            <v>6215</v>
          </cell>
          <cell r="C5652">
            <v>0.3231756579986298</v>
          </cell>
        </row>
        <row r="5653">
          <cell r="A5653">
            <v>37952</v>
          </cell>
          <cell r="B5653">
            <v>862</v>
          </cell>
          <cell r="C5653">
            <v>0.28991706399874412</v>
          </cell>
        </row>
        <row r="5654">
          <cell r="A5654">
            <v>37953</v>
          </cell>
          <cell r="B5654">
            <v>947</v>
          </cell>
          <cell r="C5654">
            <v>0.25437029161886265</v>
          </cell>
        </row>
        <row r="5655">
          <cell r="A5655">
            <v>37956</v>
          </cell>
          <cell r="B5655">
            <v>4682</v>
          </cell>
          <cell r="C5655">
            <v>0.2127701577993073</v>
          </cell>
        </row>
        <row r="5656">
          <cell r="A5656">
            <v>37957</v>
          </cell>
          <cell r="B5656">
            <v>5090</v>
          </cell>
          <cell r="C5656">
            <v>0.25569567617662048</v>
          </cell>
        </row>
        <row r="5657">
          <cell r="A5657">
            <v>37958</v>
          </cell>
          <cell r="B5657">
            <v>5233</v>
          </cell>
          <cell r="C5657">
            <v>0.24276127884138379</v>
          </cell>
        </row>
        <row r="5658">
          <cell r="A5658">
            <v>37959</v>
          </cell>
          <cell r="B5658">
            <v>3675</v>
          </cell>
          <cell r="C5658">
            <v>0.24083030613229861</v>
          </cell>
        </row>
        <row r="5659">
          <cell r="A5659">
            <v>37960</v>
          </cell>
          <cell r="B5659">
            <v>3409</v>
          </cell>
          <cell r="C5659">
            <v>0.23295944358495463</v>
          </cell>
        </row>
        <row r="5660">
          <cell r="A5660">
            <v>37963</v>
          </cell>
          <cell r="B5660">
            <v>4934</v>
          </cell>
          <cell r="C5660">
            <v>0.22361262219176992</v>
          </cell>
        </row>
        <row r="5661">
          <cell r="A5661">
            <v>37964</v>
          </cell>
          <cell r="B5661">
            <v>5656</v>
          </cell>
          <cell r="C5661">
            <v>0.17562350104697153</v>
          </cell>
        </row>
        <row r="5662">
          <cell r="A5662">
            <v>37965</v>
          </cell>
          <cell r="B5662">
            <v>5017</v>
          </cell>
          <cell r="C5662">
            <v>0.18417020640077861</v>
          </cell>
        </row>
        <row r="5663">
          <cell r="A5663">
            <v>37966</v>
          </cell>
          <cell r="B5663">
            <v>4080</v>
          </cell>
          <cell r="C5663">
            <v>0.24784201331526795</v>
          </cell>
        </row>
        <row r="5664">
          <cell r="A5664">
            <v>37967</v>
          </cell>
          <cell r="B5664">
            <v>6157</v>
          </cell>
          <cell r="C5664">
            <v>0.2906062659533824</v>
          </cell>
        </row>
        <row r="5665">
          <cell r="A5665">
            <v>37970</v>
          </cell>
          <cell r="B5665">
            <v>4797</v>
          </cell>
          <cell r="C5665">
            <v>0.27127758218240516</v>
          </cell>
        </row>
        <row r="5666">
          <cell r="A5666">
            <v>37971</v>
          </cell>
          <cell r="B5666">
            <v>3484</v>
          </cell>
          <cell r="C5666">
            <v>0.25443625251455249</v>
          </cell>
        </row>
        <row r="5667">
          <cell r="A5667">
            <v>37972</v>
          </cell>
          <cell r="B5667">
            <v>3262</v>
          </cell>
          <cell r="C5667">
            <v>0.25337097547777054</v>
          </cell>
        </row>
        <row r="5668">
          <cell r="A5668">
            <v>37973</v>
          </cell>
          <cell r="B5668">
            <v>2770</v>
          </cell>
          <cell r="C5668">
            <v>0.23393601360032973</v>
          </cell>
        </row>
        <row r="5669">
          <cell r="A5669">
            <v>37974</v>
          </cell>
          <cell r="B5669">
            <v>5237</v>
          </cell>
          <cell r="C5669">
            <v>0.21501247213966557</v>
          </cell>
        </row>
        <row r="5670">
          <cell r="A5670">
            <v>37977</v>
          </cell>
          <cell r="B5670">
            <v>5011</v>
          </cell>
          <cell r="C5670">
            <v>0.2021658847869765</v>
          </cell>
        </row>
        <row r="5671">
          <cell r="A5671">
            <v>37978</v>
          </cell>
          <cell r="B5671">
            <v>5346</v>
          </cell>
          <cell r="C5671">
            <v>0.19566421409142887</v>
          </cell>
        </row>
        <row r="5672">
          <cell r="A5672">
            <v>37979</v>
          </cell>
          <cell r="B5672">
            <v>5991</v>
          </cell>
          <cell r="C5672">
            <v>0.19800406613837904</v>
          </cell>
        </row>
        <row r="5673">
          <cell r="A5673">
            <v>37981</v>
          </cell>
          <cell r="B5673">
            <v>2849</v>
          </cell>
          <cell r="C5673">
            <v>0.28355873840997953</v>
          </cell>
        </row>
        <row r="5674">
          <cell r="A5674">
            <v>37984</v>
          </cell>
          <cell r="B5674">
            <v>4981</v>
          </cell>
          <cell r="C5674">
            <v>0.36082871306855829</v>
          </cell>
        </row>
        <row r="5675">
          <cell r="A5675">
            <v>37985</v>
          </cell>
          <cell r="B5675">
            <v>3809</v>
          </cell>
          <cell r="C5675">
            <v>0.36706338072872502</v>
          </cell>
        </row>
        <row r="5676">
          <cell r="A5676">
            <v>37986</v>
          </cell>
          <cell r="B5676">
            <v>1294</v>
          </cell>
          <cell r="C5676">
            <v>0.35350236340147517</v>
          </cell>
        </row>
        <row r="5677">
          <cell r="A5677">
            <v>37988</v>
          </cell>
          <cell r="B5677">
            <v>1766</v>
          </cell>
          <cell r="C5677">
            <v>0.33904814830633895</v>
          </cell>
        </row>
        <row r="5678">
          <cell r="A5678">
            <v>37991</v>
          </cell>
          <cell r="B5678">
            <v>2319</v>
          </cell>
          <cell r="C5678">
            <v>0.31443510088370119</v>
          </cell>
        </row>
        <row r="5679">
          <cell r="A5679">
            <v>37992</v>
          </cell>
          <cell r="B5679">
            <v>4067</v>
          </cell>
          <cell r="C5679">
            <v>0.19652162178465396</v>
          </cell>
        </row>
        <row r="5680">
          <cell r="A5680">
            <v>37993</v>
          </cell>
          <cell r="B5680">
            <v>4017</v>
          </cell>
          <cell r="C5680">
            <v>0.16437051666979394</v>
          </cell>
        </row>
        <row r="5681">
          <cell r="A5681">
            <v>37994</v>
          </cell>
          <cell r="B5681">
            <v>5429</v>
          </cell>
          <cell r="C5681">
            <v>0.17650076661809017</v>
          </cell>
        </row>
        <row r="5682">
          <cell r="A5682">
            <v>37995</v>
          </cell>
          <cell r="B5682">
            <v>3500</v>
          </cell>
          <cell r="C5682">
            <v>0.21080645027887515</v>
          </cell>
        </row>
        <row r="5683">
          <cell r="A5683">
            <v>37998</v>
          </cell>
          <cell r="B5683">
            <v>5385</v>
          </cell>
          <cell r="C5683">
            <v>0.24465717169813739</v>
          </cell>
        </row>
        <row r="5684">
          <cell r="A5684">
            <v>37999</v>
          </cell>
          <cell r="B5684">
            <v>6086</v>
          </cell>
          <cell r="C5684">
            <v>0.35420624424818664</v>
          </cell>
        </row>
        <row r="5685">
          <cell r="A5685">
            <v>38000</v>
          </cell>
          <cell r="B5685">
            <v>3867</v>
          </cell>
          <cell r="C5685">
            <v>0.34195608856494208</v>
          </cell>
        </row>
      </sheetData>
      <sheetData sheetId="5">
        <row r="2">
          <cell r="H2" t="str">
            <v>Settlement Price</v>
          </cell>
          <cell r="BJ2" t="str">
            <v xml:space="preserve">Volume </v>
          </cell>
          <cell r="BK2" t="str">
            <v>Open Position</v>
          </cell>
        </row>
        <row r="627">
          <cell r="A627">
            <v>37637</v>
          </cell>
          <cell r="BJ627">
            <v>457</v>
          </cell>
          <cell r="BK627">
            <v>21971</v>
          </cell>
        </row>
        <row r="628">
          <cell r="A628">
            <v>37638</v>
          </cell>
          <cell r="BJ628">
            <v>212</v>
          </cell>
          <cell r="BK628">
            <v>22071</v>
          </cell>
        </row>
        <row r="629">
          <cell r="A629">
            <v>37641</v>
          </cell>
          <cell r="BJ629">
            <v>7</v>
          </cell>
          <cell r="BK629">
            <v>22077</v>
          </cell>
        </row>
        <row r="630">
          <cell r="A630">
            <v>37642</v>
          </cell>
          <cell r="BJ630">
            <v>595</v>
          </cell>
          <cell r="BK630">
            <v>22355</v>
          </cell>
        </row>
        <row r="631">
          <cell r="A631">
            <v>37643</v>
          </cell>
          <cell r="BJ631">
            <v>45</v>
          </cell>
          <cell r="BK631">
            <v>22390</v>
          </cell>
        </row>
        <row r="632">
          <cell r="A632">
            <v>37644</v>
          </cell>
          <cell r="BJ632">
            <v>693</v>
          </cell>
          <cell r="BK632">
            <v>22853</v>
          </cell>
        </row>
        <row r="633">
          <cell r="A633">
            <v>37645</v>
          </cell>
          <cell r="BJ633">
            <v>790</v>
          </cell>
          <cell r="BK633">
            <v>23339</v>
          </cell>
        </row>
        <row r="634">
          <cell r="A634">
            <v>37648</v>
          </cell>
          <cell r="BJ634">
            <v>1108</v>
          </cell>
          <cell r="BK634">
            <v>23405</v>
          </cell>
        </row>
        <row r="635">
          <cell r="A635">
            <v>37649</v>
          </cell>
          <cell r="BJ635">
            <v>515</v>
          </cell>
          <cell r="BK635">
            <v>23474</v>
          </cell>
        </row>
        <row r="636">
          <cell r="A636">
            <v>37650</v>
          </cell>
          <cell r="BJ636">
            <v>20</v>
          </cell>
          <cell r="BK636">
            <v>23493</v>
          </cell>
        </row>
        <row r="637">
          <cell r="A637">
            <v>37651</v>
          </cell>
          <cell r="BJ637">
            <v>13</v>
          </cell>
          <cell r="BK637">
            <v>23501</v>
          </cell>
        </row>
        <row r="638">
          <cell r="A638">
            <v>37657</v>
          </cell>
          <cell r="BJ638">
            <v>2</v>
          </cell>
          <cell r="BK638">
            <v>23503</v>
          </cell>
        </row>
        <row r="639">
          <cell r="A639">
            <v>37658</v>
          </cell>
          <cell r="BJ639">
            <v>12</v>
          </cell>
          <cell r="BK639">
            <v>23515</v>
          </cell>
        </row>
        <row r="640">
          <cell r="A640">
            <v>37659</v>
          </cell>
          <cell r="BJ640">
            <v>368</v>
          </cell>
          <cell r="BK640">
            <v>23710</v>
          </cell>
        </row>
        <row r="641">
          <cell r="A641">
            <v>37662</v>
          </cell>
          <cell r="BJ641">
            <v>193</v>
          </cell>
          <cell r="BK641">
            <v>23623</v>
          </cell>
        </row>
        <row r="642">
          <cell r="A642">
            <v>37663</v>
          </cell>
          <cell r="BJ642">
            <v>227</v>
          </cell>
          <cell r="BK642">
            <v>23592</v>
          </cell>
        </row>
        <row r="643">
          <cell r="A643">
            <v>37665</v>
          </cell>
          <cell r="BJ643">
            <v>165</v>
          </cell>
          <cell r="BK643">
            <v>23676</v>
          </cell>
        </row>
        <row r="644">
          <cell r="A644">
            <v>37666</v>
          </cell>
          <cell r="BJ644">
            <v>220</v>
          </cell>
          <cell r="BK644">
            <v>23566</v>
          </cell>
        </row>
        <row r="645">
          <cell r="A645">
            <v>37669</v>
          </cell>
          <cell r="BJ645">
            <v>784</v>
          </cell>
          <cell r="BK645">
            <v>23191</v>
          </cell>
        </row>
        <row r="646">
          <cell r="A646">
            <v>37670</v>
          </cell>
          <cell r="BJ646">
            <v>432</v>
          </cell>
          <cell r="BK646">
            <v>23464</v>
          </cell>
        </row>
        <row r="647">
          <cell r="A647">
            <v>37671</v>
          </cell>
          <cell r="BJ647">
            <v>385</v>
          </cell>
          <cell r="BK647">
            <v>23576</v>
          </cell>
        </row>
        <row r="648">
          <cell r="A648">
            <v>37672</v>
          </cell>
          <cell r="BJ648">
            <v>95</v>
          </cell>
          <cell r="BK648">
            <v>23543</v>
          </cell>
        </row>
        <row r="649">
          <cell r="A649">
            <v>37673</v>
          </cell>
          <cell r="BJ649">
            <v>790</v>
          </cell>
          <cell r="BK649">
            <v>23509</v>
          </cell>
        </row>
        <row r="650">
          <cell r="A650">
            <v>37676</v>
          </cell>
          <cell r="BJ650">
            <v>1259</v>
          </cell>
          <cell r="BK650">
            <v>24155</v>
          </cell>
        </row>
        <row r="651">
          <cell r="A651">
            <v>37677</v>
          </cell>
          <cell r="BJ651">
            <v>32</v>
          </cell>
          <cell r="BK651">
            <v>24162</v>
          </cell>
        </row>
        <row r="652">
          <cell r="A652">
            <v>37678</v>
          </cell>
          <cell r="BJ652">
            <v>2</v>
          </cell>
          <cell r="BK652">
            <v>24152</v>
          </cell>
        </row>
        <row r="653">
          <cell r="A653">
            <v>37679</v>
          </cell>
          <cell r="BJ653">
            <v>171</v>
          </cell>
          <cell r="BK653">
            <v>24097</v>
          </cell>
        </row>
        <row r="654">
          <cell r="A654">
            <v>37680</v>
          </cell>
          <cell r="BJ654">
            <v>720</v>
          </cell>
          <cell r="BK654">
            <v>24146</v>
          </cell>
        </row>
        <row r="655">
          <cell r="A655">
            <v>37683</v>
          </cell>
          <cell r="BJ655">
            <v>0</v>
          </cell>
          <cell r="BK655">
            <v>24146</v>
          </cell>
        </row>
        <row r="656">
          <cell r="A656">
            <v>37685</v>
          </cell>
          <cell r="BJ656">
            <v>485</v>
          </cell>
          <cell r="BK656">
            <v>24243</v>
          </cell>
        </row>
        <row r="657">
          <cell r="A657">
            <v>37686</v>
          </cell>
          <cell r="BJ657">
            <v>615</v>
          </cell>
          <cell r="BK657">
            <v>24528</v>
          </cell>
        </row>
        <row r="658">
          <cell r="A658">
            <v>37687</v>
          </cell>
          <cell r="BJ658">
            <v>138</v>
          </cell>
          <cell r="BK658">
            <v>24591</v>
          </cell>
        </row>
        <row r="659">
          <cell r="A659">
            <v>37690</v>
          </cell>
          <cell r="BJ659">
            <v>165</v>
          </cell>
          <cell r="BK659">
            <v>24428</v>
          </cell>
        </row>
        <row r="660">
          <cell r="A660">
            <v>37691</v>
          </cell>
          <cell r="BJ660">
            <v>1260</v>
          </cell>
          <cell r="BK660">
            <v>24232</v>
          </cell>
        </row>
        <row r="661">
          <cell r="A661">
            <v>37692</v>
          </cell>
          <cell r="BJ661">
            <v>1282</v>
          </cell>
          <cell r="BK661">
            <v>24486</v>
          </cell>
        </row>
        <row r="662">
          <cell r="A662">
            <v>37693</v>
          </cell>
          <cell r="BJ662">
            <v>1370</v>
          </cell>
          <cell r="BK662">
            <v>24717</v>
          </cell>
        </row>
        <row r="663">
          <cell r="A663">
            <v>37694</v>
          </cell>
          <cell r="BJ663">
            <v>1975</v>
          </cell>
          <cell r="BK663">
            <v>25682</v>
          </cell>
        </row>
        <row r="664">
          <cell r="A664">
            <v>37697</v>
          </cell>
          <cell r="BJ664">
            <v>243</v>
          </cell>
          <cell r="BK664">
            <v>25873</v>
          </cell>
        </row>
        <row r="665">
          <cell r="A665">
            <v>37698</v>
          </cell>
          <cell r="BJ665">
            <v>736</v>
          </cell>
          <cell r="BK665">
            <v>25849</v>
          </cell>
        </row>
        <row r="666">
          <cell r="A666">
            <v>37699</v>
          </cell>
          <cell r="BJ666">
            <v>3155</v>
          </cell>
          <cell r="BK666">
            <v>23603</v>
          </cell>
        </row>
        <row r="667">
          <cell r="A667">
            <v>37700</v>
          </cell>
          <cell r="H667">
            <v>96.86</v>
          </cell>
          <cell r="BJ667">
            <v>882</v>
          </cell>
          <cell r="BK667">
            <v>23638</v>
          </cell>
        </row>
        <row r="668">
          <cell r="A668">
            <v>37701</v>
          </cell>
          <cell r="H668">
            <v>96.9</v>
          </cell>
          <cell r="BJ668">
            <v>1077</v>
          </cell>
          <cell r="BK668">
            <v>23898</v>
          </cell>
        </row>
        <row r="669">
          <cell r="A669">
            <v>37704</v>
          </cell>
          <cell r="H669">
            <v>96.88</v>
          </cell>
          <cell r="BJ669">
            <v>878</v>
          </cell>
          <cell r="BK669">
            <v>24186</v>
          </cell>
        </row>
        <row r="670">
          <cell r="A670">
            <v>37705</v>
          </cell>
          <cell r="H670">
            <v>96.88</v>
          </cell>
          <cell r="BJ670">
            <v>343</v>
          </cell>
          <cell r="BK670">
            <v>24221</v>
          </cell>
        </row>
        <row r="671">
          <cell r="A671">
            <v>37706</v>
          </cell>
          <cell r="H671">
            <v>96.87</v>
          </cell>
          <cell r="BJ671">
            <v>1063</v>
          </cell>
          <cell r="BK671">
            <v>24976</v>
          </cell>
        </row>
        <row r="672">
          <cell r="A672">
            <v>37707</v>
          </cell>
          <cell r="H672">
            <v>96.87</v>
          </cell>
          <cell r="BJ672">
            <v>437</v>
          </cell>
          <cell r="BK672">
            <v>25318</v>
          </cell>
        </row>
        <row r="673">
          <cell r="A673">
            <v>37708</v>
          </cell>
          <cell r="H673">
            <v>96.86</v>
          </cell>
          <cell r="BJ673">
            <v>98</v>
          </cell>
          <cell r="BK673">
            <v>25370</v>
          </cell>
        </row>
        <row r="674">
          <cell r="A674">
            <v>37711</v>
          </cell>
          <cell r="H674">
            <v>96.86</v>
          </cell>
          <cell r="BJ674">
            <v>351</v>
          </cell>
          <cell r="BK674">
            <v>25376</v>
          </cell>
        </row>
        <row r="675">
          <cell r="A675">
            <v>37712</v>
          </cell>
          <cell r="H675">
            <v>96.86</v>
          </cell>
          <cell r="BJ675">
            <v>1100</v>
          </cell>
          <cell r="BK675">
            <v>25821</v>
          </cell>
        </row>
        <row r="676">
          <cell r="A676">
            <v>37713</v>
          </cell>
          <cell r="H676">
            <v>96.84</v>
          </cell>
          <cell r="BJ676">
            <v>32</v>
          </cell>
          <cell r="BK676">
            <v>25839</v>
          </cell>
        </row>
        <row r="677">
          <cell r="A677">
            <v>37714</v>
          </cell>
          <cell r="H677">
            <v>96.88</v>
          </cell>
          <cell r="BJ677">
            <v>335</v>
          </cell>
          <cell r="BK677">
            <v>25899</v>
          </cell>
        </row>
        <row r="678">
          <cell r="A678">
            <v>37715</v>
          </cell>
          <cell r="H678">
            <v>96.87</v>
          </cell>
          <cell r="BJ678">
            <v>1322</v>
          </cell>
          <cell r="BK678">
            <v>26450</v>
          </cell>
        </row>
        <row r="679">
          <cell r="A679">
            <v>37718</v>
          </cell>
          <cell r="H679">
            <v>96.83</v>
          </cell>
          <cell r="BJ679">
            <v>380</v>
          </cell>
          <cell r="BK679">
            <v>26538</v>
          </cell>
        </row>
        <row r="680">
          <cell r="A680">
            <v>37719</v>
          </cell>
          <cell r="H680">
            <v>96.85</v>
          </cell>
          <cell r="BJ680">
            <v>911</v>
          </cell>
          <cell r="BK680">
            <v>26988</v>
          </cell>
        </row>
        <row r="681">
          <cell r="A681">
            <v>37720</v>
          </cell>
          <cell r="H681">
            <v>96.88</v>
          </cell>
          <cell r="BJ681">
            <v>105</v>
          </cell>
          <cell r="BK681">
            <v>26961</v>
          </cell>
        </row>
        <row r="682">
          <cell r="A682">
            <v>37721</v>
          </cell>
          <cell r="H682">
            <v>96.88</v>
          </cell>
          <cell r="BJ682">
            <v>1890</v>
          </cell>
          <cell r="BK682">
            <v>27309</v>
          </cell>
        </row>
        <row r="683">
          <cell r="A683">
            <v>37722</v>
          </cell>
          <cell r="H683">
            <v>96.9</v>
          </cell>
          <cell r="BJ683">
            <v>915</v>
          </cell>
          <cell r="BK683">
            <v>27689</v>
          </cell>
        </row>
        <row r="684">
          <cell r="A684">
            <v>37725</v>
          </cell>
          <cell r="H684">
            <v>96.87</v>
          </cell>
          <cell r="BJ684">
            <v>640</v>
          </cell>
          <cell r="BK684">
            <v>28159</v>
          </cell>
        </row>
        <row r="685">
          <cell r="A685">
            <v>37726</v>
          </cell>
          <cell r="H685">
            <v>96.85</v>
          </cell>
          <cell r="BJ685">
            <v>2</v>
          </cell>
          <cell r="BK685">
            <v>28161</v>
          </cell>
        </row>
        <row r="686">
          <cell r="A686">
            <v>37727</v>
          </cell>
          <cell r="H686">
            <v>96.85</v>
          </cell>
          <cell r="BJ686">
            <v>370</v>
          </cell>
          <cell r="BK686">
            <v>28351</v>
          </cell>
        </row>
        <row r="687">
          <cell r="A687">
            <v>37728</v>
          </cell>
          <cell r="H687">
            <v>96.88</v>
          </cell>
          <cell r="BJ687">
            <v>5</v>
          </cell>
          <cell r="BK687">
            <v>28346</v>
          </cell>
        </row>
        <row r="688">
          <cell r="A688">
            <v>37729</v>
          </cell>
          <cell r="H688">
            <v>96.88</v>
          </cell>
          <cell r="BJ688">
            <v>0</v>
          </cell>
          <cell r="BK688">
            <v>28346</v>
          </cell>
        </row>
        <row r="689">
          <cell r="A689">
            <v>37732</v>
          </cell>
          <cell r="H689">
            <v>96.86</v>
          </cell>
          <cell r="BJ689">
            <v>730</v>
          </cell>
          <cell r="BK689">
            <v>28774</v>
          </cell>
        </row>
        <row r="690">
          <cell r="A690">
            <v>37733</v>
          </cell>
          <cell r="H690">
            <v>96.87</v>
          </cell>
          <cell r="BJ690">
            <v>0</v>
          </cell>
          <cell r="BK690">
            <v>28774</v>
          </cell>
        </row>
        <row r="691">
          <cell r="A691">
            <v>37734</v>
          </cell>
          <cell r="H691">
            <v>96.9</v>
          </cell>
          <cell r="BJ691">
            <v>581</v>
          </cell>
          <cell r="BK691">
            <v>28919</v>
          </cell>
        </row>
        <row r="692">
          <cell r="A692">
            <v>37735</v>
          </cell>
          <cell r="H692">
            <v>96.89</v>
          </cell>
          <cell r="BJ692">
            <v>50</v>
          </cell>
          <cell r="BK692">
            <v>28919</v>
          </cell>
        </row>
        <row r="693">
          <cell r="A693">
            <v>37736</v>
          </cell>
          <cell r="H693">
            <v>96.89</v>
          </cell>
          <cell r="BJ693">
            <v>315</v>
          </cell>
          <cell r="BK693">
            <v>28961</v>
          </cell>
        </row>
        <row r="694">
          <cell r="A694">
            <v>37739</v>
          </cell>
          <cell r="H694">
            <v>96.9</v>
          </cell>
          <cell r="BJ694">
            <v>0</v>
          </cell>
          <cell r="BK694">
            <v>28961</v>
          </cell>
        </row>
        <row r="695">
          <cell r="A695">
            <v>37740</v>
          </cell>
          <cell r="H695">
            <v>96.89</v>
          </cell>
          <cell r="BJ695">
            <v>200</v>
          </cell>
          <cell r="BK695">
            <v>28920</v>
          </cell>
        </row>
        <row r="696">
          <cell r="A696">
            <v>37741</v>
          </cell>
          <cell r="H696">
            <v>96.87</v>
          </cell>
          <cell r="BJ696">
            <v>40</v>
          </cell>
          <cell r="BK696">
            <v>28923</v>
          </cell>
        </row>
        <row r="697">
          <cell r="A697">
            <v>37743</v>
          </cell>
          <cell r="H697">
            <v>96.87</v>
          </cell>
          <cell r="BJ697">
            <v>0</v>
          </cell>
          <cell r="BK697">
            <v>28923</v>
          </cell>
        </row>
        <row r="698">
          <cell r="A698">
            <v>37746</v>
          </cell>
          <cell r="H698">
            <v>96.87</v>
          </cell>
          <cell r="BJ698">
            <v>20</v>
          </cell>
          <cell r="BK698">
            <v>28913</v>
          </cell>
        </row>
        <row r="699">
          <cell r="A699">
            <v>37747</v>
          </cell>
          <cell r="H699">
            <v>96.87</v>
          </cell>
          <cell r="BJ699">
            <v>0</v>
          </cell>
          <cell r="BK699">
            <v>28913</v>
          </cell>
        </row>
        <row r="700">
          <cell r="A700">
            <v>37748</v>
          </cell>
          <cell r="H700">
            <v>96.88</v>
          </cell>
          <cell r="BJ700">
            <v>10</v>
          </cell>
          <cell r="BK700">
            <v>28903</v>
          </cell>
        </row>
        <row r="701">
          <cell r="A701">
            <v>37749</v>
          </cell>
          <cell r="H701">
            <v>96.88</v>
          </cell>
          <cell r="BJ701">
            <v>0</v>
          </cell>
          <cell r="BK701">
            <v>28903</v>
          </cell>
        </row>
        <row r="702">
          <cell r="A702">
            <v>37750</v>
          </cell>
          <cell r="H702">
            <v>96.9</v>
          </cell>
          <cell r="BJ702">
            <v>25</v>
          </cell>
          <cell r="BK702">
            <v>28888</v>
          </cell>
        </row>
        <row r="703">
          <cell r="A703">
            <v>37753</v>
          </cell>
          <cell r="H703">
            <v>96.91</v>
          </cell>
          <cell r="BJ703">
            <v>2</v>
          </cell>
          <cell r="BK703">
            <v>28887</v>
          </cell>
        </row>
        <row r="704">
          <cell r="A704">
            <v>37754</v>
          </cell>
          <cell r="H704">
            <v>96.91</v>
          </cell>
          <cell r="BJ704">
            <v>0</v>
          </cell>
          <cell r="BK704">
            <v>28887</v>
          </cell>
        </row>
        <row r="705">
          <cell r="A705">
            <v>37757</v>
          </cell>
          <cell r="H705">
            <v>96.91</v>
          </cell>
          <cell r="BJ705">
            <v>0</v>
          </cell>
          <cell r="BK705">
            <v>28887</v>
          </cell>
        </row>
        <row r="706">
          <cell r="A706">
            <v>37760</v>
          </cell>
          <cell r="H706">
            <v>96.94</v>
          </cell>
          <cell r="BJ706">
            <v>139</v>
          </cell>
          <cell r="BK706">
            <v>28825</v>
          </cell>
        </row>
        <row r="707">
          <cell r="A707">
            <v>37761</v>
          </cell>
          <cell r="H707">
            <v>96.95</v>
          </cell>
          <cell r="BJ707">
            <v>195</v>
          </cell>
          <cell r="BK707">
            <v>28955</v>
          </cell>
        </row>
        <row r="708">
          <cell r="A708">
            <v>37762</v>
          </cell>
          <cell r="H708">
            <v>96.98</v>
          </cell>
          <cell r="BJ708">
            <v>340</v>
          </cell>
          <cell r="BK708">
            <v>28947</v>
          </cell>
        </row>
        <row r="709">
          <cell r="A709">
            <v>37763</v>
          </cell>
          <cell r="H709">
            <v>96.94</v>
          </cell>
          <cell r="BJ709">
            <v>1043</v>
          </cell>
          <cell r="BK709">
            <v>29204</v>
          </cell>
        </row>
        <row r="710">
          <cell r="A710">
            <v>37764</v>
          </cell>
          <cell r="H710">
            <v>96.94</v>
          </cell>
          <cell r="BJ710">
            <v>0</v>
          </cell>
          <cell r="BK710">
            <v>29204</v>
          </cell>
        </row>
        <row r="711">
          <cell r="A711">
            <v>37767</v>
          </cell>
          <cell r="H711">
            <v>96.91</v>
          </cell>
          <cell r="BJ711">
            <v>160</v>
          </cell>
          <cell r="BK711">
            <v>29289</v>
          </cell>
        </row>
        <row r="712">
          <cell r="A712">
            <v>37768</v>
          </cell>
          <cell r="H712">
            <v>96.91</v>
          </cell>
          <cell r="BJ712">
            <v>0</v>
          </cell>
          <cell r="BK712">
            <v>29289</v>
          </cell>
        </row>
        <row r="713">
          <cell r="A713">
            <v>37769</v>
          </cell>
          <cell r="H713">
            <v>96.89</v>
          </cell>
          <cell r="BJ713">
            <v>68</v>
          </cell>
          <cell r="BK713">
            <v>29277</v>
          </cell>
        </row>
        <row r="714">
          <cell r="A714">
            <v>37770</v>
          </cell>
          <cell r="H714">
            <v>96.89</v>
          </cell>
          <cell r="BJ714">
            <v>1155</v>
          </cell>
          <cell r="BK714">
            <v>28810</v>
          </cell>
        </row>
        <row r="715">
          <cell r="A715">
            <v>37771</v>
          </cell>
          <cell r="H715">
            <v>96.89</v>
          </cell>
          <cell r="BJ715">
            <v>0</v>
          </cell>
          <cell r="BK715">
            <v>28780</v>
          </cell>
        </row>
        <row r="716">
          <cell r="A716">
            <v>37774</v>
          </cell>
          <cell r="H716">
            <v>96.89</v>
          </cell>
          <cell r="BJ716">
            <v>0</v>
          </cell>
          <cell r="BK716">
            <v>28780</v>
          </cell>
        </row>
        <row r="717">
          <cell r="A717">
            <v>37775</v>
          </cell>
          <cell r="H717">
            <v>96.89</v>
          </cell>
          <cell r="BJ717">
            <v>200</v>
          </cell>
          <cell r="BK717">
            <v>28680</v>
          </cell>
        </row>
        <row r="718">
          <cell r="A718">
            <v>37776</v>
          </cell>
          <cell r="H718">
            <v>96.91</v>
          </cell>
          <cell r="BJ718">
            <v>267</v>
          </cell>
          <cell r="BK718">
            <v>28472</v>
          </cell>
        </row>
        <row r="719">
          <cell r="A719">
            <v>37777</v>
          </cell>
          <cell r="H719">
            <v>96.91</v>
          </cell>
          <cell r="BJ719">
            <v>320</v>
          </cell>
          <cell r="BK719">
            <v>28532</v>
          </cell>
        </row>
        <row r="720">
          <cell r="A720">
            <v>37778</v>
          </cell>
          <cell r="H720">
            <v>96.92</v>
          </cell>
          <cell r="BJ720">
            <v>96</v>
          </cell>
          <cell r="BK720">
            <v>28506</v>
          </cell>
        </row>
        <row r="721">
          <cell r="A721">
            <v>37781</v>
          </cell>
          <cell r="H721">
            <v>96.92</v>
          </cell>
          <cell r="BJ721">
            <v>0</v>
          </cell>
          <cell r="BK721">
            <v>28506</v>
          </cell>
        </row>
        <row r="722">
          <cell r="A722">
            <v>37782</v>
          </cell>
          <cell r="H722">
            <v>96.92</v>
          </cell>
          <cell r="BJ722">
            <v>420</v>
          </cell>
          <cell r="BK722">
            <v>28283</v>
          </cell>
        </row>
        <row r="723">
          <cell r="A723">
            <v>37783</v>
          </cell>
          <cell r="H723">
            <v>96.92</v>
          </cell>
          <cell r="BJ723">
            <v>1077</v>
          </cell>
          <cell r="BK723">
            <v>28271</v>
          </cell>
        </row>
        <row r="724">
          <cell r="A724">
            <v>37784</v>
          </cell>
          <cell r="H724">
            <v>96.92</v>
          </cell>
          <cell r="BJ724">
            <v>0</v>
          </cell>
          <cell r="BK724">
            <v>28271</v>
          </cell>
        </row>
        <row r="725">
          <cell r="A725">
            <v>37785</v>
          </cell>
          <cell r="H725">
            <v>96.92</v>
          </cell>
          <cell r="BJ725">
            <v>0</v>
          </cell>
          <cell r="BK725">
            <v>28271</v>
          </cell>
        </row>
        <row r="726">
          <cell r="A726">
            <v>37788</v>
          </cell>
          <cell r="H726">
            <v>96.92</v>
          </cell>
          <cell r="BJ726">
            <v>350</v>
          </cell>
          <cell r="BK726">
            <v>28361</v>
          </cell>
        </row>
        <row r="727">
          <cell r="A727">
            <v>37789</v>
          </cell>
          <cell r="H727">
            <v>96.92</v>
          </cell>
          <cell r="BJ727">
            <v>200</v>
          </cell>
          <cell r="BK727">
            <v>28351</v>
          </cell>
        </row>
        <row r="728">
          <cell r="A728">
            <v>37790</v>
          </cell>
          <cell r="H728">
            <v>96.92</v>
          </cell>
          <cell r="BJ728">
            <v>138</v>
          </cell>
          <cell r="BK728">
            <v>25769</v>
          </cell>
        </row>
        <row r="729">
          <cell r="A729">
            <v>37791</v>
          </cell>
          <cell r="H729">
            <v>96.91</v>
          </cell>
          <cell r="BJ729">
            <v>750</v>
          </cell>
          <cell r="BK729">
            <v>25714</v>
          </cell>
        </row>
        <row r="730">
          <cell r="A730">
            <v>37792</v>
          </cell>
          <cell r="H730">
            <v>96.91</v>
          </cell>
          <cell r="BJ730">
            <v>0</v>
          </cell>
          <cell r="BK730">
            <v>25714</v>
          </cell>
        </row>
        <row r="731">
          <cell r="A731">
            <v>37795</v>
          </cell>
          <cell r="H731">
            <v>96.91</v>
          </cell>
          <cell r="BJ731">
            <v>0</v>
          </cell>
          <cell r="BK731">
            <v>25714</v>
          </cell>
        </row>
        <row r="732">
          <cell r="A732">
            <v>37796</v>
          </cell>
          <cell r="H732">
            <v>96.91</v>
          </cell>
          <cell r="BJ732">
            <v>200</v>
          </cell>
          <cell r="BK732">
            <v>25714</v>
          </cell>
        </row>
        <row r="733">
          <cell r="A733">
            <v>37797</v>
          </cell>
          <cell r="H733">
            <v>96.91</v>
          </cell>
          <cell r="BJ733">
            <v>280</v>
          </cell>
          <cell r="BK733">
            <v>25060</v>
          </cell>
        </row>
        <row r="734">
          <cell r="A734">
            <v>37798</v>
          </cell>
          <cell r="H734">
            <v>96.91</v>
          </cell>
          <cell r="BJ734">
            <v>845</v>
          </cell>
          <cell r="BK734">
            <v>15359</v>
          </cell>
        </row>
        <row r="735">
          <cell r="A735">
            <v>37799</v>
          </cell>
          <cell r="H735">
            <v>96.92</v>
          </cell>
          <cell r="BJ735">
            <v>245</v>
          </cell>
          <cell r="BK735">
            <v>15284</v>
          </cell>
        </row>
        <row r="736">
          <cell r="A736">
            <v>37802</v>
          </cell>
          <cell r="H736">
            <v>96.9</v>
          </cell>
          <cell r="BJ736">
            <v>5</v>
          </cell>
          <cell r="BK736">
            <v>15289</v>
          </cell>
        </row>
        <row r="737">
          <cell r="A737">
            <v>37803</v>
          </cell>
          <cell r="H737">
            <v>96.9</v>
          </cell>
          <cell r="BJ737">
            <v>200</v>
          </cell>
          <cell r="BK737">
            <v>15389</v>
          </cell>
        </row>
        <row r="738">
          <cell r="A738">
            <v>37804</v>
          </cell>
          <cell r="H738">
            <v>96.9</v>
          </cell>
          <cell r="BJ738">
            <v>0</v>
          </cell>
          <cell r="BK738">
            <v>15389</v>
          </cell>
        </row>
        <row r="739">
          <cell r="A739">
            <v>37805</v>
          </cell>
          <cell r="H739">
            <v>96.9</v>
          </cell>
          <cell r="BJ739">
            <v>37</v>
          </cell>
          <cell r="BK739">
            <v>15401</v>
          </cell>
        </row>
        <row r="740">
          <cell r="A740">
            <v>37806</v>
          </cell>
          <cell r="H740">
            <v>96.88</v>
          </cell>
          <cell r="BJ740">
            <v>980</v>
          </cell>
          <cell r="BK740">
            <v>15352</v>
          </cell>
        </row>
        <row r="741">
          <cell r="A741">
            <v>37809</v>
          </cell>
          <cell r="H741">
            <v>96.87</v>
          </cell>
          <cell r="BJ741">
            <v>1110</v>
          </cell>
          <cell r="BK741">
            <v>16452</v>
          </cell>
        </row>
        <row r="742">
          <cell r="A742">
            <v>37810</v>
          </cell>
          <cell r="H742">
            <v>96.87</v>
          </cell>
          <cell r="BJ742">
            <v>791</v>
          </cell>
          <cell r="BK742">
            <v>15520</v>
          </cell>
        </row>
        <row r="743">
          <cell r="A743">
            <v>37811</v>
          </cell>
          <cell r="H743">
            <v>96.9</v>
          </cell>
          <cell r="BJ743">
            <v>700</v>
          </cell>
          <cell r="BK743">
            <v>15453</v>
          </cell>
        </row>
        <row r="744">
          <cell r="A744">
            <v>37812</v>
          </cell>
          <cell r="H744">
            <v>96.88</v>
          </cell>
          <cell r="BJ744">
            <v>401</v>
          </cell>
          <cell r="BK744">
            <v>15445</v>
          </cell>
        </row>
        <row r="745">
          <cell r="A745">
            <v>37813</v>
          </cell>
          <cell r="H745">
            <v>96.86</v>
          </cell>
          <cell r="BJ745">
            <v>423</v>
          </cell>
          <cell r="BK745">
            <v>15373</v>
          </cell>
        </row>
        <row r="746">
          <cell r="A746">
            <v>37816</v>
          </cell>
          <cell r="H746">
            <v>96.85</v>
          </cell>
          <cell r="BJ746">
            <v>202</v>
          </cell>
          <cell r="BK746">
            <v>15414</v>
          </cell>
        </row>
        <row r="747">
          <cell r="A747">
            <v>37817</v>
          </cell>
          <cell r="H747">
            <v>96.81</v>
          </cell>
          <cell r="BJ747">
            <v>469</v>
          </cell>
          <cell r="BK747">
            <v>15462</v>
          </cell>
        </row>
        <row r="748">
          <cell r="A748">
            <v>37818</v>
          </cell>
          <cell r="H748">
            <v>96.65</v>
          </cell>
          <cell r="BJ748">
            <v>411</v>
          </cell>
          <cell r="BK748">
            <v>15507</v>
          </cell>
        </row>
        <row r="749">
          <cell r="A749">
            <v>37819</v>
          </cell>
          <cell r="H749">
            <v>96.72</v>
          </cell>
          <cell r="BJ749">
            <v>1541</v>
          </cell>
          <cell r="BK749">
            <v>15316</v>
          </cell>
        </row>
        <row r="750">
          <cell r="A750">
            <v>37820</v>
          </cell>
          <cell r="H750">
            <v>96.71</v>
          </cell>
          <cell r="BJ750">
            <v>2365</v>
          </cell>
          <cell r="BK750">
            <v>16226</v>
          </cell>
        </row>
        <row r="751">
          <cell r="A751">
            <v>37823</v>
          </cell>
          <cell r="H751">
            <v>96.71</v>
          </cell>
          <cell r="BJ751">
            <v>6001</v>
          </cell>
          <cell r="BK751">
            <v>18461</v>
          </cell>
        </row>
        <row r="752">
          <cell r="A752">
            <v>37824</v>
          </cell>
          <cell r="H752">
            <v>96.69</v>
          </cell>
          <cell r="BJ752">
            <v>1976</v>
          </cell>
          <cell r="BK752">
            <v>18532</v>
          </cell>
        </row>
        <row r="753">
          <cell r="A753">
            <v>37825</v>
          </cell>
          <cell r="H753">
            <v>96.79</v>
          </cell>
          <cell r="BJ753">
            <v>1114</v>
          </cell>
          <cell r="BK753">
            <v>19108</v>
          </cell>
        </row>
        <row r="754">
          <cell r="A754">
            <v>37826</v>
          </cell>
          <cell r="H754">
            <v>96.74</v>
          </cell>
          <cell r="BJ754">
            <v>464</v>
          </cell>
          <cell r="BK754">
            <v>19249</v>
          </cell>
        </row>
        <row r="755">
          <cell r="A755">
            <v>37827</v>
          </cell>
          <cell r="H755">
            <v>96.74</v>
          </cell>
          <cell r="BJ755">
            <v>1790</v>
          </cell>
          <cell r="BK755">
            <v>19616</v>
          </cell>
        </row>
        <row r="756">
          <cell r="A756">
            <v>37830</v>
          </cell>
          <cell r="H756">
            <v>96.68</v>
          </cell>
          <cell r="BJ756">
            <v>1865</v>
          </cell>
          <cell r="BK756">
            <v>20138</v>
          </cell>
        </row>
        <row r="757">
          <cell r="A757">
            <v>37831</v>
          </cell>
          <cell r="H757">
            <v>96.8</v>
          </cell>
          <cell r="BJ757">
            <v>966</v>
          </cell>
          <cell r="BK757">
            <v>19870</v>
          </cell>
        </row>
        <row r="758">
          <cell r="A758">
            <v>37832</v>
          </cell>
          <cell r="H758">
            <v>96.82</v>
          </cell>
          <cell r="BJ758">
            <v>281</v>
          </cell>
          <cell r="BK758">
            <v>19978</v>
          </cell>
        </row>
        <row r="759">
          <cell r="A759">
            <v>37833</v>
          </cell>
          <cell r="H759">
            <v>96.82</v>
          </cell>
          <cell r="BJ759">
            <v>180</v>
          </cell>
          <cell r="BK759">
            <v>20023</v>
          </cell>
        </row>
        <row r="760">
          <cell r="A760">
            <v>37834</v>
          </cell>
          <cell r="H760">
            <v>96.82</v>
          </cell>
          <cell r="BJ760">
            <v>223</v>
          </cell>
          <cell r="BK760">
            <v>20011</v>
          </cell>
        </row>
        <row r="761">
          <cell r="A761">
            <v>37837</v>
          </cell>
          <cell r="H761">
            <v>96.81</v>
          </cell>
          <cell r="BJ761">
            <v>505</v>
          </cell>
          <cell r="BK761">
            <v>19768</v>
          </cell>
        </row>
        <row r="762">
          <cell r="A762">
            <v>37838</v>
          </cell>
          <cell r="H762">
            <v>96.81</v>
          </cell>
          <cell r="BJ762">
            <v>894</v>
          </cell>
          <cell r="BK762">
            <v>19154</v>
          </cell>
        </row>
        <row r="763">
          <cell r="A763">
            <v>37839</v>
          </cell>
          <cell r="H763">
            <v>96.8</v>
          </cell>
          <cell r="BJ763">
            <v>61</v>
          </cell>
          <cell r="BK763">
            <v>19182</v>
          </cell>
        </row>
        <row r="764">
          <cell r="A764">
            <v>37840</v>
          </cell>
          <cell r="H764">
            <v>96.81</v>
          </cell>
          <cell r="BJ764">
            <v>142</v>
          </cell>
          <cell r="BK764">
            <v>19167</v>
          </cell>
        </row>
        <row r="765">
          <cell r="A765">
            <v>37841</v>
          </cell>
          <cell r="H765">
            <v>96.81</v>
          </cell>
          <cell r="BJ765">
            <v>5</v>
          </cell>
          <cell r="BK765">
            <v>19172</v>
          </cell>
        </row>
        <row r="766">
          <cell r="A766">
            <v>37844</v>
          </cell>
          <cell r="H766">
            <v>96.81</v>
          </cell>
          <cell r="BJ766">
            <v>96</v>
          </cell>
          <cell r="BK766">
            <v>19163</v>
          </cell>
        </row>
        <row r="767">
          <cell r="A767">
            <v>37845</v>
          </cell>
          <cell r="H767">
            <v>96.83</v>
          </cell>
          <cell r="BJ767">
            <v>7</v>
          </cell>
          <cell r="BK767">
            <v>19164</v>
          </cell>
        </row>
        <row r="768">
          <cell r="A768">
            <v>37846</v>
          </cell>
          <cell r="H768">
            <v>96.8</v>
          </cell>
          <cell r="BJ768">
            <v>1165</v>
          </cell>
          <cell r="BK768">
            <v>19891</v>
          </cell>
        </row>
        <row r="769">
          <cell r="A769">
            <v>37847</v>
          </cell>
          <cell r="H769">
            <v>96.8</v>
          </cell>
          <cell r="BJ769">
            <v>479</v>
          </cell>
          <cell r="BK769">
            <v>20066</v>
          </cell>
        </row>
        <row r="770">
          <cell r="A770">
            <v>37848</v>
          </cell>
          <cell r="H770">
            <v>96.83</v>
          </cell>
          <cell r="BJ770">
            <v>62</v>
          </cell>
          <cell r="BK770">
            <v>20126</v>
          </cell>
        </row>
        <row r="771">
          <cell r="A771">
            <v>37851</v>
          </cell>
          <cell r="H771">
            <v>96.83</v>
          </cell>
          <cell r="BJ771">
            <v>548</v>
          </cell>
          <cell r="BK771">
            <v>20174</v>
          </cell>
        </row>
        <row r="772">
          <cell r="A772">
            <v>37852</v>
          </cell>
          <cell r="H772">
            <v>96.83</v>
          </cell>
          <cell r="BJ772">
            <v>569</v>
          </cell>
          <cell r="BK772">
            <v>20466</v>
          </cell>
        </row>
        <row r="773">
          <cell r="A773">
            <v>37853</v>
          </cell>
          <cell r="H773">
            <v>96.81</v>
          </cell>
          <cell r="BJ773">
            <v>222</v>
          </cell>
          <cell r="BK773">
            <v>20507</v>
          </cell>
        </row>
        <row r="774">
          <cell r="A774">
            <v>37854</v>
          </cell>
          <cell r="H774">
            <v>96.82</v>
          </cell>
          <cell r="BJ774">
            <v>220</v>
          </cell>
          <cell r="BK774">
            <v>20528</v>
          </cell>
        </row>
        <row r="775">
          <cell r="A775">
            <v>37855</v>
          </cell>
          <cell r="H775">
            <v>96.79</v>
          </cell>
          <cell r="BJ775">
            <v>990</v>
          </cell>
          <cell r="BK775">
            <v>20898</v>
          </cell>
        </row>
        <row r="776">
          <cell r="A776">
            <v>37858</v>
          </cell>
          <cell r="H776">
            <v>96.84</v>
          </cell>
          <cell r="BJ776">
            <v>28</v>
          </cell>
          <cell r="BK776">
            <v>20902</v>
          </cell>
        </row>
        <row r="777">
          <cell r="A777">
            <v>37859</v>
          </cell>
          <cell r="H777">
            <v>96.86</v>
          </cell>
          <cell r="BJ777">
            <v>889</v>
          </cell>
          <cell r="BK777">
            <v>21015</v>
          </cell>
        </row>
        <row r="778">
          <cell r="A778">
            <v>37860</v>
          </cell>
          <cell r="H778">
            <v>96.85</v>
          </cell>
          <cell r="BJ778">
            <v>1733</v>
          </cell>
          <cell r="BK778">
            <v>21574</v>
          </cell>
        </row>
        <row r="779">
          <cell r="A779">
            <v>37861</v>
          </cell>
          <cell r="H779">
            <v>96.85</v>
          </cell>
          <cell r="BJ779">
            <v>1358</v>
          </cell>
          <cell r="BK779">
            <v>21899</v>
          </cell>
        </row>
        <row r="780">
          <cell r="A780">
            <v>37862</v>
          </cell>
          <cell r="H780">
            <v>96.86</v>
          </cell>
          <cell r="BJ780">
            <v>398</v>
          </cell>
          <cell r="BK780">
            <v>21645</v>
          </cell>
        </row>
        <row r="781">
          <cell r="A781">
            <v>37866</v>
          </cell>
          <cell r="H781">
            <v>96.85</v>
          </cell>
          <cell r="BJ781">
            <v>521</v>
          </cell>
          <cell r="BK781">
            <v>21240</v>
          </cell>
        </row>
        <row r="782">
          <cell r="A782">
            <v>37867</v>
          </cell>
          <cell r="H782">
            <v>96.83</v>
          </cell>
          <cell r="BJ782">
            <v>1067</v>
          </cell>
          <cell r="BK782">
            <v>21365</v>
          </cell>
        </row>
        <row r="783">
          <cell r="A783">
            <v>37868</v>
          </cell>
          <cell r="H783">
            <v>96.83</v>
          </cell>
          <cell r="BJ783">
            <v>460</v>
          </cell>
          <cell r="BK783">
            <v>21416</v>
          </cell>
        </row>
        <row r="784">
          <cell r="A784">
            <v>37869</v>
          </cell>
          <cell r="H784">
            <v>96.82</v>
          </cell>
          <cell r="BJ784">
            <v>359</v>
          </cell>
          <cell r="BK784">
            <v>21311</v>
          </cell>
        </row>
        <row r="785">
          <cell r="A785">
            <v>37872</v>
          </cell>
          <cell r="H785">
            <v>96.85</v>
          </cell>
          <cell r="BJ785">
            <v>222</v>
          </cell>
          <cell r="BK785">
            <v>21311</v>
          </cell>
        </row>
        <row r="786">
          <cell r="A786">
            <v>37873</v>
          </cell>
          <cell r="H786">
            <v>96.87</v>
          </cell>
          <cell r="BJ786">
            <v>530</v>
          </cell>
          <cell r="BK786">
            <v>21094</v>
          </cell>
        </row>
        <row r="787">
          <cell r="A787">
            <v>37874</v>
          </cell>
          <cell r="H787">
            <v>96.84</v>
          </cell>
          <cell r="BJ787">
            <v>264</v>
          </cell>
          <cell r="BK787">
            <v>20994</v>
          </cell>
        </row>
        <row r="788">
          <cell r="A788">
            <v>37875</v>
          </cell>
          <cell r="H788">
            <v>96.93</v>
          </cell>
          <cell r="BJ788">
            <v>562</v>
          </cell>
          <cell r="BK788">
            <v>21102</v>
          </cell>
        </row>
        <row r="789">
          <cell r="A789">
            <v>37876</v>
          </cell>
          <cell r="H789">
            <v>96.88</v>
          </cell>
          <cell r="BJ789">
            <v>339</v>
          </cell>
          <cell r="BK789">
            <v>21311</v>
          </cell>
        </row>
        <row r="790">
          <cell r="A790">
            <v>37879</v>
          </cell>
          <cell r="H790">
            <v>96.88</v>
          </cell>
          <cell r="BJ790">
            <v>145</v>
          </cell>
          <cell r="BK790">
            <v>21411</v>
          </cell>
        </row>
        <row r="791">
          <cell r="A791">
            <v>37880</v>
          </cell>
          <cell r="H791">
            <v>96.88</v>
          </cell>
          <cell r="BJ791">
            <v>143</v>
          </cell>
          <cell r="BK791">
            <v>21398</v>
          </cell>
        </row>
        <row r="792">
          <cell r="A792">
            <v>37881</v>
          </cell>
          <cell r="H792">
            <v>96.9</v>
          </cell>
          <cell r="BJ792">
            <v>41</v>
          </cell>
          <cell r="BK792">
            <v>19780</v>
          </cell>
        </row>
        <row r="793">
          <cell r="A793">
            <v>37882</v>
          </cell>
          <cell r="H793">
            <v>96.79</v>
          </cell>
          <cell r="BJ793">
            <v>1015</v>
          </cell>
          <cell r="BK793">
            <v>19462</v>
          </cell>
        </row>
        <row r="794">
          <cell r="A794">
            <v>37883</v>
          </cell>
          <cell r="H794">
            <v>96.74</v>
          </cell>
          <cell r="BJ794">
            <v>25</v>
          </cell>
          <cell r="BK794">
            <v>19482</v>
          </cell>
        </row>
        <row r="795">
          <cell r="A795">
            <v>37886</v>
          </cell>
          <cell r="H795">
            <v>96.7</v>
          </cell>
          <cell r="BJ795">
            <v>470</v>
          </cell>
          <cell r="BK795">
            <v>19346</v>
          </cell>
        </row>
        <row r="796">
          <cell r="A796">
            <v>37887</v>
          </cell>
          <cell r="H796">
            <v>96.8</v>
          </cell>
          <cell r="BJ796">
            <v>757</v>
          </cell>
          <cell r="BK796">
            <v>19040</v>
          </cell>
        </row>
        <row r="797">
          <cell r="A797">
            <v>37888</v>
          </cell>
          <cell r="H797">
            <v>96.84</v>
          </cell>
          <cell r="BJ797">
            <v>291</v>
          </cell>
          <cell r="BK797">
            <v>19246</v>
          </cell>
        </row>
        <row r="798">
          <cell r="A798">
            <v>37889</v>
          </cell>
          <cell r="H798">
            <v>96.88</v>
          </cell>
          <cell r="BJ798">
            <v>744</v>
          </cell>
          <cell r="BK798">
            <v>19265</v>
          </cell>
        </row>
        <row r="799">
          <cell r="A799">
            <v>37890</v>
          </cell>
          <cell r="H799">
            <v>96.85</v>
          </cell>
          <cell r="BJ799">
            <v>595</v>
          </cell>
          <cell r="BK799">
            <v>19306</v>
          </cell>
        </row>
        <row r="800">
          <cell r="A800">
            <v>37893</v>
          </cell>
          <cell r="H800">
            <v>96.86</v>
          </cell>
          <cell r="BJ800">
            <v>350</v>
          </cell>
          <cell r="BK800">
            <v>19351</v>
          </cell>
        </row>
        <row r="801">
          <cell r="A801">
            <v>37894</v>
          </cell>
          <cell r="H801">
            <v>96.84</v>
          </cell>
          <cell r="BJ801">
            <v>715</v>
          </cell>
          <cell r="BK801">
            <v>19166</v>
          </cell>
        </row>
        <row r="802">
          <cell r="A802">
            <v>37895</v>
          </cell>
          <cell r="H802">
            <v>96.84</v>
          </cell>
          <cell r="BJ802">
            <v>94</v>
          </cell>
          <cell r="BK802">
            <v>19203</v>
          </cell>
        </row>
        <row r="803">
          <cell r="A803">
            <v>37896</v>
          </cell>
          <cell r="H803">
            <v>96.84</v>
          </cell>
          <cell r="BJ803">
            <v>187</v>
          </cell>
          <cell r="BK803">
            <v>19293</v>
          </cell>
        </row>
        <row r="804">
          <cell r="A804">
            <v>37897</v>
          </cell>
          <cell r="H804">
            <v>96.8</v>
          </cell>
          <cell r="BJ804">
            <v>409</v>
          </cell>
          <cell r="BK804">
            <v>19457</v>
          </cell>
        </row>
        <row r="805">
          <cell r="A805">
            <v>37900</v>
          </cell>
          <cell r="H805">
            <v>96.76</v>
          </cell>
          <cell r="BJ805">
            <v>176</v>
          </cell>
          <cell r="BK805">
            <v>19475</v>
          </cell>
        </row>
        <row r="806">
          <cell r="A806">
            <v>37901</v>
          </cell>
          <cell r="H806">
            <v>96.8</v>
          </cell>
          <cell r="BJ806">
            <v>549</v>
          </cell>
          <cell r="BK806">
            <v>19602</v>
          </cell>
        </row>
        <row r="807">
          <cell r="A807">
            <v>37902</v>
          </cell>
          <cell r="H807">
            <v>96.86</v>
          </cell>
          <cell r="BJ807">
            <v>547</v>
          </cell>
          <cell r="BK807">
            <v>19827</v>
          </cell>
        </row>
        <row r="808">
          <cell r="A808">
            <v>37903</v>
          </cell>
          <cell r="H808">
            <v>96.86</v>
          </cell>
          <cell r="BJ808">
            <v>179</v>
          </cell>
          <cell r="BK808">
            <v>19915</v>
          </cell>
        </row>
        <row r="809">
          <cell r="A809">
            <v>37904</v>
          </cell>
          <cell r="H809">
            <v>96.96</v>
          </cell>
          <cell r="BJ809">
            <v>1454</v>
          </cell>
          <cell r="BK809">
            <v>19710</v>
          </cell>
        </row>
        <row r="810">
          <cell r="A810">
            <v>37907</v>
          </cell>
          <cell r="H810">
            <v>96.9</v>
          </cell>
          <cell r="BJ810">
            <v>299</v>
          </cell>
          <cell r="BK810">
            <v>19659</v>
          </cell>
        </row>
        <row r="811">
          <cell r="A811">
            <v>37908</v>
          </cell>
          <cell r="H811">
            <v>96.88</v>
          </cell>
          <cell r="BJ811">
            <v>196</v>
          </cell>
          <cell r="BK811">
            <v>19722</v>
          </cell>
        </row>
        <row r="812">
          <cell r="A812">
            <v>37909</v>
          </cell>
          <cell r="H812">
            <v>96.88</v>
          </cell>
          <cell r="BJ812">
            <v>460</v>
          </cell>
          <cell r="BK812">
            <v>19396</v>
          </cell>
        </row>
        <row r="813">
          <cell r="A813">
            <v>37910</v>
          </cell>
          <cell r="H813">
            <v>96.85</v>
          </cell>
          <cell r="BJ813">
            <v>776</v>
          </cell>
          <cell r="BK813">
            <v>19399</v>
          </cell>
        </row>
        <row r="814">
          <cell r="A814">
            <v>37911</v>
          </cell>
          <cell r="H814">
            <v>96.79</v>
          </cell>
          <cell r="BJ814">
            <v>393</v>
          </cell>
          <cell r="BK814">
            <v>19478</v>
          </cell>
        </row>
        <row r="815">
          <cell r="A815">
            <v>37914</v>
          </cell>
          <cell r="H815">
            <v>96.75</v>
          </cell>
          <cell r="BJ815">
            <v>70</v>
          </cell>
          <cell r="BK815">
            <v>19491</v>
          </cell>
        </row>
        <row r="816">
          <cell r="A816">
            <v>37915</v>
          </cell>
          <cell r="H816">
            <v>96.79</v>
          </cell>
          <cell r="BJ816">
            <v>198</v>
          </cell>
          <cell r="BK816">
            <v>19481</v>
          </cell>
        </row>
        <row r="817">
          <cell r="A817">
            <v>37916</v>
          </cell>
          <cell r="H817">
            <v>96.78</v>
          </cell>
          <cell r="BJ817">
            <v>1068</v>
          </cell>
          <cell r="BK817">
            <v>19612</v>
          </cell>
        </row>
        <row r="818">
          <cell r="A818">
            <v>37917</v>
          </cell>
          <cell r="H818">
            <v>96.85</v>
          </cell>
          <cell r="BJ818">
            <v>51</v>
          </cell>
          <cell r="BK818">
            <v>19552</v>
          </cell>
        </row>
        <row r="819">
          <cell r="A819">
            <v>37921</v>
          </cell>
          <cell r="H819">
            <v>96.88</v>
          </cell>
          <cell r="BJ819">
            <v>532</v>
          </cell>
          <cell r="BK819">
            <v>19272</v>
          </cell>
        </row>
        <row r="820">
          <cell r="A820">
            <v>37922</v>
          </cell>
          <cell r="H820">
            <v>96.84</v>
          </cell>
          <cell r="BJ820">
            <v>664</v>
          </cell>
          <cell r="BK820">
            <v>18991</v>
          </cell>
        </row>
        <row r="821">
          <cell r="A821">
            <v>37923</v>
          </cell>
          <cell r="H821">
            <v>96.84</v>
          </cell>
          <cell r="BJ821">
            <v>47</v>
          </cell>
          <cell r="BK821">
            <v>18987</v>
          </cell>
        </row>
        <row r="822">
          <cell r="A822">
            <v>37924</v>
          </cell>
          <cell r="H822">
            <v>96.84</v>
          </cell>
          <cell r="BJ822">
            <v>28</v>
          </cell>
          <cell r="BK822">
            <v>18977</v>
          </cell>
        </row>
        <row r="823">
          <cell r="A823">
            <v>37925</v>
          </cell>
          <cell r="H823">
            <v>96.84</v>
          </cell>
          <cell r="BJ823">
            <v>0</v>
          </cell>
          <cell r="BK823">
            <v>18977</v>
          </cell>
        </row>
        <row r="824">
          <cell r="A824">
            <v>37928</v>
          </cell>
          <cell r="H824">
            <v>96.79</v>
          </cell>
          <cell r="BJ824">
            <v>139</v>
          </cell>
          <cell r="BK824">
            <v>18987</v>
          </cell>
        </row>
        <row r="825">
          <cell r="A825">
            <v>37929</v>
          </cell>
          <cell r="H825">
            <v>96.66</v>
          </cell>
          <cell r="BJ825">
            <v>143</v>
          </cell>
          <cell r="BK825">
            <v>18978</v>
          </cell>
        </row>
        <row r="826">
          <cell r="A826">
            <v>37930</v>
          </cell>
          <cell r="H826">
            <v>96.68</v>
          </cell>
          <cell r="BJ826">
            <v>340</v>
          </cell>
          <cell r="BK826">
            <v>18958</v>
          </cell>
        </row>
        <row r="827">
          <cell r="A827">
            <v>37931</v>
          </cell>
          <cell r="H827">
            <v>96.69</v>
          </cell>
          <cell r="BJ827">
            <v>1805</v>
          </cell>
          <cell r="BK827">
            <v>19111</v>
          </cell>
        </row>
        <row r="828">
          <cell r="A828">
            <v>37932</v>
          </cell>
          <cell r="H828">
            <v>96.69</v>
          </cell>
          <cell r="BJ828">
            <v>718</v>
          </cell>
          <cell r="BK828">
            <v>19111</v>
          </cell>
        </row>
        <row r="829">
          <cell r="A829">
            <v>37935</v>
          </cell>
          <cell r="H829">
            <v>96.64</v>
          </cell>
          <cell r="BJ829">
            <v>211</v>
          </cell>
          <cell r="BK829">
            <v>19021</v>
          </cell>
        </row>
        <row r="830">
          <cell r="A830">
            <v>37936</v>
          </cell>
          <cell r="H830">
            <v>96.68</v>
          </cell>
          <cell r="BJ830">
            <v>602</v>
          </cell>
          <cell r="BK830">
            <v>18961</v>
          </cell>
        </row>
        <row r="831">
          <cell r="A831">
            <v>37937</v>
          </cell>
          <cell r="H831">
            <v>96.71</v>
          </cell>
          <cell r="BJ831">
            <v>533</v>
          </cell>
          <cell r="BK831">
            <v>19116</v>
          </cell>
        </row>
        <row r="832">
          <cell r="A832">
            <v>37938</v>
          </cell>
          <cell r="H832">
            <v>96.71</v>
          </cell>
          <cell r="BJ832">
            <v>687</v>
          </cell>
          <cell r="BK832">
            <v>19244</v>
          </cell>
        </row>
        <row r="833">
          <cell r="A833">
            <v>37939</v>
          </cell>
          <cell r="H833">
            <v>96.76</v>
          </cell>
          <cell r="BJ833">
            <v>370</v>
          </cell>
          <cell r="BK833">
            <v>19269</v>
          </cell>
        </row>
        <row r="834">
          <cell r="A834">
            <v>37942</v>
          </cell>
          <cell r="H834">
            <v>96.82</v>
          </cell>
          <cell r="BJ834">
            <v>418</v>
          </cell>
          <cell r="BK834">
            <v>19463</v>
          </cell>
        </row>
        <row r="835">
          <cell r="A835">
            <v>37943</v>
          </cell>
          <cell r="H835">
            <v>96.79</v>
          </cell>
          <cell r="BJ835">
            <v>360</v>
          </cell>
          <cell r="BK835">
            <v>19685</v>
          </cell>
        </row>
        <row r="836">
          <cell r="A836">
            <v>37944</v>
          </cell>
          <cell r="H836">
            <v>96.79</v>
          </cell>
          <cell r="BJ836">
            <v>132</v>
          </cell>
          <cell r="BK836">
            <v>19658</v>
          </cell>
        </row>
        <row r="837">
          <cell r="A837">
            <v>37945</v>
          </cell>
          <cell r="H837">
            <v>96.79</v>
          </cell>
          <cell r="BJ837">
            <v>330</v>
          </cell>
          <cell r="BK837">
            <v>19601</v>
          </cell>
        </row>
        <row r="838">
          <cell r="A838">
            <v>37946</v>
          </cell>
          <cell r="H838">
            <v>96.89</v>
          </cell>
          <cell r="BJ838">
            <v>235</v>
          </cell>
          <cell r="BK838">
            <v>19668</v>
          </cell>
        </row>
        <row r="839">
          <cell r="A839">
            <v>37952</v>
          </cell>
          <cell r="H839">
            <v>96.94</v>
          </cell>
          <cell r="BJ839">
            <v>1</v>
          </cell>
          <cell r="BK839">
            <v>19669</v>
          </cell>
        </row>
        <row r="840">
          <cell r="A840">
            <v>37953</v>
          </cell>
          <cell r="H840">
            <v>96.82</v>
          </cell>
          <cell r="BJ840">
            <v>2450</v>
          </cell>
          <cell r="BK840">
            <v>20605</v>
          </cell>
        </row>
        <row r="841">
          <cell r="A841">
            <v>37956</v>
          </cell>
          <cell r="H841">
            <v>96.83</v>
          </cell>
          <cell r="BJ841">
            <v>390</v>
          </cell>
          <cell r="BK841">
            <v>19998</v>
          </cell>
        </row>
        <row r="842">
          <cell r="A842">
            <v>37957</v>
          </cell>
          <cell r="H842">
            <v>96.84</v>
          </cell>
          <cell r="BJ842">
            <v>934</v>
          </cell>
          <cell r="BK842">
            <v>20596</v>
          </cell>
        </row>
        <row r="843">
          <cell r="A843">
            <v>37958</v>
          </cell>
          <cell r="H843">
            <v>96.88</v>
          </cell>
          <cell r="BJ843">
            <v>1577</v>
          </cell>
          <cell r="BK843">
            <v>20704</v>
          </cell>
        </row>
        <row r="844">
          <cell r="A844">
            <v>37959</v>
          </cell>
          <cell r="H844">
            <v>96.9</v>
          </cell>
          <cell r="BJ844">
            <v>826</v>
          </cell>
          <cell r="BK844">
            <v>20778</v>
          </cell>
        </row>
        <row r="845">
          <cell r="A845">
            <v>37960</v>
          </cell>
          <cell r="H845">
            <v>96.91</v>
          </cell>
          <cell r="BJ845">
            <v>187</v>
          </cell>
          <cell r="BK845">
            <v>20809</v>
          </cell>
        </row>
        <row r="846">
          <cell r="A846">
            <v>37963</v>
          </cell>
          <cell r="H846">
            <v>96.95</v>
          </cell>
          <cell r="BJ846">
            <v>28</v>
          </cell>
          <cell r="BK846">
            <v>20814</v>
          </cell>
        </row>
        <row r="847">
          <cell r="A847">
            <v>37964</v>
          </cell>
          <cell r="H847">
            <v>96.9</v>
          </cell>
          <cell r="BJ847">
            <v>429</v>
          </cell>
          <cell r="BK847">
            <v>20918</v>
          </cell>
        </row>
        <row r="848">
          <cell r="A848">
            <v>37965</v>
          </cell>
          <cell r="H848">
            <v>96.85</v>
          </cell>
          <cell r="BJ848">
            <v>338</v>
          </cell>
          <cell r="BK848">
            <v>20835</v>
          </cell>
        </row>
        <row r="849">
          <cell r="A849">
            <v>37966</v>
          </cell>
          <cell r="H849">
            <v>96.81</v>
          </cell>
          <cell r="BJ849">
            <v>1319</v>
          </cell>
          <cell r="BK849">
            <v>20373</v>
          </cell>
        </row>
        <row r="850">
          <cell r="A850">
            <v>37967</v>
          </cell>
          <cell r="H850">
            <v>96.81</v>
          </cell>
          <cell r="BJ850">
            <v>409</v>
          </cell>
          <cell r="BK850">
            <v>20263</v>
          </cell>
        </row>
        <row r="851">
          <cell r="A851">
            <v>37970</v>
          </cell>
          <cell r="H851">
            <v>96.84</v>
          </cell>
          <cell r="BJ851">
            <v>102</v>
          </cell>
          <cell r="BK851">
            <v>20234</v>
          </cell>
        </row>
        <row r="852">
          <cell r="A852">
            <v>37971</v>
          </cell>
          <cell r="H852">
            <v>96.89</v>
          </cell>
          <cell r="BJ852">
            <v>72</v>
          </cell>
          <cell r="BK852">
            <v>20262</v>
          </cell>
        </row>
        <row r="853">
          <cell r="A853">
            <v>37972</v>
          </cell>
          <cell r="H853">
            <v>96.89</v>
          </cell>
          <cell r="BJ853">
            <v>227</v>
          </cell>
          <cell r="BK853">
            <v>18959</v>
          </cell>
        </row>
        <row r="854">
          <cell r="A854">
            <v>37973</v>
          </cell>
          <cell r="H854">
            <v>96.73</v>
          </cell>
          <cell r="BJ854">
            <v>337</v>
          </cell>
          <cell r="BK854">
            <v>19069</v>
          </cell>
        </row>
        <row r="855">
          <cell r="A855">
            <v>37974</v>
          </cell>
          <cell r="H855">
            <v>96.71</v>
          </cell>
          <cell r="BJ855">
            <v>293</v>
          </cell>
          <cell r="BK855">
            <v>19144</v>
          </cell>
        </row>
        <row r="856">
          <cell r="A856">
            <v>37977</v>
          </cell>
          <cell r="H856">
            <v>96.75</v>
          </cell>
          <cell r="BJ856">
            <v>503</v>
          </cell>
          <cell r="BK856">
            <v>19034</v>
          </cell>
        </row>
        <row r="857">
          <cell r="A857">
            <v>37978</v>
          </cell>
          <cell r="H857">
            <v>96.7</v>
          </cell>
          <cell r="BJ857">
            <v>10</v>
          </cell>
          <cell r="BK857">
            <v>19034</v>
          </cell>
        </row>
        <row r="858">
          <cell r="A858">
            <v>37979</v>
          </cell>
          <cell r="H858">
            <v>96.74</v>
          </cell>
          <cell r="BJ858">
            <v>511</v>
          </cell>
          <cell r="BK858">
            <v>19053</v>
          </cell>
        </row>
        <row r="859">
          <cell r="A859">
            <v>37981</v>
          </cell>
          <cell r="H859">
            <v>96.74</v>
          </cell>
          <cell r="BJ859">
            <v>0</v>
          </cell>
          <cell r="BK859">
            <v>19053</v>
          </cell>
        </row>
        <row r="860">
          <cell r="A860">
            <v>37984</v>
          </cell>
          <cell r="H860">
            <v>96.73</v>
          </cell>
          <cell r="BJ860">
            <v>610</v>
          </cell>
          <cell r="BK860">
            <v>18763</v>
          </cell>
        </row>
        <row r="861">
          <cell r="A861">
            <v>37985</v>
          </cell>
          <cell r="H861">
            <v>96.73</v>
          </cell>
          <cell r="BJ861">
            <v>0</v>
          </cell>
          <cell r="BK861">
            <v>18763</v>
          </cell>
        </row>
        <row r="862">
          <cell r="A862">
            <v>37986</v>
          </cell>
          <cell r="H862">
            <v>96.76</v>
          </cell>
          <cell r="BJ862">
            <v>386</v>
          </cell>
          <cell r="BK862">
            <v>18977</v>
          </cell>
        </row>
        <row r="863">
          <cell r="A863">
            <v>37988</v>
          </cell>
          <cell r="H863">
            <v>96.74</v>
          </cell>
          <cell r="BJ863">
            <v>2204</v>
          </cell>
          <cell r="BK863">
            <v>19192</v>
          </cell>
        </row>
        <row r="864">
          <cell r="A864">
            <v>37991</v>
          </cell>
          <cell r="H864">
            <v>96.82</v>
          </cell>
          <cell r="BJ864">
            <v>1465</v>
          </cell>
          <cell r="BK864">
            <v>19101</v>
          </cell>
        </row>
        <row r="865">
          <cell r="A865">
            <v>37992</v>
          </cell>
          <cell r="H865">
            <v>96.78</v>
          </cell>
          <cell r="BJ865">
            <v>1498</v>
          </cell>
          <cell r="BK865">
            <v>19226</v>
          </cell>
        </row>
        <row r="866">
          <cell r="A866">
            <v>37993</v>
          </cell>
          <cell r="H866">
            <v>96.85</v>
          </cell>
          <cell r="BJ866">
            <v>2663</v>
          </cell>
          <cell r="BK866">
            <v>18969</v>
          </cell>
        </row>
        <row r="867">
          <cell r="A867">
            <v>37994</v>
          </cell>
          <cell r="H867">
            <v>96.92</v>
          </cell>
          <cell r="BJ867">
            <v>2728</v>
          </cell>
          <cell r="BK867">
            <v>18019</v>
          </cell>
        </row>
        <row r="868">
          <cell r="A868">
            <v>37995</v>
          </cell>
          <cell r="H868">
            <v>96.82</v>
          </cell>
          <cell r="BJ868">
            <v>1600</v>
          </cell>
          <cell r="BK868">
            <v>17992</v>
          </cell>
        </row>
        <row r="869">
          <cell r="A869">
            <v>37998</v>
          </cell>
          <cell r="H869">
            <v>96.87</v>
          </cell>
          <cell r="BJ869">
            <v>1127</v>
          </cell>
          <cell r="BK869">
            <v>17611</v>
          </cell>
        </row>
        <row r="870">
          <cell r="A870">
            <v>37999</v>
          </cell>
          <cell r="H870">
            <v>96.86</v>
          </cell>
          <cell r="BJ870">
            <v>1182</v>
          </cell>
          <cell r="BK870">
            <v>17306</v>
          </cell>
        </row>
        <row r="871">
          <cell r="A871">
            <v>38000</v>
          </cell>
          <cell r="H871">
            <v>96.86</v>
          </cell>
          <cell r="BJ871">
            <v>1946</v>
          </cell>
          <cell r="BK871">
            <v>18006</v>
          </cell>
        </row>
      </sheetData>
      <sheetData sheetId="6">
        <row r="1">
          <cell r="B1" t="str">
            <v>VOLUME</v>
          </cell>
          <cell r="C1" t="str">
            <v>FKB3 VOLATILITY</v>
          </cell>
        </row>
        <row r="628">
          <cell r="A628">
            <v>37641</v>
          </cell>
          <cell r="B628">
            <v>7</v>
          </cell>
          <cell r="C628">
            <v>3.6537322219780451E-3</v>
          </cell>
        </row>
        <row r="629">
          <cell r="A629">
            <v>37642</v>
          </cell>
          <cell r="B629">
            <v>595</v>
          </cell>
          <cell r="C629">
            <v>0</v>
          </cell>
        </row>
        <row r="630">
          <cell r="A630">
            <v>37643</v>
          </cell>
          <cell r="B630">
            <v>45</v>
          </cell>
          <cell r="C630">
            <v>0</v>
          </cell>
        </row>
        <row r="631">
          <cell r="A631">
            <v>37644</v>
          </cell>
          <cell r="B631">
            <v>693</v>
          </cell>
          <cell r="C631">
            <v>0</v>
          </cell>
        </row>
        <row r="632">
          <cell r="A632">
            <v>37645</v>
          </cell>
          <cell r="B632">
            <v>790</v>
          </cell>
          <cell r="C632">
            <v>1.4609644291353762E-3</v>
          </cell>
        </row>
        <row r="633">
          <cell r="A633">
            <v>37648</v>
          </cell>
          <cell r="B633">
            <v>1108</v>
          </cell>
          <cell r="C633">
            <v>1.789123900020546E-3</v>
          </cell>
        </row>
        <row r="634">
          <cell r="A634">
            <v>37649</v>
          </cell>
          <cell r="B634">
            <v>515</v>
          </cell>
          <cell r="C634">
            <v>1.789123900020546E-3</v>
          </cell>
        </row>
        <row r="635">
          <cell r="A635">
            <v>37650</v>
          </cell>
          <cell r="B635">
            <v>20</v>
          </cell>
          <cell r="C635">
            <v>1.789123900020546E-3</v>
          </cell>
        </row>
        <row r="636">
          <cell r="A636">
            <v>37651</v>
          </cell>
          <cell r="B636">
            <v>13</v>
          </cell>
          <cell r="C636">
            <v>1.6332392108129052E-3</v>
          </cell>
        </row>
        <row r="637">
          <cell r="A637">
            <v>37657</v>
          </cell>
          <cell r="B637">
            <v>2</v>
          </cell>
          <cell r="C637">
            <v>1.4606343603853654E-3</v>
          </cell>
        </row>
        <row r="638">
          <cell r="A638">
            <v>37658</v>
          </cell>
          <cell r="B638">
            <v>12</v>
          </cell>
          <cell r="C638">
            <v>7.3021818744794587E-4</v>
          </cell>
        </row>
        <row r="639">
          <cell r="A639">
            <v>37659</v>
          </cell>
          <cell r="B639">
            <v>368</v>
          </cell>
          <cell r="C639">
            <v>1.460238465757798E-3</v>
          </cell>
        </row>
        <row r="640">
          <cell r="A640">
            <v>37662</v>
          </cell>
          <cell r="B640">
            <v>193</v>
          </cell>
          <cell r="C640">
            <v>1.3659015752154216E-3</v>
          </cell>
        </row>
        <row r="641">
          <cell r="A641">
            <v>37663</v>
          </cell>
          <cell r="B641">
            <v>227</v>
          </cell>
          <cell r="C641">
            <v>1.4601819268982657E-3</v>
          </cell>
        </row>
        <row r="642">
          <cell r="A642">
            <v>37665</v>
          </cell>
          <cell r="B642">
            <v>165</v>
          </cell>
          <cell r="C642">
            <v>1.4601819268982657E-3</v>
          </cell>
        </row>
        <row r="643">
          <cell r="A643">
            <v>37666</v>
          </cell>
          <cell r="B643">
            <v>220</v>
          </cell>
          <cell r="C643">
            <v>1.4601819268982657E-3</v>
          </cell>
        </row>
        <row r="644">
          <cell r="A644">
            <v>37669</v>
          </cell>
          <cell r="B644">
            <v>784</v>
          </cell>
          <cell r="C644">
            <v>7.2999203201822124E-4</v>
          </cell>
        </row>
        <row r="645">
          <cell r="A645">
            <v>37670</v>
          </cell>
          <cell r="B645">
            <v>432</v>
          </cell>
          <cell r="C645">
            <v>7.2991667800195227E-4</v>
          </cell>
        </row>
        <row r="646">
          <cell r="A646">
            <v>37671</v>
          </cell>
          <cell r="B646">
            <v>385</v>
          </cell>
          <cell r="C646">
            <v>1.1540996023146073E-3</v>
          </cell>
        </row>
        <row r="647">
          <cell r="A647">
            <v>37672</v>
          </cell>
          <cell r="B647">
            <v>95</v>
          </cell>
          <cell r="C647">
            <v>3.8269971825202571E-3</v>
          </cell>
        </row>
        <row r="648">
          <cell r="A648">
            <v>37673</v>
          </cell>
          <cell r="B648">
            <v>790</v>
          </cell>
          <cell r="C648">
            <v>6.4659709615297557E-3</v>
          </cell>
        </row>
        <row r="649">
          <cell r="A649">
            <v>37676</v>
          </cell>
          <cell r="B649">
            <v>1259</v>
          </cell>
          <cell r="C649">
            <v>6.8849862599023393E-3</v>
          </cell>
        </row>
        <row r="650">
          <cell r="A650">
            <v>37677</v>
          </cell>
          <cell r="B650">
            <v>32</v>
          </cell>
          <cell r="C650">
            <v>6.9235555675235651E-3</v>
          </cell>
        </row>
        <row r="651">
          <cell r="A651">
            <v>37678</v>
          </cell>
          <cell r="B651">
            <v>2</v>
          </cell>
          <cell r="C651">
            <v>6.8849662932537409E-3</v>
          </cell>
        </row>
        <row r="652">
          <cell r="A652">
            <v>37679</v>
          </cell>
          <cell r="B652">
            <v>171</v>
          </cell>
          <cell r="C652">
            <v>6.278711626079612E-3</v>
          </cell>
        </row>
        <row r="653">
          <cell r="A653">
            <v>37680</v>
          </cell>
          <cell r="B653">
            <v>720</v>
          </cell>
          <cell r="C653">
            <v>5.1617300362453251E-3</v>
          </cell>
        </row>
        <row r="654">
          <cell r="A654">
            <v>37683</v>
          </cell>
          <cell r="B654">
            <v>0</v>
          </cell>
          <cell r="C654">
            <v>4.4103230094573358E-3</v>
          </cell>
        </row>
        <row r="655">
          <cell r="A655">
            <v>37685</v>
          </cell>
          <cell r="B655">
            <v>485</v>
          </cell>
          <cell r="C655">
            <v>5.4868678732868459E-3</v>
          </cell>
        </row>
        <row r="656">
          <cell r="A656">
            <v>37686</v>
          </cell>
          <cell r="B656">
            <v>615</v>
          </cell>
          <cell r="C656">
            <v>5.4625412933513931E-3</v>
          </cell>
        </row>
        <row r="657">
          <cell r="A657">
            <v>37687</v>
          </cell>
          <cell r="B657">
            <v>138</v>
          </cell>
          <cell r="C657">
            <v>6.1071464203248851E-3</v>
          </cell>
        </row>
        <row r="658">
          <cell r="A658">
            <v>37690</v>
          </cell>
          <cell r="B658">
            <v>165</v>
          </cell>
          <cell r="C658">
            <v>6.1071464203248851E-3</v>
          </cell>
        </row>
        <row r="659">
          <cell r="A659">
            <v>37691</v>
          </cell>
          <cell r="B659">
            <v>1260</v>
          </cell>
          <cell r="C659">
            <v>6.4878534723619057E-3</v>
          </cell>
        </row>
        <row r="660">
          <cell r="A660">
            <v>37692</v>
          </cell>
          <cell r="B660">
            <v>1282</v>
          </cell>
          <cell r="C660">
            <v>5.8396608964860243E-3</v>
          </cell>
        </row>
        <row r="661">
          <cell r="A661">
            <v>37693</v>
          </cell>
          <cell r="B661">
            <v>1370</v>
          </cell>
          <cell r="C661">
            <v>6.0415953978558874E-3</v>
          </cell>
        </row>
        <row r="662">
          <cell r="A662">
            <v>37694</v>
          </cell>
          <cell r="B662">
            <v>1975</v>
          </cell>
          <cell r="C662">
            <v>4.2251605148029853E-3</v>
          </cell>
        </row>
        <row r="663">
          <cell r="A663">
            <v>37697</v>
          </cell>
          <cell r="B663">
            <v>243</v>
          </cell>
          <cell r="C663">
            <v>4.5587445757445805E-3</v>
          </cell>
        </row>
        <row r="664">
          <cell r="A664">
            <v>37698</v>
          </cell>
          <cell r="B664">
            <v>736</v>
          </cell>
          <cell r="C664">
            <v>4.380055889212359E-3</v>
          </cell>
        </row>
        <row r="665">
          <cell r="A665">
            <v>37699</v>
          </cell>
          <cell r="B665">
            <v>3155</v>
          </cell>
          <cell r="C665">
            <v>4.2567197294392607E-3</v>
          </cell>
        </row>
        <row r="666">
          <cell r="A666">
            <v>37700</v>
          </cell>
          <cell r="B666">
            <v>882</v>
          </cell>
          <cell r="C666">
            <v>3.5762506343870529E-3</v>
          </cell>
        </row>
        <row r="667">
          <cell r="A667">
            <v>37701</v>
          </cell>
          <cell r="B667">
            <v>1077</v>
          </cell>
          <cell r="C667">
            <v>4.4699931925076151E-3</v>
          </cell>
        </row>
        <row r="668">
          <cell r="A668">
            <v>37704</v>
          </cell>
          <cell r="B668">
            <v>878</v>
          </cell>
          <cell r="C668">
            <v>4.4697625042149167E-3</v>
          </cell>
        </row>
        <row r="669">
          <cell r="A669">
            <v>37705</v>
          </cell>
          <cell r="B669">
            <v>343</v>
          </cell>
          <cell r="C669">
            <v>3.5755816016302235E-3</v>
          </cell>
        </row>
        <row r="670">
          <cell r="A670">
            <v>37706</v>
          </cell>
          <cell r="B670">
            <v>1063</v>
          </cell>
          <cell r="C670">
            <v>3.7572346467698694E-3</v>
          </cell>
        </row>
        <row r="671">
          <cell r="A671">
            <v>37707</v>
          </cell>
          <cell r="B671">
            <v>437</v>
          </cell>
          <cell r="C671">
            <v>3.7215971669455404E-3</v>
          </cell>
        </row>
        <row r="672">
          <cell r="A672">
            <v>37708</v>
          </cell>
          <cell r="B672">
            <v>98</v>
          </cell>
          <cell r="C672">
            <v>1.3653779447815179E-3</v>
          </cell>
        </row>
        <row r="673">
          <cell r="A673">
            <v>37711</v>
          </cell>
          <cell r="B673">
            <v>351</v>
          </cell>
          <cell r="C673">
            <v>8.9400785463364472E-4</v>
          </cell>
        </row>
        <row r="674">
          <cell r="A674">
            <v>37712</v>
          </cell>
          <cell r="B674">
            <v>1100</v>
          </cell>
          <cell r="C674">
            <v>8.9400785463364472E-4</v>
          </cell>
        </row>
        <row r="675">
          <cell r="A675">
            <v>37713</v>
          </cell>
          <cell r="B675">
            <v>32</v>
          </cell>
          <cell r="C675">
            <v>1.4601819268980055E-3</v>
          </cell>
        </row>
        <row r="676">
          <cell r="A676">
            <v>37714</v>
          </cell>
          <cell r="B676">
            <v>335</v>
          </cell>
          <cell r="C676">
            <v>3.7225060225029348E-3</v>
          </cell>
        </row>
        <row r="677">
          <cell r="A677">
            <v>37715</v>
          </cell>
          <cell r="B677">
            <v>1322</v>
          </cell>
          <cell r="C677">
            <v>3.7224838579355555E-3</v>
          </cell>
        </row>
        <row r="678">
          <cell r="A678">
            <v>37718</v>
          </cell>
          <cell r="B678">
            <v>380</v>
          </cell>
          <cell r="C678">
            <v>4.842693800436954E-3</v>
          </cell>
        </row>
        <row r="679">
          <cell r="A679">
            <v>37719</v>
          </cell>
          <cell r="B679">
            <v>911</v>
          </cell>
          <cell r="C679">
            <v>5.2138033601271481E-3</v>
          </cell>
        </row>
        <row r="680">
          <cell r="A680">
            <v>37720</v>
          </cell>
          <cell r="B680">
            <v>105</v>
          </cell>
          <cell r="C680">
            <v>5.3399389935505498E-3</v>
          </cell>
        </row>
        <row r="681">
          <cell r="A681">
            <v>37721</v>
          </cell>
          <cell r="B681">
            <v>1890</v>
          </cell>
          <cell r="C681">
            <v>4.4707777929948213E-3</v>
          </cell>
        </row>
        <row r="682">
          <cell r="A682">
            <v>37722</v>
          </cell>
          <cell r="B682">
            <v>915</v>
          </cell>
          <cell r="C682">
            <v>4.5592153159277156E-3</v>
          </cell>
        </row>
        <row r="683">
          <cell r="A683">
            <v>37725</v>
          </cell>
          <cell r="B683">
            <v>640</v>
          </cell>
          <cell r="C683">
            <v>3.8966889154642228E-3</v>
          </cell>
        </row>
        <row r="684">
          <cell r="A684">
            <v>37726</v>
          </cell>
          <cell r="B684">
            <v>2</v>
          </cell>
          <cell r="C684">
            <v>4.1611654091048972E-3</v>
          </cell>
        </row>
        <row r="685">
          <cell r="A685">
            <v>37727</v>
          </cell>
          <cell r="B685">
            <v>370</v>
          </cell>
          <cell r="C685">
            <v>3.1813997717614301E-3</v>
          </cell>
        </row>
        <row r="686">
          <cell r="A686">
            <v>37728</v>
          </cell>
          <cell r="B686">
            <v>5</v>
          </cell>
          <cell r="C686">
            <v>4.1611654091048972E-3</v>
          </cell>
        </row>
        <row r="687">
          <cell r="A687">
            <v>37729</v>
          </cell>
          <cell r="B687">
            <v>0</v>
          </cell>
          <cell r="C687">
            <v>3.7576078974053692E-3</v>
          </cell>
        </row>
        <row r="688">
          <cell r="A688">
            <v>37732</v>
          </cell>
          <cell r="B688">
            <v>730</v>
          </cell>
          <cell r="C688">
            <v>3.3452437667830059E-3</v>
          </cell>
        </row>
        <row r="689">
          <cell r="A689">
            <v>37733</v>
          </cell>
          <cell r="B689">
            <v>0</v>
          </cell>
          <cell r="C689">
            <v>2.9651860118530679E-3</v>
          </cell>
        </row>
        <row r="690">
          <cell r="A690">
            <v>37734</v>
          </cell>
          <cell r="B690">
            <v>581</v>
          </cell>
          <cell r="C690">
            <v>3.4623584405002487E-3</v>
          </cell>
        </row>
        <row r="691">
          <cell r="A691">
            <v>37735</v>
          </cell>
          <cell r="B691">
            <v>50</v>
          </cell>
          <cell r="C691">
            <v>3.1393196053196544E-3</v>
          </cell>
        </row>
        <row r="692">
          <cell r="A692">
            <v>37736</v>
          </cell>
          <cell r="B692">
            <v>315</v>
          </cell>
          <cell r="C692">
            <v>3.1393196053196544E-3</v>
          </cell>
        </row>
        <row r="693">
          <cell r="A693">
            <v>37739</v>
          </cell>
          <cell r="B693">
            <v>0</v>
          </cell>
          <cell r="C693">
            <v>2.4205644819294825E-3</v>
          </cell>
        </row>
        <row r="694">
          <cell r="A694">
            <v>37740</v>
          </cell>
          <cell r="B694">
            <v>200</v>
          </cell>
          <cell r="C694">
            <v>2.7307306987684994E-3</v>
          </cell>
        </row>
        <row r="695">
          <cell r="A695">
            <v>37741</v>
          </cell>
          <cell r="B695">
            <v>40</v>
          </cell>
          <cell r="C695">
            <v>1.8607007039102591E-3</v>
          </cell>
        </row>
        <row r="696">
          <cell r="A696">
            <v>37743</v>
          </cell>
          <cell r="B696">
            <v>0</v>
          </cell>
          <cell r="C696">
            <v>1.860722861512698E-3</v>
          </cell>
        </row>
        <row r="697">
          <cell r="A697">
            <v>37746</v>
          </cell>
          <cell r="B697">
            <v>20</v>
          </cell>
          <cell r="C697">
            <v>1.860722861512698E-3</v>
          </cell>
        </row>
        <row r="698">
          <cell r="A698">
            <v>37747</v>
          </cell>
          <cell r="B698">
            <v>0</v>
          </cell>
          <cell r="C698">
            <v>1.4597297736075763E-3</v>
          </cell>
        </row>
        <row r="699">
          <cell r="A699">
            <v>37748</v>
          </cell>
          <cell r="B699">
            <v>10</v>
          </cell>
          <cell r="C699">
            <v>1.7878542133047614E-3</v>
          </cell>
        </row>
        <row r="700">
          <cell r="A700">
            <v>37749</v>
          </cell>
          <cell r="B700">
            <v>0</v>
          </cell>
          <cell r="C700">
            <v>7.2991667800195227E-4</v>
          </cell>
        </row>
        <row r="701">
          <cell r="A701">
            <v>37750</v>
          </cell>
          <cell r="B701">
            <v>25</v>
          </cell>
          <cell r="C701">
            <v>1.459635610251806E-3</v>
          </cell>
        </row>
        <row r="702">
          <cell r="A702">
            <v>37753</v>
          </cell>
          <cell r="B702">
            <v>2</v>
          </cell>
          <cell r="C702">
            <v>1.3653376773451215E-3</v>
          </cell>
        </row>
        <row r="703">
          <cell r="A703">
            <v>37754</v>
          </cell>
          <cell r="B703">
            <v>0</v>
          </cell>
          <cell r="C703">
            <v>1.3653376773451215E-3</v>
          </cell>
        </row>
        <row r="704">
          <cell r="A704">
            <v>37757</v>
          </cell>
          <cell r="B704">
            <v>0</v>
          </cell>
          <cell r="C704">
            <v>1.4595791180654679E-3</v>
          </cell>
        </row>
        <row r="705">
          <cell r="A705">
            <v>37760</v>
          </cell>
          <cell r="B705">
            <v>139</v>
          </cell>
          <cell r="C705">
            <v>2.1271246746117803E-3</v>
          </cell>
        </row>
        <row r="706">
          <cell r="A706">
            <v>37761</v>
          </cell>
          <cell r="B706">
            <v>195</v>
          </cell>
          <cell r="C706">
            <v>1.9979279879345575E-3</v>
          </cell>
        </row>
        <row r="707">
          <cell r="A707">
            <v>37762</v>
          </cell>
          <cell r="B707">
            <v>340</v>
          </cell>
          <cell r="C707">
            <v>2.473480827133515E-3</v>
          </cell>
        </row>
        <row r="708">
          <cell r="A708">
            <v>37763</v>
          </cell>
          <cell r="B708">
            <v>1043</v>
          </cell>
          <cell r="C708">
            <v>4.6983613620107121E-3</v>
          </cell>
        </row>
        <row r="709">
          <cell r="A709">
            <v>37764</v>
          </cell>
          <cell r="B709">
            <v>0</v>
          </cell>
          <cell r="C709">
            <v>4.6983613620107121E-3</v>
          </cell>
        </row>
        <row r="710">
          <cell r="A710">
            <v>37767</v>
          </cell>
          <cell r="B710">
            <v>160</v>
          </cell>
          <cell r="C710">
            <v>4.6983613620106756E-3</v>
          </cell>
        </row>
        <row r="711">
          <cell r="A711">
            <v>37768</v>
          </cell>
          <cell r="B711">
            <v>0</v>
          </cell>
          <cell r="C711">
            <v>4.5253074035295614E-3</v>
          </cell>
        </row>
        <row r="712">
          <cell r="A712">
            <v>37769</v>
          </cell>
          <cell r="B712">
            <v>68</v>
          </cell>
          <cell r="C712">
            <v>2.9174600911129498E-3</v>
          </cell>
        </row>
        <row r="713">
          <cell r="A713">
            <v>37770</v>
          </cell>
          <cell r="B713">
            <v>1155</v>
          </cell>
          <cell r="C713">
            <v>2.3071573311508678E-3</v>
          </cell>
        </row>
        <row r="714">
          <cell r="A714">
            <v>37771</v>
          </cell>
          <cell r="B714">
            <v>0</v>
          </cell>
          <cell r="C714">
            <v>2.3071573311508678E-3</v>
          </cell>
        </row>
        <row r="715">
          <cell r="A715">
            <v>37774</v>
          </cell>
          <cell r="B715">
            <v>0</v>
          </cell>
          <cell r="C715">
            <v>1.4594567258960523E-3</v>
          </cell>
        </row>
        <row r="716">
          <cell r="A716">
            <v>37775</v>
          </cell>
          <cell r="B716">
            <v>200</v>
          </cell>
          <cell r="C716">
            <v>1.4594567258960523E-3</v>
          </cell>
        </row>
        <row r="717">
          <cell r="A717">
            <v>37776</v>
          </cell>
          <cell r="B717">
            <v>267</v>
          </cell>
          <cell r="C717">
            <v>1.4594567258953632E-3</v>
          </cell>
        </row>
        <row r="718">
          <cell r="A718">
            <v>37777</v>
          </cell>
          <cell r="B718">
            <v>320</v>
          </cell>
          <cell r="C718">
            <v>1.4594567258953632E-3</v>
          </cell>
        </row>
        <row r="719">
          <cell r="A719">
            <v>37778</v>
          </cell>
          <cell r="B719">
            <v>96</v>
          </cell>
          <cell r="C719">
            <v>1.4594284936164839E-3</v>
          </cell>
        </row>
        <row r="720">
          <cell r="A720">
            <v>37781</v>
          </cell>
          <cell r="B720">
            <v>0</v>
          </cell>
          <cell r="C720">
            <v>1.4594284936164839E-3</v>
          </cell>
        </row>
        <row r="721">
          <cell r="A721">
            <v>37782</v>
          </cell>
          <cell r="B721">
            <v>420</v>
          </cell>
          <cell r="C721">
            <v>1.4594284936164839E-3</v>
          </cell>
        </row>
        <row r="722">
          <cell r="A722">
            <v>37783</v>
          </cell>
          <cell r="B722">
            <v>1077</v>
          </cell>
          <cell r="C722">
            <v>7.2961541744301719E-4</v>
          </cell>
        </row>
        <row r="723">
          <cell r="A723">
            <v>37784</v>
          </cell>
          <cell r="B723">
            <v>0</v>
          </cell>
          <cell r="C723">
            <v>7.2961541744301719E-4</v>
          </cell>
        </row>
        <row r="724">
          <cell r="A724">
            <v>37785</v>
          </cell>
          <cell r="B724">
            <v>0</v>
          </cell>
          <cell r="C724">
            <v>0</v>
          </cell>
        </row>
        <row r="725">
          <cell r="A725">
            <v>37788</v>
          </cell>
          <cell r="B725">
            <v>350</v>
          </cell>
          <cell r="C725">
            <v>0</v>
          </cell>
        </row>
        <row r="726">
          <cell r="A726">
            <v>37789</v>
          </cell>
          <cell r="B726">
            <v>200</v>
          </cell>
          <cell r="C726">
            <v>0</v>
          </cell>
        </row>
        <row r="727">
          <cell r="A727">
            <v>37790</v>
          </cell>
          <cell r="B727">
            <v>138</v>
          </cell>
          <cell r="C727">
            <v>0</v>
          </cell>
        </row>
        <row r="728">
          <cell r="A728">
            <v>37791</v>
          </cell>
          <cell r="B728">
            <v>750</v>
          </cell>
          <cell r="C728">
            <v>7.2961541744242359E-4</v>
          </cell>
        </row>
        <row r="729">
          <cell r="A729">
            <v>37792</v>
          </cell>
          <cell r="B729">
            <v>0</v>
          </cell>
          <cell r="C729">
            <v>7.2961541744242359E-4</v>
          </cell>
        </row>
        <row r="730">
          <cell r="A730">
            <v>37795</v>
          </cell>
          <cell r="B730">
            <v>0</v>
          </cell>
          <cell r="C730">
            <v>7.2961541744242359E-4</v>
          </cell>
        </row>
        <row r="731">
          <cell r="A731">
            <v>37796</v>
          </cell>
          <cell r="B731">
            <v>200</v>
          </cell>
          <cell r="C731">
            <v>7.2961541744242359E-4</v>
          </cell>
        </row>
        <row r="732">
          <cell r="A732">
            <v>37797</v>
          </cell>
          <cell r="B732">
            <v>280</v>
          </cell>
          <cell r="C732">
            <v>7.2961541744242359E-4</v>
          </cell>
        </row>
        <row r="733">
          <cell r="A733">
            <v>37798</v>
          </cell>
          <cell r="B733">
            <v>845</v>
          </cell>
          <cell r="C733">
            <v>0</v>
          </cell>
        </row>
        <row r="734">
          <cell r="A734">
            <v>37799</v>
          </cell>
          <cell r="B734">
            <v>245</v>
          </cell>
          <cell r="C734">
            <v>7.2961541744301719E-4</v>
          </cell>
        </row>
        <row r="735">
          <cell r="A735">
            <v>37802</v>
          </cell>
          <cell r="B735">
            <v>5</v>
          </cell>
          <cell r="C735">
            <v>1.787254641405436E-3</v>
          </cell>
        </row>
        <row r="736">
          <cell r="A736">
            <v>37803</v>
          </cell>
          <cell r="B736">
            <v>200</v>
          </cell>
          <cell r="C736">
            <v>1.787254641405436E-3</v>
          </cell>
        </row>
        <row r="737">
          <cell r="A737">
            <v>37804</v>
          </cell>
          <cell r="B737">
            <v>0</v>
          </cell>
          <cell r="C737">
            <v>1.787254641405436E-3</v>
          </cell>
        </row>
        <row r="738">
          <cell r="A738">
            <v>37805</v>
          </cell>
          <cell r="B738">
            <v>37</v>
          </cell>
          <cell r="C738">
            <v>1.787254641405436E-3</v>
          </cell>
        </row>
        <row r="739">
          <cell r="A739">
            <v>37806</v>
          </cell>
          <cell r="B739">
            <v>980</v>
          </cell>
          <cell r="C739">
            <v>1.7874621749604353E-3</v>
          </cell>
        </row>
        <row r="740">
          <cell r="A740">
            <v>37809</v>
          </cell>
          <cell r="B740">
            <v>1110</v>
          </cell>
          <cell r="C740">
            <v>1.4596356102517581E-3</v>
          </cell>
        </row>
        <row r="741">
          <cell r="A741">
            <v>37810</v>
          </cell>
          <cell r="B741">
            <v>791</v>
          </cell>
          <cell r="C741">
            <v>1.4596356102517581E-3</v>
          </cell>
        </row>
        <row r="742">
          <cell r="A742">
            <v>37811</v>
          </cell>
          <cell r="B742">
            <v>700</v>
          </cell>
          <cell r="C742">
            <v>3.0531228863329447E-3</v>
          </cell>
        </row>
        <row r="743">
          <cell r="A743">
            <v>37812</v>
          </cell>
          <cell r="B743">
            <v>401</v>
          </cell>
          <cell r="C743">
            <v>3.384082297055128E-3</v>
          </cell>
        </row>
        <row r="744">
          <cell r="A744">
            <v>37813</v>
          </cell>
          <cell r="B744">
            <v>423</v>
          </cell>
          <cell r="C744">
            <v>3.3842122865805169E-3</v>
          </cell>
        </row>
        <row r="745">
          <cell r="A745">
            <v>37816</v>
          </cell>
          <cell r="B745">
            <v>202</v>
          </cell>
          <cell r="C745">
            <v>3.3842366703850449E-3</v>
          </cell>
        </row>
        <row r="746">
          <cell r="A746">
            <v>37817</v>
          </cell>
          <cell r="B746">
            <v>469</v>
          </cell>
          <cell r="C746">
            <v>4.2252813812258408E-3</v>
          </cell>
        </row>
        <row r="747">
          <cell r="A747">
            <v>37818</v>
          </cell>
          <cell r="B747">
            <v>411</v>
          </cell>
          <cell r="C747">
            <v>1.0209837486047918E-2</v>
          </cell>
        </row>
        <row r="748">
          <cell r="A748">
            <v>37819</v>
          </cell>
          <cell r="B748">
            <v>1541</v>
          </cell>
          <cell r="C748">
            <v>1.35501633387714E-2</v>
          </cell>
        </row>
        <row r="749">
          <cell r="A749">
            <v>37820</v>
          </cell>
          <cell r="B749">
            <v>2365</v>
          </cell>
          <cell r="C749">
            <v>1.3628538811157354E-2</v>
          </cell>
        </row>
        <row r="750">
          <cell r="A750">
            <v>37823</v>
          </cell>
          <cell r="B750">
            <v>6001</v>
          </cell>
          <cell r="C750">
            <v>1.3745470256894059E-2</v>
          </cell>
        </row>
        <row r="751">
          <cell r="A751">
            <v>37824</v>
          </cell>
          <cell r="B751">
            <v>1976</v>
          </cell>
          <cell r="C751">
            <v>1.3706707422909116E-2</v>
          </cell>
        </row>
        <row r="752">
          <cell r="A752">
            <v>37825</v>
          </cell>
          <cell r="B752">
            <v>1114</v>
          </cell>
          <cell r="C752">
            <v>8.7576365908488534E-3</v>
          </cell>
        </row>
        <row r="753">
          <cell r="A753">
            <v>37826</v>
          </cell>
          <cell r="B753">
            <v>464</v>
          </cell>
          <cell r="C753">
            <v>9.2885871303954905E-3</v>
          </cell>
        </row>
        <row r="754">
          <cell r="A754">
            <v>37827</v>
          </cell>
          <cell r="B754">
            <v>1790</v>
          </cell>
          <cell r="C754">
            <v>9.2163754934011192E-3</v>
          </cell>
        </row>
        <row r="755">
          <cell r="A755">
            <v>37830</v>
          </cell>
          <cell r="B755">
            <v>1865</v>
          </cell>
          <cell r="C755">
            <v>1.0440198150804393E-2</v>
          </cell>
        </row>
        <row r="756">
          <cell r="A756">
            <v>37831</v>
          </cell>
          <cell r="B756">
            <v>966</v>
          </cell>
          <cell r="C756">
            <v>1.3694359942147257E-2</v>
          </cell>
        </row>
        <row r="757">
          <cell r="A757">
            <v>37832</v>
          </cell>
          <cell r="B757">
            <v>281</v>
          </cell>
          <cell r="C757">
            <v>1.1763462981174887E-2</v>
          </cell>
        </row>
        <row r="758">
          <cell r="A758">
            <v>37833</v>
          </cell>
          <cell r="B758">
            <v>180</v>
          </cell>
          <cell r="C758">
            <v>1.0693509701682825E-2</v>
          </cell>
        </row>
        <row r="759">
          <cell r="A759">
            <v>37834</v>
          </cell>
          <cell r="B759">
            <v>223</v>
          </cell>
          <cell r="C759">
            <v>1.0693509701682825E-2</v>
          </cell>
        </row>
        <row r="760">
          <cell r="A760">
            <v>37837</v>
          </cell>
          <cell r="B760">
            <v>505</v>
          </cell>
          <cell r="C760">
            <v>8.7710781770330426E-3</v>
          </cell>
        </row>
        <row r="761">
          <cell r="A761">
            <v>37838</v>
          </cell>
          <cell r="B761">
            <v>894</v>
          </cell>
          <cell r="C761">
            <v>1.7891007643022986E-3</v>
          </cell>
        </row>
        <row r="762">
          <cell r="A762">
            <v>37839</v>
          </cell>
          <cell r="B762">
            <v>61</v>
          </cell>
          <cell r="C762">
            <v>8.9456193450029452E-4</v>
          </cell>
        </row>
        <row r="763">
          <cell r="A763">
            <v>37840</v>
          </cell>
          <cell r="B763">
            <v>142</v>
          </cell>
          <cell r="C763">
            <v>1.3664961709440103E-3</v>
          </cell>
        </row>
        <row r="764">
          <cell r="A764">
            <v>37841</v>
          </cell>
          <cell r="B764">
            <v>5</v>
          </cell>
          <cell r="C764">
            <v>1.3664961709440103E-3</v>
          </cell>
        </row>
        <row r="765">
          <cell r="A765">
            <v>37844</v>
          </cell>
          <cell r="B765">
            <v>96</v>
          </cell>
          <cell r="C765">
            <v>1.1549341353703035E-3</v>
          </cell>
        </row>
        <row r="766">
          <cell r="A766">
            <v>37845</v>
          </cell>
          <cell r="B766">
            <v>7</v>
          </cell>
          <cell r="C766">
            <v>1.8620977962999841E-3</v>
          </cell>
        </row>
        <row r="767">
          <cell r="A767">
            <v>37846</v>
          </cell>
          <cell r="B767">
            <v>1165</v>
          </cell>
          <cell r="C767">
            <v>3.0553303648112183E-3</v>
          </cell>
        </row>
        <row r="768">
          <cell r="A768">
            <v>37847</v>
          </cell>
          <cell r="B768">
            <v>479</v>
          </cell>
          <cell r="C768">
            <v>2.9214242971385466E-3</v>
          </cell>
        </row>
        <row r="769">
          <cell r="A769">
            <v>37848</v>
          </cell>
          <cell r="B769">
            <v>62</v>
          </cell>
          <cell r="C769">
            <v>3.7597754454650372E-3</v>
          </cell>
        </row>
        <row r="770">
          <cell r="A770">
            <v>37851</v>
          </cell>
          <cell r="B770">
            <v>548</v>
          </cell>
          <cell r="C770">
            <v>3.7597754454650372E-3</v>
          </cell>
        </row>
        <row r="771">
          <cell r="A771">
            <v>37852</v>
          </cell>
          <cell r="B771">
            <v>569</v>
          </cell>
          <cell r="C771">
            <v>3.4644445520718849E-3</v>
          </cell>
        </row>
        <row r="772">
          <cell r="A772">
            <v>37853</v>
          </cell>
          <cell r="B772">
            <v>222</v>
          </cell>
          <cell r="C772">
            <v>2.9214242971390986E-3</v>
          </cell>
        </row>
        <row r="773">
          <cell r="A773">
            <v>37854</v>
          </cell>
          <cell r="B773">
            <v>220</v>
          </cell>
          <cell r="C773">
            <v>2.9667173501624032E-3</v>
          </cell>
        </row>
        <row r="774">
          <cell r="A774">
            <v>37855</v>
          </cell>
          <cell r="B774">
            <v>990</v>
          </cell>
          <cell r="C774">
            <v>2.6836858241809131E-3</v>
          </cell>
        </row>
        <row r="775">
          <cell r="A775">
            <v>37858</v>
          </cell>
          <cell r="B775">
            <v>28</v>
          </cell>
          <cell r="C775">
            <v>5.0865320554219252E-3</v>
          </cell>
        </row>
        <row r="776">
          <cell r="A776">
            <v>37859</v>
          </cell>
          <cell r="B776">
            <v>889</v>
          </cell>
          <cell r="C776">
            <v>5.2413630027344765E-3</v>
          </cell>
        </row>
        <row r="777">
          <cell r="A777">
            <v>37860</v>
          </cell>
          <cell r="B777">
            <v>1733</v>
          </cell>
          <cell r="C777">
            <v>4.9535456329050055E-3</v>
          </cell>
        </row>
        <row r="778">
          <cell r="A778">
            <v>37861</v>
          </cell>
          <cell r="B778">
            <v>1358</v>
          </cell>
          <cell r="C778">
            <v>4.9803783535804259E-3</v>
          </cell>
        </row>
        <row r="779">
          <cell r="A779">
            <v>37862</v>
          </cell>
          <cell r="B779">
            <v>398</v>
          </cell>
          <cell r="C779">
            <v>3.7595814620772165E-3</v>
          </cell>
        </row>
        <row r="780">
          <cell r="A780">
            <v>37866</v>
          </cell>
          <cell r="B780">
            <v>521</v>
          </cell>
          <cell r="C780">
            <v>2.1285521278909102E-3</v>
          </cell>
        </row>
        <row r="781">
          <cell r="A781">
            <v>37867</v>
          </cell>
          <cell r="B781">
            <v>1067</v>
          </cell>
          <cell r="C781">
            <v>1.8614692159861664E-3</v>
          </cell>
        </row>
        <row r="782">
          <cell r="A782">
            <v>37868</v>
          </cell>
          <cell r="B782">
            <v>460</v>
          </cell>
          <cell r="C782">
            <v>1.8614913918949436E-3</v>
          </cell>
        </row>
        <row r="783">
          <cell r="A783">
            <v>37869</v>
          </cell>
          <cell r="B783">
            <v>359</v>
          </cell>
          <cell r="C783">
            <v>1.8615135805195679E-3</v>
          </cell>
        </row>
        <row r="784">
          <cell r="A784">
            <v>37872</v>
          </cell>
          <cell r="B784">
            <v>222</v>
          </cell>
          <cell r="C784">
            <v>3.1407302357546918E-3</v>
          </cell>
        </row>
        <row r="785">
          <cell r="A785">
            <v>37873</v>
          </cell>
          <cell r="B785">
            <v>530</v>
          </cell>
          <cell r="C785">
            <v>3.3856995662039455E-3</v>
          </cell>
        </row>
        <row r="786">
          <cell r="A786">
            <v>37874</v>
          </cell>
          <cell r="B786">
            <v>264</v>
          </cell>
          <cell r="C786">
            <v>3.8978217992327972E-3</v>
          </cell>
        </row>
        <row r="787">
          <cell r="A787">
            <v>37875</v>
          </cell>
          <cell r="B787">
            <v>562</v>
          </cell>
          <cell r="C787">
            <v>7.4793658955620628E-3</v>
          </cell>
        </row>
        <row r="788">
          <cell r="A788">
            <v>37876</v>
          </cell>
          <cell r="B788">
            <v>339</v>
          </cell>
          <cell r="C788">
            <v>8.9684935033989537E-3</v>
          </cell>
        </row>
        <row r="789">
          <cell r="A789">
            <v>37879</v>
          </cell>
          <cell r="B789">
            <v>145</v>
          </cell>
          <cell r="C789">
            <v>8.8336656512443632E-3</v>
          </cell>
        </row>
        <row r="790">
          <cell r="A790">
            <v>37880</v>
          </cell>
          <cell r="B790">
            <v>143</v>
          </cell>
          <cell r="C790">
            <v>8.7426961604544686E-3</v>
          </cell>
        </row>
        <row r="791">
          <cell r="A791">
            <v>37881</v>
          </cell>
          <cell r="B791">
            <v>41</v>
          </cell>
          <cell r="C791">
            <v>8.2728027331916334E-3</v>
          </cell>
        </row>
        <row r="792">
          <cell r="A792">
            <v>37882</v>
          </cell>
          <cell r="B792">
            <v>1015</v>
          </cell>
          <cell r="C792">
            <v>8.5918871977891786E-3</v>
          </cell>
        </row>
        <row r="793">
          <cell r="A793">
            <v>37883</v>
          </cell>
          <cell r="B793">
            <v>25</v>
          </cell>
          <cell r="C793">
            <v>8.5931208268295433E-3</v>
          </cell>
        </row>
        <row r="794">
          <cell r="A794">
            <v>37886</v>
          </cell>
          <cell r="B794">
            <v>470</v>
          </cell>
          <cell r="C794">
            <v>8.2122949111053441E-3</v>
          </cell>
        </row>
        <row r="795">
          <cell r="A795">
            <v>37887</v>
          </cell>
          <cell r="B795">
            <v>757</v>
          </cell>
          <cell r="C795">
            <v>1.2996598606906105E-2</v>
          </cell>
        </row>
        <row r="796">
          <cell r="A796">
            <v>37888</v>
          </cell>
          <cell r="B796">
            <v>291</v>
          </cell>
          <cell r="C796">
            <v>1.3440658553686398E-2</v>
          </cell>
        </row>
        <row r="797">
          <cell r="A797">
            <v>37889</v>
          </cell>
          <cell r="B797">
            <v>744</v>
          </cell>
          <cell r="C797">
            <v>1.0231095565880075E-2</v>
          </cell>
        </row>
        <row r="798">
          <cell r="A798">
            <v>37890</v>
          </cell>
          <cell r="B798">
            <v>595</v>
          </cell>
          <cell r="C798">
            <v>9.4147538428238416E-3</v>
          </cell>
        </row>
        <row r="799">
          <cell r="A799">
            <v>37893</v>
          </cell>
          <cell r="B799">
            <v>350</v>
          </cell>
          <cell r="C799">
            <v>7.7841175592559516E-3</v>
          </cell>
        </row>
        <row r="800">
          <cell r="A800">
            <v>37894</v>
          </cell>
          <cell r="B800">
            <v>715</v>
          </cell>
          <cell r="C800">
            <v>5.3403669358488524E-3</v>
          </cell>
        </row>
        <row r="801">
          <cell r="A801">
            <v>37895</v>
          </cell>
          <cell r="B801">
            <v>94</v>
          </cell>
          <cell r="C801">
            <v>4.470500804569762E-3</v>
          </cell>
        </row>
        <row r="802">
          <cell r="A802">
            <v>37896</v>
          </cell>
          <cell r="B802">
            <v>187</v>
          </cell>
          <cell r="C802">
            <v>2.6823004814713102E-3</v>
          </cell>
        </row>
        <row r="803">
          <cell r="A803">
            <v>37897</v>
          </cell>
          <cell r="B803">
            <v>409</v>
          </cell>
          <cell r="C803">
            <v>3.2658670209419496E-3</v>
          </cell>
        </row>
        <row r="804">
          <cell r="A804">
            <v>37900</v>
          </cell>
          <cell r="B804">
            <v>176</v>
          </cell>
          <cell r="C804">
            <v>3.26681617711888E-3</v>
          </cell>
        </row>
        <row r="805">
          <cell r="A805">
            <v>37901</v>
          </cell>
          <cell r="B805">
            <v>549</v>
          </cell>
          <cell r="C805">
            <v>5.4669127753495623E-3</v>
          </cell>
        </row>
        <row r="806">
          <cell r="A806">
            <v>37902</v>
          </cell>
          <cell r="B806">
            <v>547</v>
          </cell>
          <cell r="C806">
            <v>7.448820973030886E-3</v>
          </cell>
        </row>
        <row r="807">
          <cell r="A807">
            <v>37903</v>
          </cell>
          <cell r="B807">
            <v>179</v>
          </cell>
          <cell r="C807">
            <v>7.448820973030886E-3</v>
          </cell>
        </row>
        <row r="808">
          <cell r="A808">
            <v>37904</v>
          </cell>
          <cell r="B808">
            <v>1454</v>
          </cell>
          <cell r="C808">
            <v>8.8207261635095489E-3</v>
          </cell>
        </row>
        <row r="809">
          <cell r="A809">
            <v>37907</v>
          </cell>
          <cell r="B809">
            <v>299</v>
          </cell>
          <cell r="C809">
            <v>9.9519059741576734E-3</v>
          </cell>
        </row>
        <row r="810">
          <cell r="A810">
            <v>37908</v>
          </cell>
          <cell r="B810">
            <v>196</v>
          </cell>
          <cell r="C810">
            <v>1.0422418336718291E-2</v>
          </cell>
        </row>
        <row r="811">
          <cell r="A811">
            <v>37909</v>
          </cell>
          <cell r="B811">
            <v>460</v>
          </cell>
          <cell r="C811">
            <v>9.6243062909716383E-3</v>
          </cell>
        </row>
        <row r="812">
          <cell r="A812">
            <v>37910</v>
          </cell>
          <cell r="B812">
            <v>776</v>
          </cell>
          <cell r="C812">
            <v>9.9509722917875323E-3</v>
          </cell>
        </row>
        <row r="813">
          <cell r="A813">
            <v>37911</v>
          </cell>
          <cell r="B813">
            <v>393</v>
          </cell>
          <cell r="C813">
            <v>4.2561610340757271E-3</v>
          </cell>
        </row>
        <row r="814">
          <cell r="A814">
            <v>37914</v>
          </cell>
          <cell r="B814">
            <v>70</v>
          </cell>
          <cell r="C814">
            <v>3.6522985652046882E-3</v>
          </cell>
        </row>
        <row r="815">
          <cell r="A815">
            <v>37915</v>
          </cell>
          <cell r="B815">
            <v>198</v>
          </cell>
          <cell r="C815">
            <v>6.3684375718753511E-3</v>
          </cell>
        </row>
        <row r="816">
          <cell r="A816">
            <v>37916</v>
          </cell>
          <cell r="B816">
            <v>1068</v>
          </cell>
          <cell r="C816">
            <v>6.2201320974902569E-3</v>
          </cell>
        </row>
        <row r="817">
          <cell r="A817">
            <v>37917</v>
          </cell>
          <cell r="B817">
            <v>51</v>
          </cell>
          <cell r="C817">
            <v>8.8713037563906989E-3</v>
          </cell>
        </row>
        <row r="818">
          <cell r="A818">
            <v>37921</v>
          </cell>
          <cell r="B818">
            <v>532</v>
          </cell>
          <cell r="C818">
            <v>7.0636444086095117E-3</v>
          </cell>
        </row>
        <row r="819">
          <cell r="A819">
            <v>37922</v>
          </cell>
          <cell r="B819">
            <v>664</v>
          </cell>
          <cell r="C819">
            <v>7.0616082269055807E-3</v>
          </cell>
        </row>
        <row r="820">
          <cell r="A820">
            <v>37923</v>
          </cell>
          <cell r="B820">
            <v>47</v>
          </cell>
          <cell r="C820">
            <v>6.8308284985055335E-3</v>
          </cell>
        </row>
        <row r="821">
          <cell r="A821">
            <v>37924</v>
          </cell>
          <cell r="B821">
            <v>28</v>
          </cell>
          <cell r="C821">
            <v>6.6727470164978679E-3</v>
          </cell>
        </row>
        <row r="822">
          <cell r="A822">
            <v>37925</v>
          </cell>
          <cell r="B822">
            <v>0</v>
          </cell>
          <cell r="C822">
            <v>4.0645522588823382E-3</v>
          </cell>
        </row>
        <row r="823">
          <cell r="A823">
            <v>37928</v>
          </cell>
          <cell r="B823">
            <v>139</v>
          </cell>
          <cell r="C823">
            <v>4.0658525527668471E-3</v>
          </cell>
        </row>
        <row r="824">
          <cell r="A824">
            <v>37929</v>
          </cell>
          <cell r="B824">
            <v>143</v>
          </cell>
          <cell r="C824">
            <v>9.2898936842550038E-3</v>
          </cell>
        </row>
        <row r="825">
          <cell r="A825">
            <v>37930</v>
          </cell>
          <cell r="B825">
            <v>340</v>
          </cell>
          <cell r="C825">
            <v>9.9027800468077885E-3</v>
          </cell>
        </row>
        <row r="826">
          <cell r="A826">
            <v>37931</v>
          </cell>
          <cell r="B826">
            <v>1805</v>
          </cell>
          <cell r="C826">
            <v>1.014276128101522E-2</v>
          </cell>
        </row>
        <row r="827">
          <cell r="A827">
            <v>37932</v>
          </cell>
          <cell r="B827">
            <v>718</v>
          </cell>
          <cell r="C827">
            <v>1.014276128101522E-2</v>
          </cell>
        </row>
        <row r="828">
          <cell r="A828">
            <v>37935</v>
          </cell>
          <cell r="B828">
            <v>211</v>
          </cell>
          <cell r="C828">
            <v>1.0143782163517828E-2</v>
          </cell>
        </row>
        <row r="829">
          <cell r="A829">
            <v>37936</v>
          </cell>
          <cell r="B829">
            <v>602</v>
          </cell>
          <cell r="C829">
            <v>5.4985015685569604E-3</v>
          </cell>
        </row>
        <row r="830">
          <cell r="A830">
            <v>37937</v>
          </cell>
          <cell r="B830">
            <v>533</v>
          </cell>
          <cell r="C830">
            <v>5.7363953710195831E-3</v>
          </cell>
        </row>
        <row r="831">
          <cell r="A831">
            <v>37938</v>
          </cell>
          <cell r="B831">
            <v>687</v>
          </cell>
          <cell r="C831">
            <v>5.7363881393211868E-3</v>
          </cell>
        </row>
        <row r="832">
          <cell r="A832">
            <v>37939</v>
          </cell>
          <cell r="B832">
            <v>370</v>
          </cell>
          <cell r="C832">
            <v>6.6023946014067917E-3</v>
          </cell>
        </row>
        <row r="833">
          <cell r="A833">
            <v>37942</v>
          </cell>
          <cell r="B833">
            <v>418</v>
          </cell>
          <cell r="C833">
            <v>3.7615517618393118E-3</v>
          </cell>
        </row>
        <row r="834">
          <cell r="A834">
            <v>37943</v>
          </cell>
          <cell r="B834">
            <v>360</v>
          </cell>
          <cell r="C834">
            <v>6.0473129986260369E-3</v>
          </cell>
        </row>
        <row r="835">
          <cell r="A835">
            <v>37944</v>
          </cell>
          <cell r="B835">
            <v>132</v>
          </cell>
          <cell r="C835">
            <v>6.1782390795876822E-3</v>
          </cell>
        </row>
        <row r="836">
          <cell r="A836">
            <v>37945</v>
          </cell>
          <cell r="B836">
            <v>330</v>
          </cell>
          <cell r="C836">
            <v>6.1782390795876822E-3</v>
          </cell>
        </row>
        <row r="837">
          <cell r="A837">
            <v>37946</v>
          </cell>
          <cell r="B837">
            <v>235</v>
          </cell>
          <cell r="C837">
            <v>8.6099878777223977E-3</v>
          </cell>
        </row>
        <row r="838">
          <cell r="A838">
            <v>37952</v>
          </cell>
          <cell r="B838">
            <v>1</v>
          </cell>
          <cell r="C838">
            <v>8.3728979472057104E-3</v>
          </cell>
        </row>
        <row r="839">
          <cell r="A839">
            <v>37953</v>
          </cell>
          <cell r="B839">
            <v>2450</v>
          </cell>
          <cell r="C839">
            <v>1.334056904627653E-2</v>
          </cell>
        </row>
        <row r="840">
          <cell r="A840">
            <v>37956</v>
          </cell>
          <cell r="B840">
            <v>390</v>
          </cell>
          <cell r="C840">
            <v>1.3330564609935111E-2</v>
          </cell>
        </row>
        <row r="841">
          <cell r="A841">
            <v>37957</v>
          </cell>
          <cell r="B841">
            <v>934</v>
          </cell>
          <cell r="C841">
            <v>1.3310539388385674E-2</v>
          </cell>
        </row>
        <row r="842">
          <cell r="A842">
            <v>37958</v>
          </cell>
          <cell r="B842">
            <v>1577</v>
          </cell>
          <cell r="C842">
            <v>1.1152788834936402E-2</v>
          </cell>
        </row>
        <row r="843">
          <cell r="A843">
            <v>37959</v>
          </cell>
          <cell r="B843">
            <v>826</v>
          </cell>
          <cell r="C843">
            <v>1.0412310703868661E-2</v>
          </cell>
        </row>
        <row r="844">
          <cell r="A844">
            <v>37960</v>
          </cell>
          <cell r="B844">
            <v>187</v>
          </cell>
          <cell r="C844">
            <v>2.1283065820456317E-3</v>
          </cell>
        </row>
        <row r="845">
          <cell r="A845">
            <v>37963</v>
          </cell>
          <cell r="B845">
            <v>28</v>
          </cell>
          <cell r="C845">
            <v>2.4745524750170761E-3</v>
          </cell>
        </row>
        <row r="846">
          <cell r="A846">
            <v>37964</v>
          </cell>
          <cell r="B846">
            <v>429</v>
          </cell>
          <cell r="C846">
            <v>6.0388430112175255E-3</v>
          </cell>
        </row>
        <row r="847">
          <cell r="A847">
            <v>37965</v>
          </cell>
          <cell r="B847">
            <v>338</v>
          </cell>
          <cell r="C847">
            <v>6.7863527002885188E-3</v>
          </cell>
        </row>
        <row r="848">
          <cell r="A848">
            <v>37966</v>
          </cell>
          <cell r="B848">
            <v>1319</v>
          </cell>
          <cell r="C848">
            <v>6.6680408746883496E-3</v>
          </cell>
        </row>
        <row r="849">
          <cell r="A849">
            <v>37967</v>
          </cell>
          <cell r="B849">
            <v>409</v>
          </cell>
          <cell r="C849">
            <v>6.4239272130842571E-3</v>
          </cell>
        </row>
        <row r="850">
          <cell r="A850">
            <v>37970</v>
          </cell>
          <cell r="B850">
            <v>102</v>
          </cell>
          <cell r="C850">
            <v>5.816958104511015E-3</v>
          </cell>
        </row>
        <row r="851">
          <cell r="A851">
            <v>37971</v>
          </cell>
          <cell r="B851">
            <v>72</v>
          </cell>
          <cell r="C851">
            <v>7.0593462238546694E-3</v>
          </cell>
        </row>
        <row r="852">
          <cell r="A852">
            <v>37972</v>
          </cell>
          <cell r="B852">
            <v>227</v>
          </cell>
          <cell r="C852">
            <v>5.5845188575701765E-3</v>
          </cell>
        </row>
        <row r="853">
          <cell r="A853">
            <v>37973</v>
          </cell>
          <cell r="B853">
            <v>337</v>
          </cell>
          <cell r="C853">
            <v>1.359514304837289E-2</v>
          </cell>
        </row>
        <row r="854">
          <cell r="A854">
            <v>37974</v>
          </cell>
          <cell r="B854">
            <v>293</v>
          </cell>
          <cell r="C854">
            <v>1.3516366900318454E-2</v>
          </cell>
        </row>
        <row r="855">
          <cell r="A855">
            <v>37977</v>
          </cell>
          <cell r="B855">
            <v>503</v>
          </cell>
          <cell r="C855">
            <v>1.3781302523781199E-2</v>
          </cell>
        </row>
        <row r="856">
          <cell r="A856">
            <v>37978</v>
          </cell>
          <cell r="B856">
            <v>10</v>
          </cell>
          <cell r="C856">
            <v>1.235379916943408E-2</v>
          </cell>
        </row>
        <row r="857">
          <cell r="A857">
            <v>37979</v>
          </cell>
          <cell r="B857">
            <v>511</v>
          </cell>
          <cell r="C857">
            <v>1.3470818105919439E-2</v>
          </cell>
        </row>
        <row r="858">
          <cell r="A858">
            <v>37981</v>
          </cell>
          <cell r="B858">
            <v>0</v>
          </cell>
          <cell r="C858">
            <v>6.373158110128058E-3</v>
          </cell>
        </row>
        <row r="859">
          <cell r="A859">
            <v>37984</v>
          </cell>
          <cell r="B859">
            <v>610</v>
          </cell>
          <cell r="C859">
            <v>6.1815615013732844E-3</v>
          </cell>
        </row>
        <row r="860">
          <cell r="A860">
            <v>37985</v>
          </cell>
          <cell r="B860">
            <v>0</v>
          </cell>
          <cell r="C860">
            <v>5.246368880926275E-3</v>
          </cell>
        </row>
        <row r="861">
          <cell r="A861">
            <v>37986</v>
          </cell>
          <cell r="B861">
            <v>386</v>
          </cell>
          <cell r="C861">
            <v>3.5437455995920492E-3</v>
          </cell>
        </row>
        <row r="862">
          <cell r="A862">
            <v>37988</v>
          </cell>
          <cell r="B862">
            <v>2204</v>
          </cell>
          <cell r="C862">
            <v>3.0575410377149032E-3</v>
          </cell>
        </row>
        <row r="863">
          <cell r="A863">
            <v>37991</v>
          </cell>
          <cell r="B863">
            <v>1465</v>
          </cell>
          <cell r="C863">
            <v>6.596464968398468E-3</v>
          </cell>
        </row>
        <row r="864">
          <cell r="A864">
            <v>37992</v>
          </cell>
          <cell r="B864">
            <v>1498</v>
          </cell>
          <cell r="C864">
            <v>7.6629369136569049E-3</v>
          </cell>
        </row>
        <row r="865">
          <cell r="A865">
            <v>37993</v>
          </cell>
          <cell r="B865">
            <v>2663</v>
          </cell>
          <cell r="C865">
            <v>8.6901174360301432E-3</v>
          </cell>
        </row>
        <row r="866">
          <cell r="A866">
            <v>37994</v>
          </cell>
          <cell r="B866">
            <v>2728</v>
          </cell>
          <cell r="C866">
            <v>9.3394567562267768E-3</v>
          </cell>
        </row>
        <row r="867">
          <cell r="A867">
            <v>37995</v>
          </cell>
          <cell r="B867">
            <v>1600</v>
          </cell>
          <cell r="C867">
            <v>1.3294364899517424E-2</v>
          </cell>
        </row>
        <row r="868">
          <cell r="A868">
            <v>37998</v>
          </cell>
          <cell r="B868">
            <v>1127</v>
          </cell>
          <cell r="C868">
            <v>1.2486114607575934E-2</v>
          </cell>
        </row>
        <row r="869">
          <cell r="A869">
            <v>37999</v>
          </cell>
          <cell r="B869">
            <v>1182</v>
          </cell>
          <cell r="C869">
            <v>1.1861486787607253E-2</v>
          </cell>
        </row>
        <row r="870">
          <cell r="A870">
            <v>38000</v>
          </cell>
          <cell r="B870">
            <v>1946</v>
          </cell>
          <cell r="C870">
            <v>1.0789931620054906E-2</v>
          </cell>
        </row>
      </sheetData>
      <sheetData sheetId="7">
        <row r="2">
          <cell r="B2" t="str">
            <v>Settlement Price</v>
          </cell>
          <cell r="N2" t="str">
            <v xml:space="preserve">Volume </v>
          </cell>
          <cell r="O2" t="str">
            <v>Open Position</v>
          </cell>
        </row>
        <row r="200">
          <cell r="A200">
            <v>37631</v>
          </cell>
          <cell r="B200">
            <v>112.89</v>
          </cell>
          <cell r="N200">
            <v>472</v>
          </cell>
          <cell r="O200">
            <v>5837</v>
          </cell>
        </row>
        <row r="201">
          <cell r="A201">
            <v>37634</v>
          </cell>
          <cell r="B201">
            <v>112.78</v>
          </cell>
          <cell r="N201">
            <v>805</v>
          </cell>
          <cell r="O201">
            <v>6022</v>
          </cell>
        </row>
        <row r="202">
          <cell r="A202">
            <v>37635</v>
          </cell>
          <cell r="B202">
            <v>112.85</v>
          </cell>
          <cell r="N202">
            <v>170</v>
          </cell>
          <cell r="O202">
            <v>6022</v>
          </cell>
        </row>
        <row r="203">
          <cell r="A203">
            <v>37636</v>
          </cell>
          <cell r="B203">
            <v>112.86</v>
          </cell>
          <cell r="N203">
            <v>70</v>
          </cell>
          <cell r="O203">
            <v>6012</v>
          </cell>
        </row>
        <row r="204">
          <cell r="A204">
            <v>37637</v>
          </cell>
          <cell r="B204">
            <v>112.9</v>
          </cell>
          <cell r="N204">
            <v>635</v>
          </cell>
          <cell r="O204">
            <v>5952</v>
          </cell>
        </row>
        <row r="205">
          <cell r="A205">
            <v>37638</v>
          </cell>
          <cell r="B205">
            <v>112.91</v>
          </cell>
          <cell r="N205">
            <v>1150</v>
          </cell>
          <cell r="O205">
            <v>6033</v>
          </cell>
        </row>
        <row r="206">
          <cell r="A206">
            <v>37641</v>
          </cell>
          <cell r="B206">
            <v>112.91</v>
          </cell>
          <cell r="N206">
            <v>350</v>
          </cell>
          <cell r="O206">
            <v>6123</v>
          </cell>
        </row>
        <row r="207">
          <cell r="A207">
            <v>37642</v>
          </cell>
          <cell r="B207">
            <v>112.91</v>
          </cell>
          <cell r="N207">
            <v>370</v>
          </cell>
          <cell r="O207">
            <v>6383</v>
          </cell>
        </row>
        <row r="208">
          <cell r="A208">
            <v>37643</v>
          </cell>
          <cell r="B208">
            <v>112.92</v>
          </cell>
          <cell r="N208">
            <v>0</v>
          </cell>
          <cell r="O208">
            <v>6383</v>
          </cell>
        </row>
        <row r="209">
          <cell r="A209">
            <v>37644</v>
          </cell>
          <cell r="B209">
            <v>112.98</v>
          </cell>
          <cell r="N209">
            <v>585</v>
          </cell>
          <cell r="O209">
            <v>6658</v>
          </cell>
        </row>
        <row r="210">
          <cell r="A210">
            <v>37645</v>
          </cell>
          <cell r="B210">
            <v>113.1</v>
          </cell>
          <cell r="N210">
            <v>2245</v>
          </cell>
          <cell r="O210">
            <v>7388</v>
          </cell>
        </row>
        <row r="211">
          <cell r="A211">
            <v>37648</v>
          </cell>
          <cell r="B211">
            <v>113.17</v>
          </cell>
          <cell r="N211">
            <v>1790</v>
          </cell>
          <cell r="O211">
            <v>7268</v>
          </cell>
        </row>
        <row r="212">
          <cell r="A212">
            <v>37649</v>
          </cell>
          <cell r="B212">
            <v>113.12</v>
          </cell>
          <cell r="N212">
            <v>555</v>
          </cell>
          <cell r="O212">
            <v>7243</v>
          </cell>
        </row>
        <row r="213">
          <cell r="A213">
            <v>37650</v>
          </cell>
          <cell r="B213">
            <v>113.1</v>
          </cell>
          <cell r="N213">
            <v>590</v>
          </cell>
          <cell r="O213">
            <v>7263</v>
          </cell>
        </row>
        <row r="214">
          <cell r="A214">
            <v>37651</v>
          </cell>
          <cell r="B214">
            <v>113.08</v>
          </cell>
          <cell r="N214">
            <v>1332</v>
          </cell>
          <cell r="O214">
            <v>7563</v>
          </cell>
        </row>
        <row r="215">
          <cell r="A215">
            <v>37657</v>
          </cell>
          <cell r="B215">
            <v>113.12</v>
          </cell>
          <cell r="N215">
            <v>520</v>
          </cell>
          <cell r="O215">
            <v>7563</v>
          </cell>
        </row>
        <row r="216">
          <cell r="A216">
            <v>37658</v>
          </cell>
          <cell r="B216">
            <v>113.12</v>
          </cell>
          <cell r="N216">
            <v>0</v>
          </cell>
          <cell r="O216">
            <v>7563</v>
          </cell>
        </row>
        <row r="217">
          <cell r="A217">
            <v>37659</v>
          </cell>
          <cell r="B217">
            <v>113.12</v>
          </cell>
          <cell r="N217">
            <v>0</v>
          </cell>
          <cell r="O217">
            <v>7563</v>
          </cell>
        </row>
        <row r="218">
          <cell r="A218">
            <v>37662</v>
          </cell>
          <cell r="B218">
            <v>113.22</v>
          </cell>
          <cell r="N218">
            <v>150</v>
          </cell>
          <cell r="O218">
            <v>7533</v>
          </cell>
        </row>
        <row r="219">
          <cell r="A219">
            <v>37663</v>
          </cell>
          <cell r="B219">
            <v>113.24</v>
          </cell>
          <cell r="N219">
            <v>260</v>
          </cell>
          <cell r="O219">
            <v>7603</v>
          </cell>
        </row>
        <row r="220">
          <cell r="A220">
            <v>37665</v>
          </cell>
          <cell r="B220">
            <v>113.3</v>
          </cell>
          <cell r="N220">
            <v>2070</v>
          </cell>
          <cell r="O220">
            <v>8663</v>
          </cell>
        </row>
        <row r="221">
          <cell r="A221">
            <v>37666</v>
          </cell>
          <cell r="B221">
            <v>113.29</v>
          </cell>
          <cell r="N221">
            <v>150</v>
          </cell>
          <cell r="O221">
            <v>8623</v>
          </cell>
        </row>
        <row r="222">
          <cell r="A222">
            <v>37669</v>
          </cell>
          <cell r="B222">
            <v>113.28</v>
          </cell>
          <cell r="N222">
            <v>600</v>
          </cell>
          <cell r="O222">
            <v>8473</v>
          </cell>
        </row>
        <row r="223">
          <cell r="A223">
            <v>37670</v>
          </cell>
          <cell r="B223">
            <v>113.3</v>
          </cell>
          <cell r="N223">
            <v>52</v>
          </cell>
          <cell r="O223">
            <v>8525</v>
          </cell>
        </row>
        <row r="224">
          <cell r="A224">
            <v>37671</v>
          </cell>
          <cell r="B224">
            <v>113.3</v>
          </cell>
          <cell r="N224">
            <v>1780</v>
          </cell>
          <cell r="O224">
            <v>8985</v>
          </cell>
        </row>
        <row r="225">
          <cell r="A225">
            <v>37672</v>
          </cell>
          <cell r="B225">
            <v>113.33</v>
          </cell>
          <cell r="N225">
            <v>1070</v>
          </cell>
          <cell r="O225">
            <v>8865</v>
          </cell>
        </row>
        <row r="226">
          <cell r="A226">
            <v>37673</v>
          </cell>
          <cell r="B226">
            <v>113.24</v>
          </cell>
          <cell r="N226">
            <v>750</v>
          </cell>
          <cell r="O226">
            <v>8965</v>
          </cell>
        </row>
        <row r="227">
          <cell r="A227">
            <v>37676</v>
          </cell>
          <cell r="B227">
            <v>113.24</v>
          </cell>
          <cell r="N227">
            <v>300</v>
          </cell>
          <cell r="O227">
            <v>8985</v>
          </cell>
        </row>
        <row r="228">
          <cell r="A228">
            <v>37677</v>
          </cell>
          <cell r="B228">
            <v>113.24</v>
          </cell>
          <cell r="N228">
            <v>350</v>
          </cell>
          <cell r="O228">
            <v>8945</v>
          </cell>
        </row>
        <row r="229">
          <cell r="A229">
            <v>37678</v>
          </cell>
          <cell r="B229">
            <v>113.2</v>
          </cell>
          <cell r="N229">
            <v>485</v>
          </cell>
          <cell r="O229">
            <v>9180</v>
          </cell>
        </row>
        <row r="230">
          <cell r="A230">
            <v>37679</v>
          </cell>
          <cell r="B230">
            <v>113.1</v>
          </cell>
          <cell r="N230">
            <v>1350</v>
          </cell>
          <cell r="O230">
            <v>9245</v>
          </cell>
        </row>
        <row r="231">
          <cell r="A231">
            <v>37680</v>
          </cell>
          <cell r="B231">
            <v>113.09</v>
          </cell>
          <cell r="N231">
            <v>2000</v>
          </cell>
          <cell r="O231">
            <v>9505</v>
          </cell>
        </row>
        <row r="232">
          <cell r="A232">
            <v>37683</v>
          </cell>
          <cell r="B232">
            <v>113.13</v>
          </cell>
          <cell r="N232">
            <v>350</v>
          </cell>
          <cell r="O232">
            <v>9319</v>
          </cell>
        </row>
        <row r="233">
          <cell r="A233">
            <v>37685</v>
          </cell>
          <cell r="B233">
            <v>113.27</v>
          </cell>
          <cell r="N233">
            <v>820</v>
          </cell>
          <cell r="O233">
            <v>8744</v>
          </cell>
        </row>
        <row r="234">
          <cell r="A234">
            <v>37686</v>
          </cell>
          <cell r="B234">
            <v>113.22</v>
          </cell>
          <cell r="N234">
            <v>110</v>
          </cell>
          <cell r="O234">
            <v>8744</v>
          </cell>
        </row>
        <row r="235">
          <cell r="A235">
            <v>37687</v>
          </cell>
          <cell r="B235">
            <v>113.2</v>
          </cell>
          <cell r="N235">
            <v>110</v>
          </cell>
          <cell r="O235">
            <v>8794</v>
          </cell>
        </row>
        <row r="236">
          <cell r="A236">
            <v>37690</v>
          </cell>
          <cell r="B236">
            <v>113.3</v>
          </cell>
          <cell r="N236">
            <v>100</v>
          </cell>
          <cell r="O236">
            <v>8564</v>
          </cell>
        </row>
        <row r="237">
          <cell r="A237">
            <v>37691</v>
          </cell>
          <cell r="B237">
            <v>113.27</v>
          </cell>
          <cell r="N237">
            <v>530</v>
          </cell>
          <cell r="O237">
            <v>8384</v>
          </cell>
        </row>
        <row r="238">
          <cell r="A238">
            <v>37692</v>
          </cell>
          <cell r="B238">
            <v>113.27</v>
          </cell>
          <cell r="N238">
            <v>22</v>
          </cell>
          <cell r="O238">
            <v>8364</v>
          </cell>
        </row>
        <row r="239">
          <cell r="A239">
            <v>37693</v>
          </cell>
          <cell r="B239">
            <v>113.18</v>
          </cell>
          <cell r="N239">
            <v>974</v>
          </cell>
          <cell r="O239">
            <v>8009</v>
          </cell>
        </row>
        <row r="240">
          <cell r="A240">
            <v>37694</v>
          </cell>
          <cell r="B240">
            <v>113.15</v>
          </cell>
          <cell r="N240">
            <v>1267</v>
          </cell>
          <cell r="O240">
            <v>8228</v>
          </cell>
        </row>
        <row r="241">
          <cell r="A241">
            <v>37697</v>
          </cell>
          <cell r="B241">
            <v>113.24</v>
          </cell>
          <cell r="N241">
            <v>815</v>
          </cell>
          <cell r="O241">
            <v>8273</v>
          </cell>
        </row>
        <row r="242">
          <cell r="A242">
            <v>37698</v>
          </cell>
          <cell r="B242">
            <v>113.19</v>
          </cell>
          <cell r="N242">
            <v>170</v>
          </cell>
          <cell r="O242">
            <v>8258</v>
          </cell>
        </row>
        <row r="243">
          <cell r="A243">
            <v>37699</v>
          </cell>
          <cell r="B243">
            <v>113.19</v>
          </cell>
          <cell r="N243">
            <v>450</v>
          </cell>
          <cell r="O243">
            <v>5253</v>
          </cell>
        </row>
        <row r="244">
          <cell r="A244">
            <v>37700</v>
          </cell>
          <cell r="B244">
            <v>112.8</v>
          </cell>
          <cell r="N244">
            <v>550</v>
          </cell>
          <cell r="O244">
            <v>5663</v>
          </cell>
        </row>
        <row r="245">
          <cell r="A245">
            <v>37701</v>
          </cell>
          <cell r="B245">
            <v>112.89</v>
          </cell>
          <cell r="N245">
            <v>170</v>
          </cell>
          <cell r="O245">
            <v>5783</v>
          </cell>
        </row>
        <row r="246">
          <cell r="A246">
            <v>37704</v>
          </cell>
          <cell r="B246">
            <v>112.95</v>
          </cell>
          <cell r="N246">
            <v>520</v>
          </cell>
          <cell r="O246">
            <v>5613</v>
          </cell>
        </row>
        <row r="247">
          <cell r="A247">
            <v>37705</v>
          </cell>
          <cell r="B247">
            <v>113.04</v>
          </cell>
          <cell r="N247">
            <v>1140</v>
          </cell>
          <cell r="O247">
            <v>5738</v>
          </cell>
        </row>
        <row r="248">
          <cell r="A248">
            <v>37706</v>
          </cell>
          <cell r="B248">
            <v>113.07</v>
          </cell>
          <cell r="N248">
            <v>2870</v>
          </cell>
          <cell r="O248">
            <v>6104</v>
          </cell>
        </row>
        <row r="249">
          <cell r="A249">
            <v>37707</v>
          </cell>
          <cell r="B249">
            <v>113.07</v>
          </cell>
          <cell r="N249">
            <v>295</v>
          </cell>
          <cell r="O249">
            <v>6254</v>
          </cell>
        </row>
        <row r="250">
          <cell r="A250">
            <v>37708</v>
          </cell>
          <cell r="B250">
            <v>113.02</v>
          </cell>
          <cell r="N250">
            <v>150</v>
          </cell>
          <cell r="O250">
            <v>6204</v>
          </cell>
        </row>
        <row r="251">
          <cell r="A251">
            <v>37711</v>
          </cell>
          <cell r="B251">
            <v>113.11</v>
          </cell>
          <cell r="N251">
            <v>1110</v>
          </cell>
          <cell r="O251">
            <v>5984</v>
          </cell>
        </row>
        <row r="252">
          <cell r="A252">
            <v>37712</v>
          </cell>
          <cell r="B252">
            <v>113.12</v>
          </cell>
          <cell r="N252">
            <v>772</v>
          </cell>
          <cell r="O252">
            <v>6102</v>
          </cell>
        </row>
        <row r="253">
          <cell r="A253">
            <v>37713</v>
          </cell>
          <cell r="B253">
            <v>113.06</v>
          </cell>
          <cell r="N253">
            <v>940</v>
          </cell>
          <cell r="O253">
            <v>6597</v>
          </cell>
        </row>
        <row r="254">
          <cell r="A254">
            <v>37714</v>
          </cell>
          <cell r="B254">
            <v>113.05</v>
          </cell>
          <cell r="N254">
            <v>950</v>
          </cell>
          <cell r="O254">
            <v>6889</v>
          </cell>
        </row>
        <row r="255">
          <cell r="A255">
            <v>37715</v>
          </cell>
          <cell r="B255">
            <v>113.04</v>
          </cell>
          <cell r="N255">
            <v>290</v>
          </cell>
          <cell r="O255">
            <v>6439</v>
          </cell>
        </row>
        <row r="256">
          <cell r="A256">
            <v>37718</v>
          </cell>
          <cell r="B256">
            <v>112.91</v>
          </cell>
          <cell r="N256">
            <v>570</v>
          </cell>
          <cell r="O256">
            <v>6663</v>
          </cell>
        </row>
        <row r="257">
          <cell r="A257">
            <v>37719</v>
          </cell>
          <cell r="B257">
            <v>113</v>
          </cell>
          <cell r="N257">
            <v>1740</v>
          </cell>
          <cell r="O257">
            <v>6776</v>
          </cell>
        </row>
        <row r="258">
          <cell r="A258">
            <v>37720</v>
          </cell>
          <cell r="B258">
            <v>113.02</v>
          </cell>
          <cell r="N258">
            <v>220</v>
          </cell>
          <cell r="O258">
            <v>6656</v>
          </cell>
        </row>
        <row r="259">
          <cell r="A259">
            <v>37721</v>
          </cell>
          <cell r="B259">
            <v>113.1</v>
          </cell>
          <cell r="N259">
            <v>1430</v>
          </cell>
          <cell r="O259">
            <v>6546</v>
          </cell>
        </row>
        <row r="260">
          <cell r="A260">
            <v>37722</v>
          </cell>
          <cell r="B260">
            <v>113.06</v>
          </cell>
          <cell r="N260">
            <v>820</v>
          </cell>
          <cell r="O260">
            <v>6758</v>
          </cell>
        </row>
        <row r="261">
          <cell r="A261">
            <v>37725</v>
          </cell>
          <cell r="B261">
            <v>113.06</v>
          </cell>
          <cell r="N261">
            <v>100</v>
          </cell>
          <cell r="O261">
            <v>6758</v>
          </cell>
        </row>
        <row r="262">
          <cell r="A262">
            <v>37726</v>
          </cell>
          <cell r="B262">
            <v>113.07</v>
          </cell>
          <cell r="N262">
            <v>500</v>
          </cell>
          <cell r="O262">
            <v>7028</v>
          </cell>
        </row>
        <row r="263">
          <cell r="A263">
            <v>37727</v>
          </cell>
          <cell r="B263">
            <v>113.1</v>
          </cell>
          <cell r="N263">
            <v>200</v>
          </cell>
          <cell r="O263">
            <v>6998</v>
          </cell>
        </row>
        <row r="264">
          <cell r="A264">
            <v>37728</v>
          </cell>
          <cell r="B264">
            <v>113.14</v>
          </cell>
          <cell r="N264">
            <v>670</v>
          </cell>
          <cell r="O264">
            <v>6618</v>
          </cell>
        </row>
        <row r="265">
          <cell r="A265">
            <v>37729</v>
          </cell>
          <cell r="B265">
            <v>113.14</v>
          </cell>
          <cell r="N265">
            <v>390</v>
          </cell>
          <cell r="O265">
            <v>6598</v>
          </cell>
        </row>
        <row r="266">
          <cell r="A266">
            <v>37732</v>
          </cell>
          <cell r="B266">
            <v>113.16</v>
          </cell>
          <cell r="N266">
            <v>310</v>
          </cell>
          <cell r="O266">
            <v>6908</v>
          </cell>
        </row>
        <row r="267">
          <cell r="A267">
            <v>37733</v>
          </cell>
          <cell r="B267">
            <v>113.2</v>
          </cell>
          <cell r="N267">
            <v>660</v>
          </cell>
          <cell r="O267">
            <v>6881</v>
          </cell>
        </row>
        <row r="268">
          <cell r="A268">
            <v>37734</v>
          </cell>
          <cell r="B268">
            <v>113.2</v>
          </cell>
          <cell r="N268">
            <v>210</v>
          </cell>
          <cell r="O268">
            <v>6941</v>
          </cell>
        </row>
        <row r="269">
          <cell r="A269">
            <v>37735</v>
          </cell>
          <cell r="B269">
            <v>113.2</v>
          </cell>
          <cell r="N269">
            <v>50</v>
          </cell>
          <cell r="O269">
            <v>6991</v>
          </cell>
        </row>
        <row r="270">
          <cell r="A270">
            <v>37736</v>
          </cell>
          <cell r="B270">
            <v>113.17</v>
          </cell>
          <cell r="N270">
            <v>1055</v>
          </cell>
          <cell r="O270">
            <v>7481</v>
          </cell>
        </row>
        <row r="271">
          <cell r="A271">
            <v>37739</v>
          </cell>
          <cell r="B271">
            <v>113.22</v>
          </cell>
          <cell r="N271">
            <v>190</v>
          </cell>
          <cell r="O271">
            <v>7621</v>
          </cell>
        </row>
        <row r="272">
          <cell r="A272">
            <v>37740</v>
          </cell>
          <cell r="B272">
            <v>113.16</v>
          </cell>
          <cell r="N272">
            <v>1520</v>
          </cell>
          <cell r="O272">
            <v>7892</v>
          </cell>
        </row>
        <row r="273">
          <cell r="A273">
            <v>37741</v>
          </cell>
          <cell r="B273">
            <v>113.17</v>
          </cell>
          <cell r="N273">
            <v>1350</v>
          </cell>
          <cell r="O273">
            <v>8972</v>
          </cell>
        </row>
        <row r="274">
          <cell r="A274">
            <v>37743</v>
          </cell>
          <cell r="B274">
            <v>113.19</v>
          </cell>
          <cell r="N274">
            <v>90</v>
          </cell>
          <cell r="O274">
            <v>9032</v>
          </cell>
        </row>
        <row r="275">
          <cell r="A275">
            <v>37746</v>
          </cell>
          <cell r="B275">
            <v>113.18</v>
          </cell>
          <cell r="N275">
            <v>850</v>
          </cell>
          <cell r="O275">
            <v>9372</v>
          </cell>
        </row>
        <row r="276">
          <cell r="A276">
            <v>37747</v>
          </cell>
          <cell r="B276">
            <v>113.17</v>
          </cell>
          <cell r="N276">
            <v>500</v>
          </cell>
          <cell r="O276">
            <v>9722</v>
          </cell>
        </row>
        <row r="277">
          <cell r="A277">
            <v>37748</v>
          </cell>
          <cell r="B277">
            <v>113.25</v>
          </cell>
          <cell r="N277">
            <v>290</v>
          </cell>
          <cell r="O277">
            <v>9792</v>
          </cell>
        </row>
        <row r="278">
          <cell r="A278">
            <v>37749</v>
          </cell>
          <cell r="B278">
            <v>113.31</v>
          </cell>
          <cell r="N278">
            <v>1145</v>
          </cell>
          <cell r="O278">
            <v>9967</v>
          </cell>
        </row>
        <row r="279">
          <cell r="A279">
            <v>37750</v>
          </cell>
          <cell r="B279">
            <v>113.28</v>
          </cell>
          <cell r="N279">
            <v>210</v>
          </cell>
          <cell r="O279">
            <v>9967</v>
          </cell>
        </row>
        <row r="280">
          <cell r="A280">
            <v>37753</v>
          </cell>
          <cell r="B280">
            <v>113.12</v>
          </cell>
          <cell r="N280">
            <v>50</v>
          </cell>
          <cell r="O280">
            <v>9947</v>
          </cell>
        </row>
        <row r="281">
          <cell r="A281">
            <v>37754</v>
          </cell>
          <cell r="B281">
            <v>113.3</v>
          </cell>
          <cell r="N281">
            <v>40</v>
          </cell>
          <cell r="O281">
            <v>9947</v>
          </cell>
        </row>
        <row r="282">
          <cell r="A282">
            <v>37757</v>
          </cell>
          <cell r="B282">
            <v>113.32</v>
          </cell>
          <cell r="N282">
            <v>50</v>
          </cell>
          <cell r="O282">
            <v>9947</v>
          </cell>
        </row>
        <row r="283">
          <cell r="A283">
            <v>37760</v>
          </cell>
          <cell r="B283">
            <v>113.42</v>
          </cell>
          <cell r="N283">
            <v>230</v>
          </cell>
          <cell r="O283">
            <v>10137</v>
          </cell>
        </row>
        <row r="284">
          <cell r="A284">
            <v>37761</v>
          </cell>
          <cell r="B284">
            <v>113.45</v>
          </cell>
          <cell r="N284">
            <v>457</v>
          </cell>
          <cell r="O284">
            <v>10149</v>
          </cell>
        </row>
        <row r="285">
          <cell r="A285">
            <v>37762</v>
          </cell>
          <cell r="B285">
            <v>113.5</v>
          </cell>
          <cell r="N285">
            <v>938</v>
          </cell>
          <cell r="O285">
            <v>10521</v>
          </cell>
        </row>
        <row r="286">
          <cell r="A286">
            <v>37763</v>
          </cell>
          <cell r="B286">
            <v>113.55</v>
          </cell>
          <cell r="N286">
            <v>1665</v>
          </cell>
          <cell r="O286">
            <v>9962</v>
          </cell>
        </row>
        <row r="287">
          <cell r="A287">
            <v>37764</v>
          </cell>
          <cell r="B287">
            <v>113.4</v>
          </cell>
          <cell r="N287">
            <v>1421</v>
          </cell>
          <cell r="O287">
            <v>10273</v>
          </cell>
        </row>
        <row r="288">
          <cell r="A288">
            <v>37767</v>
          </cell>
          <cell r="B288">
            <v>113.34</v>
          </cell>
          <cell r="N288">
            <v>80</v>
          </cell>
          <cell r="O288">
            <v>10323</v>
          </cell>
        </row>
        <row r="289">
          <cell r="A289">
            <v>37768</v>
          </cell>
          <cell r="B289">
            <v>113.37</v>
          </cell>
          <cell r="N289">
            <v>710</v>
          </cell>
          <cell r="O289">
            <v>10283</v>
          </cell>
        </row>
        <row r="290">
          <cell r="A290">
            <v>37769</v>
          </cell>
          <cell r="B290">
            <v>113.3</v>
          </cell>
          <cell r="N290">
            <v>300</v>
          </cell>
          <cell r="O290">
            <v>10533</v>
          </cell>
        </row>
        <row r="291">
          <cell r="A291">
            <v>37770</v>
          </cell>
          <cell r="B291">
            <v>113.3</v>
          </cell>
          <cell r="N291">
            <v>100</v>
          </cell>
          <cell r="O291">
            <v>10533</v>
          </cell>
        </row>
        <row r="292">
          <cell r="A292">
            <v>37771</v>
          </cell>
          <cell r="B292">
            <v>113.28</v>
          </cell>
          <cell r="N292">
            <v>1085</v>
          </cell>
          <cell r="O292">
            <v>10168</v>
          </cell>
        </row>
        <row r="293">
          <cell r="A293">
            <v>37774</v>
          </cell>
          <cell r="B293">
            <v>113.23</v>
          </cell>
          <cell r="N293">
            <v>50</v>
          </cell>
          <cell r="O293">
            <v>10138</v>
          </cell>
        </row>
        <row r="294">
          <cell r="A294">
            <v>37775</v>
          </cell>
          <cell r="B294">
            <v>113.32</v>
          </cell>
          <cell r="N294">
            <v>70</v>
          </cell>
          <cell r="O294">
            <v>10138</v>
          </cell>
        </row>
        <row r="295">
          <cell r="A295">
            <v>37776</v>
          </cell>
          <cell r="B295">
            <v>113.38</v>
          </cell>
          <cell r="N295">
            <v>1290</v>
          </cell>
          <cell r="O295">
            <v>10408</v>
          </cell>
        </row>
        <row r="296">
          <cell r="A296">
            <v>37777</v>
          </cell>
          <cell r="B296">
            <v>113.42</v>
          </cell>
          <cell r="N296">
            <v>2280</v>
          </cell>
          <cell r="O296">
            <v>10038</v>
          </cell>
        </row>
        <row r="297">
          <cell r="A297">
            <v>37778</v>
          </cell>
          <cell r="B297">
            <v>113.47</v>
          </cell>
          <cell r="N297">
            <v>360</v>
          </cell>
          <cell r="O297">
            <v>10126</v>
          </cell>
        </row>
        <row r="298">
          <cell r="A298">
            <v>37781</v>
          </cell>
          <cell r="B298">
            <v>113.47</v>
          </cell>
          <cell r="N298">
            <v>621</v>
          </cell>
          <cell r="O298">
            <v>10409</v>
          </cell>
        </row>
        <row r="299">
          <cell r="A299">
            <v>37782</v>
          </cell>
          <cell r="B299">
            <v>113.5</v>
          </cell>
          <cell r="N299">
            <v>1510</v>
          </cell>
          <cell r="O299">
            <v>10709</v>
          </cell>
        </row>
        <row r="300">
          <cell r="A300">
            <v>37783</v>
          </cell>
          <cell r="B300">
            <v>113.55</v>
          </cell>
          <cell r="N300">
            <v>750</v>
          </cell>
          <cell r="O300">
            <v>10359</v>
          </cell>
        </row>
        <row r="301">
          <cell r="A301">
            <v>37784</v>
          </cell>
          <cell r="B301">
            <v>113.55</v>
          </cell>
          <cell r="N301">
            <v>0</v>
          </cell>
          <cell r="O301">
            <v>10359</v>
          </cell>
        </row>
        <row r="302">
          <cell r="A302">
            <v>37785</v>
          </cell>
          <cell r="B302">
            <v>113.55</v>
          </cell>
          <cell r="N302">
            <v>1245</v>
          </cell>
          <cell r="O302">
            <v>10329</v>
          </cell>
        </row>
        <row r="303">
          <cell r="A303">
            <v>37788</v>
          </cell>
          <cell r="B303">
            <v>113.59</v>
          </cell>
          <cell r="N303">
            <v>350</v>
          </cell>
          <cell r="O303">
            <v>10529</v>
          </cell>
        </row>
        <row r="304">
          <cell r="A304">
            <v>37789</v>
          </cell>
          <cell r="B304">
            <v>113.56</v>
          </cell>
          <cell r="N304">
            <v>455</v>
          </cell>
          <cell r="O304">
            <v>10679</v>
          </cell>
        </row>
        <row r="305">
          <cell r="A305">
            <v>37790</v>
          </cell>
          <cell r="B305">
            <v>113.51</v>
          </cell>
          <cell r="N305">
            <v>130</v>
          </cell>
          <cell r="O305">
            <v>5952</v>
          </cell>
        </row>
        <row r="306">
          <cell r="A306">
            <v>37791</v>
          </cell>
          <cell r="B306">
            <v>113.25</v>
          </cell>
          <cell r="N306">
            <v>1130</v>
          </cell>
          <cell r="O306">
            <v>6192</v>
          </cell>
        </row>
        <row r="307">
          <cell r="A307">
            <v>37792</v>
          </cell>
          <cell r="B307">
            <v>113.25</v>
          </cell>
          <cell r="N307">
            <v>754</v>
          </cell>
          <cell r="O307">
            <v>6842</v>
          </cell>
        </row>
        <row r="308">
          <cell r="A308">
            <v>37795</v>
          </cell>
          <cell r="B308">
            <v>113.15</v>
          </cell>
          <cell r="N308">
            <v>690</v>
          </cell>
          <cell r="O308">
            <v>6812</v>
          </cell>
        </row>
        <row r="309">
          <cell r="A309">
            <v>37796</v>
          </cell>
          <cell r="B309">
            <v>113.08</v>
          </cell>
          <cell r="N309">
            <v>100</v>
          </cell>
          <cell r="O309">
            <v>6862</v>
          </cell>
        </row>
        <row r="310">
          <cell r="A310">
            <v>37797</v>
          </cell>
          <cell r="B310">
            <v>113.13</v>
          </cell>
          <cell r="N310">
            <v>600</v>
          </cell>
          <cell r="O310">
            <v>6110</v>
          </cell>
        </row>
        <row r="311">
          <cell r="A311">
            <v>37798</v>
          </cell>
          <cell r="B311">
            <v>113.1</v>
          </cell>
          <cell r="N311">
            <v>225</v>
          </cell>
          <cell r="O311">
            <v>5985</v>
          </cell>
        </row>
        <row r="312">
          <cell r="A312">
            <v>37799</v>
          </cell>
          <cell r="B312">
            <v>113.16</v>
          </cell>
          <cell r="N312">
            <v>980</v>
          </cell>
          <cell r="O312">
            <v>6357</v>
          </cell>
        </row>
        <row r="313">
          <cell r="A313">
            <v>37802</v>
          </cell>
          <cell r="B313">
            <v>113.2</v>
          </cell>
          <cell r="N313">
            <v>400</v>
          </cell>
          <cell r="O313">
            <v>6207</v>
          </cell>
        </row>
        <row r="314">
          <cell r="A314">
            <v>37803</v>
          </cell>
          <cell r="B314">
            <v>113.25</v>
          </cell>
          <cell r="N314">
            <v>1680</v>
          </cell>
          <cell r="O314">
            <v>6044</v>
          </cell>
        </row>
        <row r="315">
          <cell r="A315">
            <v>37804</v>
          </cell>
          <cell r="B315">
            <v>113.2</v>
          </cell>
          <cell r="N315">
            <v>1240</v>
          </cell>
          <cell r="O315">
            <v>5309</v>
          </cell>
        </row>
        <row r="316">
          <cell r="A316">
            <v>37805</v>
          </cell>
          <cell r="B316">
            <v>113.1</v>
          </cell>
          <cell r="N316">
            <v>1310</v>
          </cell>
          <cell r="O316">
            <v>5274</v>
          </cell>
        </row>
        <row r="317">
          <cell r="A317">
            <v>37806</v>
          </cell>
          <cell r="B317">
            <v>113.15</v>
          </cell>
          <cell r="N317">
            <v>1080</v>
          </cell>
          <cell r="O317">
            <v>5034</v>
          </cell>
        </row>
        <row r="318">
          <cell r="A318">
            <v>37809</v>
          </cell>
          <cell r="B318">
            <v>113.13</v>
          </cell>
          <cell r="N318">
            <v>100</v>
          </cell>
          <cell r="O318">
            <v>5134</v>
          </cell>
        </row>
        <row r="319">
          <cell r="A319">
            <v>37810</v>
          </cell>
          <cell r="B319">
            <v>113.12</v>
          </cell>
          <cell r="N319">
            <v>650</v>
          </cell>
          <cell r="O319">
            <v>5184</v>
          </cell>
        </row>
        <row r="320">
          <cell r="A320">
            <v>37811</v>
          </cell>
          <cell r="B320">
            <v>113.17</v>
          </cell>
          <cell r="N320">
            <v>250</v>
          </cell>
          <cell r="O320">
            <v>5404</v>
          </cell>
        </row>
        <row r="321">
          <cell r="A321">
            <v>37812</v>
          </cell>
          <cell r="B321">
            <v>113.18</v>
          </cell>
          <cell r="N321">
            <v>750</v>
          </cell>
          <cell r="O321">
            <v>5344</v>
          </cell>
        </row>
        <row r="322">
          <cell r="A322">
            <v>37813</v>
          </cell>
          <cell r="B322">
            <v>113.12</v>
          </cell>
          <cell r="N322">
            <v>200</v>
          </cell>
          <cell r="O322">
            <v>5294</v>
          </cell>
        </row>
        <row r="323">
          <cell r="A323">
            <v>37816</v>
          </cell>
          <cell r="B323">
            <v>112.98</v>
          </cell>
          <cell r="N323">
            <v>435</v>
          </cell>
          <cell r="O323">
            <v>5539</v>
          </cell>
        </row>
        <row r="324">
          <cell r="A324">
            <v>37817</v>
          </cell>
          <cell r="B324">
            <v>112.8</v>
          </cell>
          <cell r="N324">
            <v>450</v>
          </cell>
          <cell r="O324">
            <v>5494</v>
          </cell>
        </row>
        <row r="325">
          <cell r="A325">
            <v>37818</v>
          </cell>
          <cell r="B325">
            <v>112.47</v>
          </cell>
          <cell r="N325">
            <v>3215</v>
          </cell>
          <cell r="O325">
            <v>6144</v>
          </cell>
        </row>
        <row r="326">
          <cell r="A326">
            <v>37819</v>
          </cell>
          <cell r="B326">
            <v>112.67</v>
          </cell>
          <cell r="N326">
            <v>920</v>
          </cell>
          <cell r="O326">
            <v>5759</v>
          </cell>
        </row>
        <row r="327">
          <cell r="A327">
            <v>37820</v>
          </cell>
          <cell r="B327">
            <v>112.48</v>
          </cell>
          <cell r="N327">
            <v>400</v>
          </cell>
          <cell r="O327">
            <v>5984</v>
          </cell>
        </row>
        <row r="328">
          <cell r="A328">
            <v>37823</v>
          </cell>
          <cell r="B328">
            <v>112.18</v>
          </cell>
          <cell r="N328">
            <v>155</v>
          </cell>
          <cell r="O328">
            <v>6034</v>
          </cell>
        </row>
        <row r="329">
          <cell r="A329">
            <v>37824</v>
          </cell>
          <cell r="B329">
            <v>111.45</v>
          </cell>
          <cell r="N329">
            <v>1201</v>
          </cell>
          <cell r="O329">
            <v>5549</v>
          </cell>
        </row>
        <row r="330">
          <cell r="A330">
            <v>37825</v>
          </cell>
          <cell r="B330">
            <v>111.7</v>
          </cell>
          <cell r="N330">
            <v>1100</v>
          </cell>
          <cell r="O330">
            <v>6079</v>
          </cell>
        </row>
        <row r="331">
          <cell r="A331">
            <v>37826</v>
          </cell>
          <cell r="B331">
            <v>111.75</v>
          </cell>
          <cell r="N331">
            <v>530</v>
          </cell>
          <cell r="O331">
            <v>6189</v>
          </cell>
        </row>
        <row r="332">
          <cell r="A332">
            <v>37827</v>
          </cell>
          <cell r="B332">
            <v>111.18</v>
          </cell>
          <cell r="N332">
            <v>445</v>
          </cell>
          <cell r="O332">
            <v>6119</v>
          </cell>
        </row>
        <row r="333">
          <cell r="A333">
            <v>37830</v>
          </cell>
          <cell r="B333">
            <v>109</v>
          </cell>
          <cell r="N333">
            <v>1623</v>
          </cell>
          <cell r="O333">
            <v>6014</v>
          </cell>
        </row>
        <row r="334">
          <cell r="A334">
            <v>37831</v>
          </cell>
          <cell r="B334">
            <v>109.45</v>
          </cell>
          <cell r="N334">
            <v>2712</v>
          </cell>
          <cell r="O334">
            <v>4584</v>
          </cell>
        </row>
        <row r="335">
          <cell r="A335">
            <v>37832</v>
          </cell>
          <cell r="B335">
            <v>110.15</v>
          </cell>
          <cell r="N335">
            <v>384</v>
          </cell>
          <cell r="O335">
            <v>4522</v>
          </cell>
        </row>
        <row r="336">
          <cell r="A336">
            <v>37833</v>
          </cell>
          <cell r="B336">
            <v>110.2</v>
          </cell>
          <cell r="N336">
            <v>905</v>
          </cell>
          <cell r="O336">
            <v>4672</v>
          </cell>
        </row>
        <row r="337">
          <cell r="A337">
            <v>37834</v>
          </cell>
          <cell r="B337">
            <v>108.6</v>
          </cell>
          <cell r="N337">
            <v>1462</v>
          </cell>
          <cell r="O337">
            <v>5160</v>
          </cell>
        </row>
        <row r="338">
          <cell r="A338">
            <v>37837</v>
          </cell>
          <cell r="B338">
            <v>109</v>
          </cell>
          <cell r="N338">
            <v>1</v>
          </cell>
          <cell r="O338">
            <v>5161</v>
          </cell>
        </row>
        <row r="339">
          <cell r="A339">
            <v>37838</v>
          </cell>
          <cell r="B339">
            <v>109.2</v>
          </cell>
          <cell r="N339">
            <v>50</v>
          </cell>
          <cell r="O339">
            <v>5211</v>
          </cell>
        </row>
        <row r="340">
          <cell r="A340">
            <v>37839</v>
          </cell>
          <cell r="B340">
            <v>108.4</v>
          </cell>
          <cell r="N340">
            <v>615</v>
          </cell>
          <cell r="O340">
            <v>5151</v>
          </cell>
        </row>
        <row r="341">
          <cell r="A341">
            <v>37840</v>
          </cell>
          <cell r="B341">
            <v>108.65</v>
          </cell>
          <cell r="N341">
            <v>105</v>
          </cell>
          <cell r="O341">
            <v>5056</v>
          </cell>
        </row>
        <row r="342">
          <cell r="A342">
            <v>37841</v>
          </cell>
          <cell r="B342">
            <v>108.65</v>
          </cell>
          <cell r="N342">
            <v>0</v>
          </cell>
          <cell r="O342">
            <v>5056</v>
          </cell>
        </row>
        <row r="343">
          <cell r="A343">
            <v>37844</v>
          </cell>
          <cell r="B343">
            <v>108.65</v>
          </cell>
          <cell r="N343">
            <v>0</v>
          </cell>
          <cell r="O343">
            <v>5056</v>
          </cell>
        </row>
        <row r="344">
          <cell r="A344">
            <v>37845</v>
          </cell>
          <cell r="B344">
            <v>108.45</v>
          </cell>
          <cell r="N344">
            <v>550</v>
          </cell>
          <cell r="O344">
            <v>4806</v>
          </cell>
        </row>
        <row r="345">
          <cell r="A345">
            <v>37846</v>
          </cell>
          <cell r="B345">
            <v>108.6</v>
          </cell>
          <cell r="N345">
            <v>200</v>
          </cell>
          <cell r="O345">
            <v>4672</v>
          </cell>
        </row>
        <row r="346">
          <cell r="A346">
            <v>37847</v>
          </cell>
          <cell r="B346">
            <v>108.55</v>
          </cell>
          <cell r="N346">
            <v>10</v>
          </cell>
          <cell r="O346">
            <v>4662</v>
          </cell>
        </row>
        <row r="347">
          <cell r="A347">
            <v>37848</v>
          </cell>
          <cell r="B347">
            <v>108.6</v>
          </cell>
          <cell r="N347">
            <v>250</v>
          </cell>
          <cell r="O347">
            <v>4312</v>
          </cell>
        </row>
        <row r="348">
          <cell r="A348">
            <v>37851</v>
          </cell>
          <cell r="B348">
            <v>107.95</v>
          </cell>
          <cell r="N348">
            <v>0</v>
          </cell>
          <cell r="O348">
            <v>4312</v>
          </cell>
        </row>
        <row r="349">
          <cell r="A349">
            <v>37852</v>
          </cell>
          <cell r="B349">
            <v>108.35</v>
          </cell>
          <cell r="N349">
            <v>795</v>
          </cell>
          <cell r="O349">
            <v>4522</v>
          </cell>
        </row>
        <row r="350">
          <cell r="A350">
            <v>37853</v>
          </cell>
          <cell r="B350">
            <v>108.25</v>
          </cell>
          <cell r="N350">
            <v>150</v>
          </cell>
          <cell r="O350">
            <v>4572</v>
          </cell>
        </row>
        <row r="351">
          <cell r="A351">
            <v>37854</v>
          </cell>
          <cell r="B351">
            <v>108.4</v>
          </cell>
          <cell r="N351">
            <v>800</v>
          </cell>
          <cell r="O351">
            <v>4322</v>
          </cell>
        </row>
        <row r="352">
          <cell r="A352">
            <v>37855</v>
          </cell>
          <cell r="B352">
            <v>108.55</v>
          </cell>
          <cell r="N352">
            <v>1141</v>
          </cell>
          <cell r="O352">
            <v>3532</v>
          </cell>
        </row>
        <row r="353">
          <cell r="A353">
            <v>37858</v>
          </cell>
          <cell r="B353">
            <v>108.6</v>
          </cell>
          <cell r="N353">
            <v>20</v>
          </cell>
          <cell r="O353">
            <v>3532</v>
          </cell>
        </row>
        <row r="354">
          <cell r="A354">
            <v>37859</v>
          </cell>
          <cell r="B354">
            <v>108.8</v>
          </cell>
          <cell r="N354">
            <v>186</v>
          </cell>
          <cell r="O354">
            <v>3476</v>
          </cell>
        </row>
        <row r="355">
          <cell r="A355">
            <v>37860</v>
          </cell>
          <cell r="B355">
            <v>108.8</v>
          </cell>
          <cell r="N355">
            <v>0</v>
          </cell>
          <cell r="O355">
            <v>3476</v>
          </cell>
        </row>
        <row r="356">
          <cell r="A356">
            <v>37861</v>
          </cell>
          <cell r="B356">
            <v>108.9</v>
          </cell>
          <cell r="N356">
            <v>209</v>
          </cell>
          <cell r="O356">
            <v>3648</v>
          </cell>
        </row>
        <row r="357">
          <cell r="A357">
            <v>37862</v>
          </cell>
          <cell r="B357">
            <v>109</v>
          </cell>
          <cell r="N357">
            <v>406</v>
          </cell>
          <cell r="O357">
            <v>3753</v>
          </cell>
        </row>
        <row r="358">
          <cell r="A358">
            <v>37866</v>
          </cell>
          <cell r="B358">
            <v>108.5</v>
          </cell>
          <cell r="N358">
            <v>230</v>
          </cell>
          <cell r="O358">
            <v>3698</v>
          </cell>
        </row>
        <row r="359">
          <cell r="A359">
            <v>37867</v>
          </cell>
          <cell r="B359">
            <v>108.5</v>
          </cell>
          <cell r="N359">
            <v>0</v>
          </cell>
          <cell r="O359">
            <v>3698</v>
          </cell>
        </row>
        <row r="360">
          <cell r="A360">
            <v>37868</v>
          </cell>
          <cell r="B360">
            <v>108.47</v>
          </cell>
          <cell r="N360">
            <v>50</v>
          </cell>
          <cell r="O360">
            <v>3698</v>
          </cell>
        </row>
        <row r="361">
          <cell r="A361">
            <v>37869</v>
          </cell>
          <cell r="B361">
            <v>108.68</v>
          </cell>
          <cell r="N361">
            <v>50</v>
          </cell>
          <cell r="O361">
            <v>3748</v>
          </cell>
        </row>
        <row r="362">
          <cell r="A362">
            <v>37872</v>
          </cell>
          <cell r="B362">
            <v>108.85</v>
          </cell>
          <cell r="N362">
            <v>0</v>
          </cell>
          <cell r="O362">
            <v>3748</v>
          </cell>
        </row>
        <row r="363">
          <cell r="A363">
            <v>37873</v>
          </cell>
          <cell r="B363">
            <v>108.9</v>
          </cell>
          <cell r="N363">
            <v>250</v>
          </cell>
          <cell r="O363">
            <v>3698</v>
          </cell>
        </row>
        <row r="364">
          <cell r="A364">
            <v>37874</v>
          </cell>
          <cell r="B364">
            <v>108.99</v>
          </cell>
          <cell r="N364">
            <v>205</v>
          </cell>
          <cell r="O364">
            <v>3748</v>
          </cell>
        </row>
        <row r="365">
          <cell r="A365">
            <v>37875</v>
          </cell>
          <cell r="B365">
            <v>108.99</v>
          </cell>
          <cell r="N365">
            <v>200</v>
          </cell>
          <cell r="O365">
            <v>3898</v>
          </cell>
        </row>
        <row r="366">
          <cell r="A366">
            <v>37876</v>
          </cell>
          <cell r="B366">
            <v>108.99</v>
          </cell>
          <cell r="N366">
            <v>0</v>
          </cell>
          <cell r="O366">
            <v>3898</v>
          </cell>
        </row>
        <row r="367">
          <cell r="A367">
            <v>37879</v>
          </cell>
          <cell r="B367">
            <v>109</v>
          </cell>
          <cell r="N367">
            <v>120</v>
          </cell>
          <cell r="O367">
            <v>3918</v>
          </cell>
        </row>
        <row r="368">
          <cell r="A368">
            <v>37880</v>
          </cell>
          <cell r="B368">
            <v>109.1</v>
          </cell>
          <cell r="N368">
            <v>570</v>
          </cell>
          <cell r="O368">
            <v>3683</v>
          </cell>
        </row>
        <row r="369">
          <cell r="A369">
            <v>37881</v>
          </cell>
          <cell r="B369">
            <v>109.02</v>
          </cell>
          <cell r="N369">
            <v>610</v>
          </cell>
          <cell r="O369">
            <v>2147</v>
          </cell>
        </row>
        <row r="370">
          <cell r="A370">
            <v>37882</v>
          </cell>
          <cell r="B370">
            <v>108.75</v>
          </cell>
          <cell r="N370">
            <v>365</v>
          </cell>
          <cell r="O370">
            <v>2042</v>
          </cell>
        </row>
        <row r="371">
          <cell r="A371">
            <v>37883</v>
          </cell>
          <cell r="B371">
            <v>108.6</v>
          </cell>
          <cell r="N371">
            <v>100</v>
          </cell>
          <cell r="O371">
            <v>2042</v>
          </cell>
        </row>
        <row r="372">
          <cell r="A372">
            <v>37886</v>
          </cell>
          <cell r="B372">
            <v>108.2</v>
          </cell>
          <cell r="N372">
            <v>220</v>
          </cell>
          <cell r="O372">
            <v>2077</v>
          </cell>
        </row>
        <row r="373">
          <cell r="A373">
            <v>37887</v>
          </cell>
          <cell r="B373">
            <v>108.65</v>
          </cell>
          <cell r="N373">
            <v>352</v>
          </cell>
          <cell r="O373">
            <v>2077</v>
          </cell>
        </row>
        <row r="374">
          <cell r="A374">
            <v>37888</v>
          </cell>
          <cell r="B374">
            <v>108.7</v>
          </cell>
          <cell r="N374">
            <v>250</v>
          </cell>
          <cell r="O374">
            <v>2127</v>
          </cell>
        </row>
        <row r="375">
          <cell r="A375">
            <v>37889</v>
          </cell>
          <cell r="B375">
            <v>108.9</v>
          </cell>
          <cell r="N375">
            <v>410</v>
          </cell>
          <cell r="O375">
            <v>2189</v>
          </cell>
        </row>
        <row r="376">
          <cell r="A376">
            <v>37890</v>
          </cell>
          <cell r="B376">
            <v>109.1</v>
          </cell>
          <cell r="N376">
            <v>0</v>
          </cell>
          <cell r="O376">
            <v>2189</v>
          </cell>
        </row>
        <row r="377">
          <cell r="A377">
            <v>37893</v>
          </cell>
          <cell r="B377">
            <v>108.9</v>
          </cell>
          <cell r="N377">
            <v>255</v>
          </cell>
          <cell r="O377">
            <v>2254</v>
          </cell>
        </row>
        <row r="378">
          <cell r="A378">
            <v>37894</v>
          </cell>
          <cell r="B378">
            <v>108.63</v>
          </cell>
          <cell r="N378">
            <v>790</v>
          </cell>
          <cell r="O378">
            <v>1944</v>
          </cell>
        </row>
        <row r="379">
          <cell r="A379">
            <v>37895</v>
          </cell>
          <cell r="B379">
            <v>108.63</v>
          </cell>
          <cell r="N379">
            <v>60</v>
          </cell>
          <cell r="O379">
            <v>2004</v>
          </cell>
        </row>
        <row r="380">
          <cell r="A380">
            <v>37896</v>
          </cell>
          <cell r="B380">
            <v>108.57</v>
          </cell>
          <cell r="N380">
            <v>150</v>
          </cell>
          <cell r="O380">
            <v>2154</v>
          </cell>
        </row>
        <row r="381">
          <cell r="A381">
            <v>37897</v>
          </cell>
          <cell r="B381">
            <v>108.4</v>
          </cell>
          <cell r="N381">
            <v>210</v>
          </cell>
          <cell r="O381">
            <v>2314</v>
          </cell>
        </row>
        <row r="382">
          <cell r="A382">
            <v>37900</v>
          </cell>
          <cell r="B382">
            <v>107.85</v>
          </cell>
          <cell r="N382">
            <v>450</v>
          </cell>
          <cell r="O382">
            <v>2414</v>
          </cell>
        </row>
        <row r="383">
          <cell r="A383">
            <v>37901</v>
          </cell>
          <cell r="B383">
            <v>107</v>
          </cell>
          <cell r="N383">
            <v>370</v>
          </cell>
          <cell r="O383">
            <v>2404</v>
          </cell>
        </row>
        <row r="384">
          <cell r="A384">
            <v>37902</v>
          </cell>
          <cell r="B384">
            <v>106.2</v>
          </cell>
          <cell r="N384">
            <v>727</v>
          </cell>
          <cell r="O384">
            <v>2619</v>
          </cell>
        </row>
        <row r="385">
          <cell r="A385">
            <v>37903</v>
          </cell>
          <cell r="B385">
            <v>105.7</v>
          </cell>
          <cell r="N385">
            <v>930</v>
          </cell>
          <cell r="O385">
            <v>2414</v>
          </cell>
        </row>
        <row r="386">
          <cell r="A386">
            <v>37904</v>
          </cell>
          <cell r="B386">
            <v>106.5</v>
          </cell>
          <cell r="N386">
            <v>1060</v>
          </cell>
          <cell r="O386">
            <v>2066</v>
          </cell>
        </row>
        <row r="387">
          <cell r="A387">
            <v>37907</v>
          </cell>
          <cell r="B387">
            <v>106.8</v>
          </cell>
          <cell r="N387">
            <v>150</v>
          </cell>
          <cell r="O387">
            <v>2166</v>
          </cell>
        </row>
        <row r="388">
          <cell r="A388">
            <v>37908</v>
          </cell>
          <cell r="B388">
            <v>106.3</v>
          </cell>
          <cell r="N388">
            <v>222</v>
          </cell>
          <cell r="O388">
            <v>2141</v>
          </cell>
        </row>
        <row r="389">
          <cell r="A389">
            <v>37909</v>
          </cell>
          <cell r="B389">
            <v>106.3</v>
          </cell>
          <cell r="N389">
            <v>55</v>
          </cell>
          <cell r="O389">
            <v>2086</v>
          </cell>
        </row>
        <row r="390">
          <cell r="A390">
            <v>37910</v>
          </cell>
          <cell r="B390">
            <v>106</v>
          </cell>
          <cell r="N390">
            <v>176</v>
          </cell>
          <cell r="O390">
            <v>2157</v>
          </cell>
        </row>
        <row r="391">
          <cell r="A391">
            <v>37911</v>
          </cell>
          <cell r="B391">
            <v>105.8</v>
          </cell>
          <cell r="N391">
            <v>25</v>
          </cell>
          <cell r="O391">
            <v>2157</v>
          </cell>
        </row>
        <row r="392">
          <cell r="A392">
            <v>37914</v>
          </cell>
          <cell r="B392">
            <v>104.7</v>
          </cell>
          <cell r="N392">
            <v>394</v>
          </cell>
          <cell r="O392">
            <v>1909</v>
          </cell>
        </row>
        <row r="393">
          <cell r="A393">
            <v>37915</v>
          </cell>
          <cell r="B393">
            <v>104.5</v>
          </cell>
          <cell r="N393">
            <v>170</v>
          </cell>
          <cell r="O393">
            <v>1961</v>
          </cell>
        </row>
        <row r="394">
          <cell r="A394">
            <v>37916</v>
          </cell>
          <cell r="B394">
            <v>105.2</v>
          </cell>
          <cell r="N394">
            <v>465</v>
          </cell>
          <cell r="O394">
            <v>2161</v>
          </cell>
        </row>
        <row r="395">
          <cell r="A395">
            <v>37917</v>
          </cell>
          <cell r="B395">
            <v>105.75</v>
          </cell>
          <cell r="N395">
            <v>0</v>
          </cell>
          <cell r="O395">
            <v>2161</v>
          </cell>
        </row>
        <row r="396">
          <cell r="A396">
            <v>37921</v>
          </cell>
          <cell r="B396">
            <v>106</v>
          </cell>
          <cell r="N396">
            <v>20</v>
          </cell>
          <cell r="O396">
            <v>2161</v>
          </cell>
        </row>
        <row r="397">
          <cell r="A397">
            <v>37922</v>
          </cell>
          <cell r="B397">
            <v>105.9</v>
          </cell>
          <cell r="N397">
            <v>10</v>
          </cell>
          <cell r="O397">
            <v>2171</v>
          </cell>
        </row>
        <row r="398">
          <cell r="A398">
            <v>37923</v>
          </cell>
          <cell r="B398">
            <v>105.6</v>
          </cell>
          <cell r="N398">
            <v>90</v>
          </cell>
          <cell r="O398">
            <v>2141</v>
          </cell>
        </row>
        <row r="399">
          <cell r="A399">
            <v>37924</v>
          </cell>
          <cell r="B399">
            <v>105.6</v>
          </cell>
          <cell r="N399">
            <v>0</v>
          </cell>
          <cell r="O399">
            <v>2141</v>
          </cell>
        </row>
        <row r="400">
          <cell r="A400">
            <v>37925</v>
          </cell>
          <cell r="B400">
            <v>105.5</v>
          </cell>
          <cell r="N400">
            <v>210</v>
          </cell>
          <cell r="O400">
            <v>2041</v>
          </cell>
        </row>
        <row r="401">
          <cell r="A401">
            <v>37928</v>
          </cell>
          <cell r="B401">
            <v>105.5</v>
          </cell>
          <cell r="N401">
            <v>0</v>
          </cell>
          <cell r="O401">
            <v>2041</v>
          </cell>
        </row>
        <row r="402">
          <cell r="A402">
            <v>37929</v>
          </cell>
          <cell r="B402">
            <v>105.5</v>
          </cell>
          <cell r="N402">
            <v>470</v>
          </cell>
          <cell r="O402">
            <v>1921</v>
          </cell>
        </row>
        <row r="403">
          <cell r="A403">
            <v>37930</v>
          </cell>
          <cell r="B403">
            <v>105.5</v>
          </cell>
          <cell r="N403">
            <v>0</v>
          </cell>
          <cell r="O403">
            <v>1921</v>
          </cell>
        </row>
        <row r="404">
          <cell r="A404">
            <v>37931</v>
          </cell>
          <cell r="B404">
            <v>105.5</v>
          </cell>
          <cell r="N404">
            <v>0</v>
          </cell>
          <cell r="O404">
            <v>1921</v>
          </cell>
        </row>
        <row r="405">
          <cell r="A405">
            <v>37932</v>
          </cell>
          <cell r="B405">
            <v>105.5</v>
          </cell>
          <cell r="N405">
            <v>0</v>
          </cell>
          <cell r="O405">
            <v>1921</v>
          </cell>
        </row>
        <row r="406">
          <cell r="A406">
            <v>37935</v>
          </cell>
          <cell r="B406">
            <v>105</v>
          </cell>
          <cell r="N406">
            <v>0</v>
          </cell>
          <cell r="O406">
            <v>1921</v>
          </cell>
        </row>
        <row r="407">
          <cell r="A407">
            <v>37936</v>
          </cell>
          <cell r="B407">
            <v>105</v>
          </cell>
          <cell r="N407">
            <v>0</v>
          </cell>
          <cell r="O407">
            <v>1921</v>
          </cell>
        </row>
        <row r="408">
          <cell r="A408">
            <v>37937</v>
          </cell>
          <cell r="B408">
            <v>105.45</v>
          </cell>
          <cell r="N408">
            <v>100</v>
          </cell>
          <cell r="O408">
            <v>1871</v>
          </cell>
        </row>
        <row r="409">
          <cell r="A409">
            <v>37938</v>
          </cell>
          <cell r="B409">
            <v>105.55</v>
          </cell>
          <cell r="N409">
            <v>150</v>
          </cell>
          <cell r="O409">
            <v>1844</v>
          </cell>
        </row>
        <row r="410">
          <cell r="A410">
            <v>37939</v>
          </cell>
          <cell r="B410">
            <v>106</v>
          </cell>
          <cell r="N410">
            <v>218</v>
          </cell>
          <cell r="O410">
            <v>1724</v>
          </cell>
        </row>
        <row r="411">
          <cell r="A411">
            <v>37942</v>
          </cell>
          <cell r="B411">
            <v>106</v>
          </cell>
          <cell r="N411">
            <v>0</v>
          </cell>
          <cell r="O411">
            <v>1724</v>
          </cell>
        </row>
        <row r="412">
          <cell r="A412">
            <v>37943</v>
          </cell>
          <cell r="B412">
            <v>106</v>
          </cell>
          <cell r="N412">
            <v>0</v>
          </cell>
          <cell r="O412">
            <v>1724</v>
          </cell>
        </row>
        <row r="413">
          <cell r="A413">
            <v>37944</v>
          </cell>
          <cell r="B413">
            <v>106.23</v>
          </cell>
          <cell r="N413">
            <v>250</v>
          </cell>
          <cell r="O413">
            <v>1574</v>
          </cell>
        </row>
        <row r="414">
          <cell r="A414">
            <v>37945</v>
          </cell>
          <cell r="B414">
            <v>106.23</v>
          </cell>
          <cell r="N414">
            <v>0</v>
          </cell>
          <cell r="O414">
            <v>1574</v>
          </cell>
        </row>
        <row r="415">
          <cell r="A415">
            <v>37946</v>
          </cell>
          <cell r="B415">
            <v>106.8</v>
          </cell>
          <cell r="N415">
            <v>10</v>
          </cell>
          <cell r="O415">
            <v>1574</v>
          </cell>
        </row>
        <row r="416">
          <cell r="A416">
            <v>37952</v>
          </cell>
          <cell r="B416">
            <v>106.8</v>
          </cell>
          <cell r="N416">
            <v>0</v>
          </cell>
          <cell r="O416">
            <v>1574</v>
          </cell>
        </row>
        <row r="417">
          <cell r="A417">
            <v>37953</v>
          </cell>
          <cell r="B417">
            <v>106.4</v>
          </cell>
          <cell r="N417">
            <v>0</v>
          </cell>
          <cell r="O417">
            <v>1574</v>
          </cell>
        </row>
        <row r="418">
          <cell r="A418">
            <v>37956</v>
          </cell>
          <cell r="B418">
            <v>106.2</v>
          </cell>
          <cell r="N418">
            <v>0</v>
          </cell>
          <cell r="O418">
            <v>1574</v>
          </cell>
        </row>
        <row r="419">
          <cell r="A419">
            <v>37957</v>
          </cell>
          <cell r="B419">
            <v>106.2</v>
          </cell>
          <cell r="N419">
            <v>0</v>
          </cell>
          <cell r="O419">
            <v>1574</v>
          </cell>
        </row>
        <row r="420">
          <cell r="A420">
            <v>37958</v>
          </cell>
          <cell r="B420">
            <v>106.2</v>
          </cell>
          <cell r="N420">
            <v>0</v>
          </cell>
          <cell r="O420">
            <v>1574</v>
          </cell>
        </row>
        <row r="421">
          <cell r="A421">
            <v>37959</v>
          </cell>
          <cell r="B421">
            <v>106.2</v>
          </cell>
          <cell r="N421">
            <v>0</v>
          </cell>
          <cell r="O421">
            <v>1574</v>
          </cell>
        </row>
        <row r="422">
          <cell r="A422">
            <v>37960</v>
          </cell>
          <cell r="B422">
            <v>106.5</v>
          </cell>
          <cell r="N422">
            <v>50</v>
          </cell>
          <cell r="O422">
            <v>1574</v>
          </cell>
        </row>
        <row r="423">
          <cell r="A423">
            <v>37963</v>
          </cell>
          <cell r="B423">
            <v>106.51</v>
          </cell>
          <cell r="N423">
            <v>0</v>
          </cell>
          <cell r="O423">
            <v>1574</v>
          </cell>
        </row>
        <row r="424">
          <cell r="A424">
            <v>37964</v>
          </cell>
          <cell r="B424">
            <v>106.51</v>
          </cell>
          <cell r="N424">
            <v>0</v>
          </cell>
          <cell r="O424">
            <v>1574</v>
          </cell>
        </row>
        <row r="425">
          <cell r="A425">
            <v>37965</v>
          </cell>
          <cell r="B425">
            <v>106.51</v>
          </cell>
          <cell r="N425">
            <v>0</v>
          </cell>
          <cell r="O425">
            <v>1574</v>
          </cell>
        </row>
        <row r="426">
          <cell r="A426">
            <v>37966</v>
          </cell>
          <cell r="B426">
            <v>106.55</v>
          </cell>
          <cell r="N426">
            <v>0</v>
          </cell>
          <cell r="O426">
            <v>1574</v>
          </cell>
        </row>
        <row r="427">
          <cell r="A427">
            <v>37967</v>
          </cell>
          <cell r="B427">
            <v>106.81</v>
          </cell>
          <cell r="N427">
            <v>0</v>
          </cell>
          <cell r="O427">
            <v>1574</v>
          </cell>
        </row>
        <row r="428">
          <cell r="A428">
            <v>37970</v>
          </cell>
          <cell r="B428">
            <v>106.81</v>
          </cell>
          <cell r="N428">
            <v>0</v>
          </cell>
          <cell r="O428">
            <v>1574</v>
          </cell>
        </row>
        <row r="429">
          <cell r="A429">
            <v>37971</v>
          </cell>
          <cell r="B429">
            <v>106.81</v>
          </cell>
          <cell r="N429">
            <v>0</v>
          </cell>
          <cell r="O429">
            <v>1574</v>
          </cell>
        </row>
        <row r="430">
          <cell r="A430">
            <v>37972</v>
          </cell>
          <cell r="B430">
            <v>106.86</v>
          </cell>
          <cell r="N430">
            <v>2</v>
          </cell>
          <cell r="O430">
            <v>127</v>
          </cell>
        </row>
        <row r="431">
          <cell r="A431">
            <v>37973</v>
          </cell>
          <cell r="B431">
            <v>105.654</v>
          </cell>
          <cell r="N431">
            <v>0</v>
          </cell>
          <cell r="O431">
            <v>127</v>
          </cell>
        </row>
        <row r="432">
          <cell r="A432">
            <v>37974</v>
          </cell>
          <cell r="B432">
            <v>105.65</v>
          </cell>
          <cell r="N432">
            <v>0</v>
          </cell>
          <cell r="O432">
            <v>127</v>
          </cell>
        </row>
        <row r="433">
          <cell r="A433">
            <v>37977</v>
          </cell>
          <cell r="B433">
            <v>105.9</v>
          </cell>
          <cell r="N433">
            <v>0</v>
          </cell>
          <cell r="O433">
            <v>127</v>
          </cell>
        </row>
        <row r="434">
          <cell r="A434">
            <v>37978</v>
          </cell>
          <cell r="B434">
            <v>106</v>
          </cell>
          <cell r="N434">
            <v>0</v>
          </cell>
          <cell r="O434">
            <v>127</v>
          </cell>
        </row>
        <row r="435">
          <cell r="A435">
            <v>37979</v>
          </cell>
          <cell r="B435">
            <v>106</v>
          </cell>
          <cell r="N435">
            <v>0</v>
          </cell>
          <cell r="O435">
            <v>127</v>
          </cell>
        </row>
        <row r="436">
          <cell r="A436">
            <v>37981</v>
          </cell>
          <cell r="B436">
            <v>106</v>
          </cell>
          <cell r="N436">
            <v>0</v>
          </cell>
          <cell r="O436">
            <v>127</v>
          </cell>
        </row>
        <row r="437">
          <cell r="A437">
            <v>37984</v>
          </cell>
          <cell r="B437">
            <v>106.25</v>
          </cell>
          <cell r="N437">
            <v>0</v>
          </cell>
          <cell r="O437">
            <v>127</v>
          </cell>
        </row>
        <row r="438">
          <cell r="A438">
            <v>37985</v>
          </cell>
          <cell r="B438">
            <v>106.25</v>
          </cell>
          <cell r="N438">
            <v>0</v>
          </cell>
          <cell r="O438">
            <v>127</v>
          </cell>
        </row>
        <row r="439">
          <cell r="A439">
            <v>37986</v>
          </cell>
          <cell r="B439">
            <v>106.25</v>
          </cell>
          <cell r="N439">
            <v>0</v>
          </cell>
          <cell r="O439">
            <v>127</v>
          </cell>
        </row>
        <row r="440">
          <cell r="A440">
            <v>37988</v>
          </cell>
          <cell r="B440">
            <v>107</v>
          </cell>
          <cell r="N440">
            <v>220</v>
          </cell>
          <cell r="O440">
            <v>337</v>
          </cell>
        </row>
        <row r="441">
          <cell r="A441">
            <v>37991</v>
          </cell>
          <cell r="B441">
            <v>107</v>
          </cell>
          <cell r="N441">
            <v>0</v>
          </cell>
          <cell r="O441">
            <v>337</v>
          </cell>
        </row>
        <row r="442">
          <cell r="A442">
            <v>37992</v>
          </cell>
          <cell r="B442">
            <v>108.07</v>
          </cell>
          <cell r="N442">
            <v>330</v>
          </cell>
          <cell r="O442">
            <v>637</v>
          </cell>
        </row>
        <row r="443">
          <cell r="A443">
            <v>37993</v>
          </cell>
          <cell r="B443">
            <v>107.8</v>
          </cell>
          <cell r="N443">
            <v>101</v>
          </cell>
          <cell r="O443">
            <v>688</v>
          </cell>
        </row>
        <row r="444">
          <cell r="A444">
            <v>37994</v>
          </cell>
          <cell r="B444">
            <v>108.4</v>
          </cell>
          <cell r="N444">
            <v>387</v>
          </cell>
          <cell r="O444">
            <v>933</v>
          </cell>
        </row>
        <row r="445">
          <cell r="A445">
            <v>37995</v>
          </cell>
          <cell r="B445">
            <v>108.4</v>
          </cell>
          <cell r="N445">
            <v>0</v>
          </cell>
          <cell r="O445">
            <v>933</v>
          </cell>
        </row>
        <row r="446">
          <cell r="A446">
            <v>37998</v>
          </cell>
          <cell r="B446">
            <v>108.36</v>
          </cell>
          <cell r="N446">
            <v>20</v>
          </cell>
          <cell r="O446">
            <v>913</v>
          </cell>
        </row>
        <row r="447">
          <cell r="A447">
            <v>37999</v>
          </cell>
          <cell r="B447">
            <v>108.75</v>
          </cell>
          <cell r="N447">
            <v>200</v>
          </cell>
          <cell r="O447">
            <v>998</v>
          </cell>
        </row>
        <row r="448">
          <cell r="A448">
            <v>38000</v>
          </cell>
          <cell r="B448">
            <v>108.65</v>
          </cell>
          <cell r="N448">
            <v>52</v>
          </cell>
          <cell r="O448">
            <v>1047</v>
          </cell>
        </row>
      </sheetData>
      <sheetData sheetId="8">
        <row r="2">
          <cell r="N2" t="str">
            <v xml:space="preserve">Volume </v>
          </cell>
          <cell r="O2" t="str">
            <v>Open Position</v>
          </cell>
        </row>
        <row r="3">
          <cell r="A3">
            <v>37883</v>
          </cell>
          <cell r="N3">
            <v>1</v>
          </cell>
          <cell r="O3">
            <v>0</v>
          </cell>
        </row>
        <row r="4">
          <cell r="A4">
            <v>37886</v>
          </cell>
          <cell r="N4">
            <v>0</v>
          </cell>
          <cell r="O4">
            <v>0</v>
          </cell>
        </row>
        <row r="5">
          <cell r="A5">
            <v>37887</v>
          </cell>
          <cell r="N5">
            <v>30</v>
          </cell>
          <cell r="O5">
            <v>30</v>
          </cell>
        </row>
        <row r="6">
          <cell r="A6">
            <v>37888</v>
          </cell>
          <cell r="N6">
            <v>0</v>
          </cell>
          <cell r="O6">
            <v>30</v>
          </cell>
        </row>
        <row r="7">
          <cell r="A7">
            <v>37889</v>
          </cell>
          <cell r="N7">
            <v>0</v>
          </cell>
          <cell r="O7">
            <v>30</v>
          </cell>
        </row>
        <row r="8">
          <cell r="A8">
            <v>37890</v>
          </cell>
          <cell r="N8">
            <v>0</v>
          </cell>
          <cell r="O8">
            <v>30</v>
          </cell>
        </row>
        <row r="9">
          <cell r="A9">
            <v>37893</v>
          </cell>
          <cell r="N9">
            <v>0</v>
          </cell>
          <cell r="O9">
            <v>30</v>
          </cell>
        </row>
        <row r="10">
          <cell r="A10">
            <v>37894</v>
          </cell>
          <cell r="N10">
            <v>0</v>
          </cell>
          <cell r="O10">
            <v>30</v>
          </cell>
        </row>
        <row r="11">
          <cell r="A11">
            <v>37895</v>
          </cell>
          <cell r="N11">
            <v>0</v>
          </cell>
          <cell r="O11">
            <v>30</v>
          </cell>
        </row>
        <row r="12">
          <cell r="A12">
            <v>37896</v>
          </cell>
          <cell r="N12">
            <v>0</v>
          </cell>
          <cell r="O12">
            <v>30</v>
          </cell>
        </row>
        <row r="13">
          <cell r="A13">
            <v>37897</v>
          </cell>
          <cell r="N13">
            <v>50</v>
          </cell>
          <cell r="O13">
            <v>50</v>
          </cell>
        </row>
        <row r="14">
          <cell r="A14">
            <v>37900</v>
          </cell>
          <cell r="N14">
            <v>0</v>
          </cell>
          <cell r="O14">
            <v>50</v>
          </cell>
        </row>
        <row r="15">
          <cell r="A15">
            <v>37901</v>
          </cell>
          <cell r="N15">
            <v>0</v>
          </cell>
          <cell r="O15">
            <v>50</v>
          </cell>
        </row>
        <row r="16">
          <cell r="A16">
            <v>37902</v>
          </cell>
          <cell r="N16">
            <v>0</v>
          </cell>
          <cell r="O16">
            <v>50</v>
          </cell>
        </row>
        <row r="17">
          <cell r="A17">
            <v>37903</v>
          </cell>
          <cell r="N17">
            <v>0</v>
          </cell>
          <cell r="O17">
            <v>50</v>
          </cell>
        </row>
        <row r="18">
          <cell r="A18">
            <v>37904</v>
          </cell>
          <cell r="N18">
            <v>0</v>
          </cell>
          <cell r="O18">
            <v>50</v>
          </cell>
        </row>
        <row r="19">
          <cell r="A19">
            <v>37907</v>
          </cell>
          <cell r="N19">
            <v>0</v>
          </cell>
          <cell r="O19">
            <v>50</v>
          </cell>
        </row>
        <row r="20">
          <cell r="A20">
            <v>37908</v>
          </cell>
          <cell r="N20">
            <v>0</v>
          </cell>
          <cell r="O20">
            <v>50</v>
          </cell>
        </row>
        <row r="21">
          <cell r="A21">
            <v>37909</v>
          </cell>
          <cell r="N21">
            <v>0</v>
          </cell>
          <cell r="O21">
            <v>50</v>
          </cell>
        </row>
        <row r="22">
          <cell r="A22">
            <v>37910</v>
          </cell>
          <cell r="N22">
            <v>0</v>
          </cell>
          <cell r="O22">
            <v>50</v>
          </cell>
        </row>
        <row r="23">
          <cell r="A23">
            <v>37911</v>
          </cell>
          <cell r="N23">
            <v>0</v>
          </cell>
          <cell r="O23">
            <v>50</v>
          </cell>
        </row>
        <row r="24">
          <cell r="A24">
            <v>37914</v>
          </cell>
          <cell r="N24">
            <v>0</v>
          </cell>
          <cell r="O24">
            <v>50</v>
          </cell>
        </row>
        <row r="25">
          <cell r="A25">
            <v>37915</v>
          </cell>
          <cell r="N25">
            <v>0</v>
          </cell>
          <cell r="O25">
            <v>50</v>
          </cell>
        </row>
        <row r="26">
          <cell r="A26">
            <v>37916</v>
          </cell>
          <cell r="N26">
            <v>0</v>
          </cell>
          <cell r="O26">
            <v>50</v>
          </cell>
        </row>
        <row r="27">
          <cell r="A27">
            <v>37917</v>
          </cell>
          <cell r="N27">
            <v>0</v>
          </cell>
          <cell r="O27">
            <v>50</v>
          </cell>
        </row>
        <row r="28">
          <cell r="A28">
            <v>37921</v>
          </cell>
          <cell r="N28">
            <v>0</v>
          </cell>
          <cell r="O28">
            <v>50</v>
          </cell>
        </row>
        <row r="29">
          <cell r="A29">
            <v>37922</v>
          </cell>
          <cell r="N29">
            <v>0</v>
          </cell>
          <cell r="O29">
            <v>50</v>
          </cell>
        </row>
        <row r="30">
          <cell r="A30">
            <v>37923</v>
          </cell>
          <cell r="N30">
            <v>0</v>
          </cell>
          <cell r="O30">
            <v>50</v>
          </cell>
        </row>
        <row r="31">
          <cell r="A31">
            <v>37924</v>
          </cell>
          <cell r="N31">
            <v>0</v>
          </cell>
          <cell r="O31">
            <v>50</v>
          </cell>
        </row>
        <row r="32">
          <cell r="A32">
            <v>37925</v>
          </cell>
          <cell r="N32">
            <v>0</v>
          </cell>
          <cell r="O32">
            <v>50</v>
          </cell>
        </row>
        <row r="33">
          <cell r="A33">
            <v>37928</v>
          </cell>
          <cell r="N33">
            <v>0</v>
          </cell>
          <cell r="O33">
            <v>50</v>
          </cell>
        </row>
        <row r="34">
          <cell r="A34">
            <v>37929</v>
          </cell>
          <cell r="N34">
            <v>50</v>
          </cell>
          <cell r="O34">
            <v>80</v>
          </cell>
        </row>
        <row r="35">
          <cell r="A35">
            <v>37930</v>
          </cell>
          <cell r="N35">
            <v>0</v>
          </cell>
          <cell r="O35">
            <v>80</v>
          </cell>
        </row>
        <row r="36">
          <cell r="A36">
            <v>37931</v>
          </cell>
          <cell r="N36">
            <v>50</v>
          </cell>
          <cell r="O36">
            <v>130</v>
          </cell>
        </row>
        <row r="37">
          <cell r="A37">
            <v>37932</v>
          </cell>
          <cell r="N37">
            <v>0</v>
          </cell>
          <cell r="O37">
            <v>130</v>
          </cell>
        </row>
        <row r="38">
          <cell r="A38">
            <v>37935</v>
          </cell>
          <cell r="N38">
            <v>0</v>
          </cell>
          <cell r="O38">
            <v>130</v>
          </cell>
        </row>
        <row r="39">
          <cell r="A39">
            <v>37936</v>
          </cell>
          <cell r="N39">
            <v>0</v>
          </cell>
          <cell r="O39">
            <v>130</v>
          </cell>
        </row>
        <row r="40">
          <cell r="A40">
            <v>37937</v>
          </cell>
          <cell r="N40">
            <v>0</v>
          </cell>
          <cell r="O40">
            <v>130</v>
          </cell>
        </row>
        <row r="41">
          <cell r="A41">
            <v>37938</v>
          </cell>
          <cell r="N41">
            <v>100</v>
          </cell>
          <cell r="O41">
            <v>180</v>
          </cell>
        </row>
        <row r="42">
          <cell r="A42">
            <v>37939</v>
          </cell>
          <cell r="N42">
            <v>450</v>
          </cell>
          <cell r="O42">
            <v>580</v>
          </cell>
        </row>
        <row r="43">
          <cell r="A43">
            <v>37942</v>
          </cell>
          <cell r="N43">
            <v>0</v>
          </cell>
          <cell r="O43">
            <v>580</v>
          </cell>
        </row>
        <row r="44">
          <cell r="A44">
            <v>37943</v>
          </cell>
          <cell r="N44">
            <v>0</v>
          </cell>
          <cell r="O44">
            <v>580</v>
          </cell>
        </row>
        <row r="45">
          <cell r="A45">
            <v>37944</v>
          </cell>
          <cell r="N45">
            <v>0</v>
          </cell>
          <cell r="O45">
            <v>580</v>
          </cell>
        </row>
        <row r="46">
          <cell r="A46">
            <v>37945</v>
          </cell>
          <cell r="N46">
            <v>0</v>
          </cell>
          <cell r="O46">
            <v>580</v>
          </cell>
        </row>
        <row r="47">
          <cell r="A47">
            <v>37946</v>
          </cell>
          <cell r="N47">
            <v>0</v>
          </cell>
          <cell r="O47">
            <v>580</v>
          </cell>
        </row>
        <row r="48">
          <cell r="A48">
            <v>37952</v>
          </cell>
          <cell r="N48">
            <v>0</v>
          </cell>
          <cell r="O48">
            <v>580</v>
          </cell>
        </row>
        <row r="49">
          <cell r="A49">
            <v>37953</v>
          </cell>
          <cell r="N49">
            <v>0</v>
          </cell>
          <cell r="O49">
            <v>580</v>
          </cell>
        </row>
        <row r="50">
          <cell r="A50">
            <v>37956</v>
          </cell>
          <cell r="N50">
            <v>0</v>
          </cell>
          <cell r="O50">
            <v>580</v>
          </cell>
        </row>
        <row r="51">
          <cell r="A51">
            <v>37957</v>
          </cell>
          <cell r="N51">
            <v>0</v>
          </cell>
          <cell r="O51">
            <v>580</v>
          </cell>
        </row>
        <row r="52">
          <cell r="A52">
            <v>37958</v>
          </cell>
          <cell r="N52">
            <v>0</v>
          </cell>
          <cell r="O52">
            <v>580</v>
          </cell>
        </row>
        <row r="53">
          <cell r="A53">
            <v>37959</v>
          </cell>
          <cell r="N53">
            <v>0</v>
          </cell>
          <cell r="O53">
            <v>580</v>
          </cell>
        </row>
        <row r="54">
          <cell r="A54">
            <v>37960</v>
          </cell>
          <cell r="N54">
            <v>0</v>
          </cell>
          <cell r="O54">
            <v>580</v>
          </cell>
        </row>
        <row r="55">
          <cell r="A55">
            <v>37963</v>
          </cell>
          <cell r="N55">
            <v>0</v>
          </cell>
          <cell r="O55">
            <v>580</v>
          </cell>
        </row>
        <row r="56">
          <cell r="A56">
            <v>37964</v>
          </cell>
          <cell r="N56">
            <v>0</v>
          </cell>
          <cell r="O56">
            <v>580</v>
          </cell>
        </row>
        <row r="57">
          <cell r="A57">
            <v>37965</v>
          </cell>
          <cell r="N57">
            <v>0</v>
          </cell>
          <cell r="O57">
            <v>580</v>
          </cell>
        </row>
        <row r="58">
          <cell r="A58">
            <v>37966</v>
          </cell>
          <cell r="N58">
            <v>0</v>
          </cell>
          <cell r="O58">
            <v>580</v>
          </cell>
        </row>
        <row r="59">
          <cell r="A59">
            <v>37967</v>
          </cell>
          <cell r="N59">
            <v>0</v>
          </cell>
          <cell r="O59">
            <v>580</v>
          </cell>
        </row>
        <row r="60">
          <cell r="A60">
            <v>37970</v>
          </cell>
          <cell r="N60">
            <v>0</v>
          </cell>
          <cell r="O60">
            <v>580</v>
          </cell>
        </row>
        <row r="61">
          <cell r="A61">
            <v>37971</v>
          </cell>
          <cell r="N61">
            <v>0</v>
          </cell>
          <cell r="O61">
            <v>580</v>
          </cell>
        </row>
        <row r="62">
          <cell r="A62">
            <v>37972</v>
          </cell>
          <cell r="N62">
            <v>0</v>
          </cell>
          <cell r="O62">
            <v>0</v>
          </cell>
        </row>
        <row r="63">
          <cell r="A63">
            <v>37973</v>
          </cell>
          <cell r="N63">
            <v>0</v>
          </cell>
          <cell r="O63">
            <v>0</v>
          </cell>
        </row>
        <row r="64">
          <cell r="A64">
            <v>37974</v>
          </cell>
          <cell r="N64">
            <v>50</v>
          </cell>
          <cell r="O64">
            <v>50</v>
          </cell>
        </row>
        <row r="65">
          <cell r="A65">
            <v>37977</v>
          </cell>
          <cell r="N65">
            <v>0</v>
          </cell>
          <cell r="O65">
            <v>50</v>
          </cell>
        </row>
        <row r="66">
          <cell r="A66">
            <v>37978</v>
          </cell>
          <cell r="N66">
            <v>0</v>
          </cell>
          <cell r="O66">
            <v>50</v>
          </cell>
        </row>
        <row r="67">
          <cell r="A67">
            <v>37979</v>
          </cell>
          <cell r="N67">
            <v>0</v>
          </cell>
          <cell r="O67">
            <v>50</v>
          </cell>
        </row>
        <row r="68">
          <cell r="A68">
            <v>37981</v>
          </cell>
          <cell r="N68">
            <v>0</v>
          </cell>
          <cell r="O68">
            <v>50</v>
          </cell>
        </row>
        <row r="69">
          <cell r="A69">
            <v>37984</v>
          </cell>
          <cell r="N69">
            <v>0</v>
          </cell>
          <cell r="O69">
            <v>50</v>
          </cell>
        </row>
        <row r="70">
          <cell r="A70">
            <v>37985</v>
          </cell>
          <cell r="N70">
            <v>0</v>
          </cell>
          <cell r="O70">
            <v>50</v>
          </cell>
        </row>
        <row r="71">
          <cell r="A71">
            <v>37986</v>
          </cell>
          <cell r="N71">
            <v>0</v>
          </cell>
          <cell r="O71">
            <v>50</v>
          </cell>
        </row>
        <row r="72">
          <cell r="A72">
            <v>37988</v>
          </cell>
          <cell r="N72">
            <v>0</v>
          </cell>
          <cell r="O72">
            <v>50</v>
          </cell>
        </row>
        <row r="73">
          <cell r="A73">
            <v>37991</v>
          </cell>
          <cell r="N73">
            <v>50</v>
          </cell>
          <cell r="O73">
            <v>100</v>
          </cell>
        </row>
        <row r="74">
          <cell r="A74">
            <v>37992</v>
          </cell>
          <cell r="N74">
            <v>350</v>
          </cell>
          <cell r="O74">
            <v>420</v>
          </cell>
        </row>
        <row r="75">
          <cell r="A75">
            <v>37993</v>
          </cell>
          <cell r="N75">
            <v>50</v>
          </cell>
          <cell r="O75">
            <v>370</v>
          </cell>
        </row>
        <row r="76">
          <cell r="A76">
            <v>37994</v>
          </cell>
          <cell r="N76">
            <v>420</v>
          </cell>
          <cell r="O76">
            <v>220</v>
          </cell>
        </row>
        <row r="77">
          <cell r="A77">
            <v>37995</v>
          </cell>
          <cell r="N77">
            <v>50</v>
          </cell>
          <cell r="O77">
            <v>270</v>
          </cell>
        </row>
        <row r="78">
          <cell r="A78">
            <v>37998</v>
          </cell>
          <cell r="N78">
            <v>150</v>
          </cell>
          <cell r="O78">
            <v>220</v>
          </cell>
        </row>
        <row r="79">
          <cell r="A79">
            <v>37999</v>
          </cell>
          <cell r="N79">
            <v>0</v>
          </cell>
          <cell r="O79">
            <v>220</v>
          </cell>
        </row>
        <row r="80">
          <cell r="A80">
            <v>38000</v>
          </cell>
          <cell r="N80">
            <v>50</v>
          </cell>
          <cell r="O80">
            <v>220</v>
          </cell>
        </row>
      </sheetData>
      <sheetData sheetId="9">
        <row r="2">
          <cell r="N2" t="str">
            <v xml:space="preserve">Volume </v>
          </cell>
          <cell r="O2" t="str">
            <v>Open Position</v>
          </cell>
        </row>
        <row r="3">
          <cell r="A3">
            <v>37883</v>
          </cell>
          <cell r="N3">
            <v>11</v>
          </cell>
          <cell r="O3">
            <v>10</v>
          </cell>
        </row>
        <row r="4">
          <cell r="A4">
            <v>37886</v>
          </cell>
          <cell r="N4">
            <v>0</v>
          </cell>
          <cell r="O4">
            <v>10</v>
          </cell>
        </row>
        <row r="5">
          <cell r="A5">
            <v>37887</v>
          </cell>
          <cell r="N5">
            <v>0</v>
          </cell>
          <cell r="O5">
            <v>10</v>
          </cell>
        </row>
        <row r="6">
          <cell r="A6">
            <v>37888</v>
          </cell>
          <cell r="N6">
            <v>0</v>
          </cell>
          <cell r="O6">
            <v>10</v>
          </cell>
        </row>
        <row r="7">
          <cell r="A7">
            <v>37889</v>
          </cell>
          <cell r="N7">
            <v>0</v>
          </cell>
          <cell r="O7">
            <v>10</v>
          </cell>
        </row>
        <row r="8">
          <cell r="A8">
            <v>37890</v>
          </cell>
          <cell r="N8">
            <v>0</v>
          </cell>
          <cell r="O8">
            <v>10</v>
          </cell>
        </row>
        <row r="9">
          <cell r="A9">
            <v>37893</v>
          </cell>
          <cell r="N9">
            <v>0</v>
          </cell>
          <cell r="O9">
            <v>10</v>
          </cell>
        </row>
        <row r="10">
          <cell r="A10">
            <v>37894</v>
          </cell>
          <cell r="N10">
            <v>0</v>
          </cell>
          <cell r="O10">
            <v>10</v>
          </cell>
        </row>
        <row r="11">
          <cell r="A11">
            <v>37895</v>
          </cell>
          <cell r="N11">
            <v>0</v>
          </cell>
          <cell r="O11">
            <v>10</v>
          </cell>
        </row>
        <row r="12">
          <cell r="A12">
            <v>37896</v>
          </cell>
          <cell r="N12">
            <v>0</v>
          </cell>
          <cell r="O12">
            <v>10</v>
          </cell>
        </row>
        <row r="13">
          <cell r="A13">
            <v>37897</v>
          </cell>
          <cell r="N13">
            <v>0</v>
          </cell>
          <cell r="O13">
            <v>10</v>
          </cell>
        </row>
        <row r="14">
          <cell r="A14">
            <v>37900</v>
          </cell>
          <cell r="N14">
            <v>0</v>
          </cell>
          <cell r="O14">
            <v>10</v>
          </cell>
        </row>
        <row r="15">
          <cell r="A15">
            <v>37901</v>
          </cell>
          <cell r="N15">
            <v>0</v>
          </cell>
          <cell r="O15">
            <v>10</v>
          </cell>
        </row>
        <row r="16">
          <cell r="A16">
            <v>37902</v>
          </cell>
          <cell r="N16">
            <v>0</v>
          </cell>
          <cell r="O16">
            <v>10</v>
          </cell>
        </row>
        <row r="17">
          <cell r="A17">
            <v>37903</v>
          </cell>
          <cell r="N17">
            <v>0</v>
          </cell>
          <cell r="O17">
            <v>10</v>
          </cell>
        </row>
        <row r="18">
          <cell r="A18">
            <v>37904</v>
          </cell>
          <cell r="N18">
            <v>0</v>
          </cell>
          <cell r="O18">
            <v>10</v>
          </cell>
        </row>
        <row r="19">
          <cell r="A19">
            <v>37907</v>
          </cell>
          <cell r="N19">
            <v>0</v>
          </cell>
          <cell r="O19">
            <v>10</v>
          </cell>
        </row>
        <row r="20">
          <cell r="A20">
            <v>37908</v>
          </cell>
          <cell r="N20">
            <v>0</v>
          </cell>
          <cell r="O20">
            <v>10</v>
          </cell>
        </row>
        <row r="21">
          <cell r="A21">
            <v>37909</v>
          </cell>
          <cell r="N21">
            <v>0</v>
          </cell>
          <cell r="O21">
            <v>10</v>
          </cell>
        </row>
        <row r="22">
          <cell r="A22">
            <v>37910</v>
          </cell>
          <cell r="N22">
            <v>0</v>
          </cell>
          <cell r="O22">
            <v>10</v>
          </cell>
        </row>
        <row r="23">
          <cell r="A23">
            <v>37911</v>
          </cell>
          <cell r="N23">
            <v>0</v>
          </cell>
          <cell r="O23">
            <v>10</v>
          </cell>
        </row>
        <row r="24">
          <cell r="A24">
            <v>37914</v>
          </cell>
          <cell r="N24">
            <v>0</v>
          </cell>
          <cell r="O24">
            <v>10</v>
          </cell>
        </row>
        <row r="25">
          <cell r="A25">
            <v>37915</v>
          </cell>
          <cell r="N25">
            <v>0</v>
          </cell>
          <cell r="O25">
            <v>10</v>
          </cell>
        </row>
        <row r="26">
          <cell r="A26">
            <v>37916</v>
          </cell>
          <cell r="N26">
            <v>0</v>
          </cell>
          <cell r="O26">
            <v>10</v>
          </cell>
        </row>
        <row r="27">
          <cell r="A27">
            <v>37917</v>
          </cell>
          <cell r="N27">
            <v>0</v>
          </cell>
          <cell r="O27">
            <v>10</v>
          </cell>
        </row>
        <row r="28">
          <cell r="A28">
            <v>37921</v>
          </cell>
          <cell r="N28">
            <v>0</v>
          </cell>
          <cell r="O28">
            <v>10</v>
          </cell>
        </row>
        <row r="29">
          <cell r="A29">
            <v>37922</v>
          </cell>
          <cell r="N29">
            <v>0</v>
          </cell>
          <cell r="O29">
            <v>10</v>
          </cell>
        </row>
        <row r="30">
          <cell r="A30">
            <v>37923</v>
          </cell>
          <cell r="N30">
            <v>0</v>
          </cell>
          <cell r="O30">
            <v>10</v>
          </cell>
        </row>
        <row r="31">
          <cell r="A31">
            <v>37924</v>
          </cell>
          <cell r="N31">
            <v>0</v>
          </cell>
          <cell r="O31">
            <v>10</v>
          </cell>
        </row>
        <row r="32">
          <cell r="A32">
            <v>37925</v>
          </cell>
          <cell r="N32">
            <v>0</v>
          </cell>
          <cell r="O32">
            <v>10</v>
          </cell>
        </row>
        <row r="33">
          <cell r="A33">
            <v>37928</v>
          </cell>
          <cell r="N33">
            <v>0</v>
          </cell>
          <cell r="O33">
            <v>10</v>
          </cell>
        </row>
        <row r="34">
          <cell r="A34">
            <v>37929</v>
          </cell>
          <cell r="N34">
            <v>0</v>
          </cell>
          <cell r="O34">
            <v>10</v>
          </cell>
        </row>
        <row r="35">
          <cell r="A35">
            <v>37930</v>
          </cell>
          <cell r="N35">
            <v>0</v>
          </cell>
          <cell r="O35">
            <v>10</v>
          </cell>
        </row>
        <row r="36">
          <cell r="A36">
            <v>37931</v>
          </cell>
          <cell r="N36">
            <v>0</v>
          </cell>
          <cell r="O36">
            <v>10</v>
          </cell>
        </row>
        <row r="37">
          <cell r="A37">
            <v>37932</v>
          </cell>
          <cell r="N37">
            <v>0</v>
          </cell>
          <cell r="O37">
            <v>10</v>
          </cell>
        </row>
        <row r="38">
          <cell r="A38">
            <v>37935</v>
          </cell>
          <cell r="N38">
            <v>0</v>
          </cell>
          <cell r="O38">
            <v>10</v>
          </cell>
        </row>
        <row r="39">
          <cell r="A39">
            <v>37936</v>
          </cell>
          <cell r="N39">
            <v>0</v>
          </cell>
          <cell r="O39">
            <v>10</v>
          </cell>
        </row>
        <row r="40">
          <cell r="A40">
            <v>37937</v>
          </cell>
          <cell r="N40">
            <v>0</v>
          </cell>
          <cell r="O40">
            <v>10</v>
          </cell>
        </row>
        <row r="41">
          <cell r="A41">
            <v>37938</v>
          </cell>
          <cell r="N41">
            <v>0</v>
          </cell>
          <cell r="O41">
            <v>10</v>
          </cell>
        </row>
        <row r="42">
          <cell r="A42">
            <v>37939</v>
          </cell>
          <cell r="N42">
            <v>0</v>
          </cell>
          <cell r="O42">
            <v>10</v>
          </cell>
        </row>
        <row r="43">
          <cell r="A43">
            <v>37942</v>
          </cell>
          <cell r="N43">
            <v>0</v>
          </cell>
          <cell r="O43">
            <v>10</v>
          </cell>
        </row>
        <row r="44">
          <cell r="A44">
            <v>37943</v>
          </cell>
          <cell r="N44">
            <v>0</v>
          </cell>
          <cell r="O44">
            <v>10</v>
          </cell>
        </row>
        <row r="45">
          <cell r="A45">
            <v>37944</v>
          </cell>
          <cell r="N45">
            <v>0</v>
          </cell>
          <cell r="O45">
            <v>10</v>
          </cell>
        </row>
        <row r="46">
          <cell r="A46">
            <v>37945</v>
          </cell>
          <cell r="N46">
            <v>0</v>
          </cell>
          <cell r="O46">
            <v>10</v>
          </cell>
        </row>
        <row r="47">
          <cell r="A47">
            <v>37946</v>
          </cell>
          <cell r="N47">
            <v>0</v>
          </cell>
          <cell r="O47">
            <v>10</v>
          </cell>
        </row>
        <row r="48">
          <cell r="A48">
            <v>37952</v>
          </cell>
          <cell r="N48">
            <v>0</v>
          </cell>
          <cell r="O48">
            <v>10</v>
          </cell>
        </row>
        <row r="49">
          <cell r="A49">
            <v>37953</v>
          </cell>
          <cell r="N49">
            <v>0</v>
          </cell>
          <cell r="O49">
            <v>10</v>
          </cell>
        </row>
        <row r="50">
          <cell r="A50">
            <v>37956</v>
          </cell>
          <cell r="N50">
            <v>0</v>
          </cell>
          <cell r="O50">
            <v>10</v>
          </cell>
        </row>
        <row r="51">
          <cell r="A51">
            <v>37957</v>
          </cell>
          <cell r="N51">
            <v>0</v>
          </cell>
          <cell r="O51">
            <v>10</v>
          </cell>
        </row>
        <row r="52">
          <cell r="A52">
            <v>37958</v>
          </cell>
          <cell r="N52">
            <v>0</v>
          </cell>
          <cell r="O52">
            <v>10</v>
          </cell>
        </row>
        <row r="53">
          <cell r="A53">
            <v>37959</v>
          </cell>
          <cell r="N53">
            <v>0</v>
          </cell>
          <cell r="O53">
            <v>10</v>
          </cell>
        </row>
        <row r="54">
          <cell r="A54">
            <v>37960</v>
          </cell>
          <cell r="N54">
            <v>0</v>
          </cell>
          <cell r="O54">
            <v>10</v>
          </cell>
        </row>
        <row r="55">
          <cell r="A55">
            <v>37963</v>
          </cell>
          <cell r="N55">
            <v>0</v>
          </cell>
          <cell r="O55">
            <v>10</v>
          </cell>
        </row>
        <row r="56">
          <cell r="A56">
            <v>37964</v>
          </cell>
          <cell r="N56">
            <v>0</v>
          </cell>
          <cell r="O56">
            <v>10</v>
          </cell>
        </row>
        <row r="57">
          <cell r="A57">
            <v>37965</v>
          </cell>
          <cell r="N57">
            <v>0</v>
          </cell>
          <cell r="O57">
            <v>10</v>
          </cell>
        </row>
        <row r="58">
          <cell r="A58">
            <v>37966</v>
          </cell>
          <cell r="N58">
            <v>0</v>
          </cell>
          <cell r="O58">
            <v>10</v>
          </cell>
        </row>
        <row r="59">
          <cell r="A59">
            <v>37967</v>
          </cell>
          <cell r="N59">
            <v>0</v>
          </cell>
          <cell r="O59">
            <v>10</v>
          </cell>
        </row>
        <row r="60">
          <cell r="A60">
            <v>37970</v>
          </cell>
          <cell r="N60">
            <v>0</v>
          </cell>
          <cell r="O60">
            <v>10</v>
          </cell>
        </row>
        <row r="61">
          <cell r="A61">
            <v>37971</v>
          </cell>
          <cell r="N61">
            <v>0</v>
          </cell>
          <cell r="O61">
            <v>10</v>
          </cell>
        </row>
        <row r="62">
          <cell r="A62">
            <v>37972</v>
          </cell>
          <cell r="N62">
            <v>0</v>
          </cell>
          <cell r="O62">
            <v>0</v>
          </cell>
        </row>
        <row r="63">
          <cell r="A63">
            <v>37973</v>
          </cell>
          <cell r="N63">
            <v>0</v>
          </cell>
          <cell r="O63">
            <v>0</v>
          </cell>
        </row>
        <row r="64">
          <cell r="A64">
            <v>37974</v>
          </cell>
          <cell r="N64">
            <v>0</v>
          </cell>
          <cell r="O64">
            <v>0</v>
          </cell>
        </row>
        <row r="65">
          <cell r="A65">
            <v>37977</v>
          </cell>
          <cell r="N65">
            <v>0</v>
          </cell>
          <cell r="O65">
            <v>0</v>
          </cell>
        </row>
        <row r="66">
          <cell r="A66">
            <v>37978</v>
          </cell>
          <cell r="N66">
            <v>0</v>
          </cell>
          <cell r="O66">
            <v>0</v>
          </cell>
        </row>
        <row r="67">
          <cell r="A67">
            <v>37979</v>
          </cell>
          <cell r="N67">
            <v>0</v>
          </cell>
          <cell r="O67">
            <v>0</v>
          </cell>
        </row>
        <row r="68">
          <cell r="A68">
            <v>37981</v>
          </cell>
          <cell r="N68">
            <v>0</v>
          </cell>
          <cell r="O68">
            <v>0</v>
          </cell>
        </row>
        <row r="69">
          <cell r="A69">
            <v>37984</v>
          </cell>
          <cell r="N69">
            <v>0</v>
          </cell>
          <cell r="O69">
            <v>0</v>
          </cell>
        </row>
        <row r="70">
          <cell r="A70">
            <v>37985</v>
          </cell>
          <cell r="N70">
            <v>0</v>
          </cell>
          <cell r="O70">
            <v>0</v>
          </cell>
        </row>
        <row r="71">
          <cell r="A71">
            <v>37986</v>
          </cell>
          <cell r="N71">
            <v>0</v>
          </cell>
          <cell r="O71">
            <v>0</v>
          </cell>
        </row>
        <row r="72">
          <cell r="A72">
            <v>37988</v>
          </cell>
          <cell r="N72">
            <v>0</v>
          </cell>
          <cell r="O72">
            <v>0</v>
          </cell>
        </row>
        <row r="73">
          <cell r="A73">
            <v>37991</v>
          </cell>
          <cell r="N73">
            <v>0</v>
          </cell>
          <cell r="O73">
            <v>0</v>
          </cell>
        </row>
        <row r="74">
          <cell r="A74">
            <v>37992</v>
          </cell>
          <cell r="N74">
            <v>0</v>
          </cell>
          <cell r="O74">
            <v>0</v>
          </cell>
        </row>
        <row r="75">
          <cell r="A75">
            <v>37993</v>
          </cell>
          <cell r="N75">
            <v>0</v>
          </cell>
          <cell r="O75">
            <v>0</v>
          </cell>
        </row>
        <row r="76">
          <cell r="A76">
            <v>37994</v>
          </cell>
          <cell r="N76">
            <v>0</v>
          </cell>
          <cell r="O76">
            <v>0</v>
          </cell>
        </row>
        <row r="77">
          <cell r="A77">
            <v>37995</v>
          </cell>
          <cell r="N77">
            <v>0</v>
          </cell>
          <cell r="O77">
            <v>0</v>
          </cell>
        </row>
        <row r="78">
          <cell r="A78">
            <v>37998</v>
          </cell>
          <cell r="N78">
            <v>0</v>
          </cell>
          <cell r="O78">
            <v>0</v>
          </cell>
        </row>
        <row r="79">
          <cell r="A79">
            <v>37999</v>
          </cell>
          <cell r="N79">
            <v>0</v>
          </cell>
          <cell r="O79">
            <v>0</v>
          </cell>
        </row>
        <row r="80">
          <cell r="A80">
            <v>38000</v>
          </cell>
          <cell r="N80">
            <v>0</v>
          </cell>
          <cell r="O80">
            <v>0</v>
          </cell>
        </row>
      </sheetData>
      <sheetData sheetId="10">
        <row r="1">
          <cell r="B1" t="str">
            <v xml:space="preserve">Volume </v>
          </cell>
          <cell r="C1" t="str">
            <v>Open Position</v>
          </cell>
        </row>
        <row r="5441">
          <cell r="A5441">
            <v>37636</v>
          </cell>
          <cell r="B5441">
            <v>7424</v>
          </cell>
          <cell r="C5441">
            <v>49795</v>
          </cell>
        </row>
        <row r="5442">
          <cell r="A5442">
            <v>37637</v>
          </cell>
          <cell r="B5442">
            <v>13565</v>
          </cell>
          <cell r="C5442">
            <v>50232</v>
          </cell>
        </row>
        <row r="5443">
          <cell r="A5443">
            <v>37638</v>
          </cell>
          <cell r="B5443">
            <v>4835</v>
          </cell>
          <cell r="C5443">
            <v>49342</v>
          </cell>
        </row>
        <row r="5444">
          <cell r="A5444">
            <v>37641</v>
          </cell>
          <cell r="B5444">
            <v>4517</v>
          </cell>
          <cell r="C5444">
            <v>49220</v>
          </cell>
        </row>
        <row r="5445">
          <cell r="A5445">
            <v>37642</v>
          </cell>
          <cell r="B5445">
            <v>10104</v>
          </cell>
          <cell r="C5445">
            <v>50481</v>
          </cell>
        </row>
        <row r="5446">
          <cell r="A5446">
            <v>37643</v>
          </cell>
          <cell r="B5446">
            <v>5686</v>
          </cell>
          <cell r="C5446">
            <v>50617</v>
          </cell>
        </row>
        <row r="5447">
          <cell r="A5447">
            <v>37644</v>
          </cell>
          <cell r="B5447">
            <v>9987</v>
          </cell>
          <cell r="C5447">
            <v>51569</v>
          </cell>
        </row>
        <row r="5448">
          <cell r="A5448">
            <v>37645</v>
          </cell>
          <cell r="B5448">
            <v>6372</v>
          </cell>
          <cell r="C5448">
            <v>52230</v>
          </cell>
        </row>
        <row r="5449">
          <cell r="A5449">
            <v>37648</v>
          </cell>
          <cell r="B5449">
            <v>8381</v>
          </cell>
          <cell r="C5449">
            <v>52043</v>
          </cell>
        </row>
        <row r="5450">
          <cell r="A5450">
            <v>37649</v>
          </cell>
          <cell r="B5450">
            <v>6491</v>
          </cell>
          <cell r="C5450">
            <v>52988</v>
          </cell>
        </row>
        <row r="5451">
          <cell r="A5451">
            <v>37650</v>
          </cell>
          <cell r="B5451">
            <v>5235</v>
          </cell>
          <cell r="C5451">
            <v>52622</v>
          </cell>
        </row>
        <row r="5452">
          <cell r="A5452">
            <v>37651</v>
          </cell>
          <cell r="B5452">
            <v>6842</v>
          </cell>
          <cell r="C5452">
            <v>52724</v>
          </cell>
        </row>
        <row r="5453">
          <cell r="A5453">
            <v>37657</v>
          </cell>
          <cell r="B5453">
            <v>3901</v>
          </cell>
          <cell r="C5453">
            <v>52657</v>
          </cell>
        </row>
        <row r="5454">
          <cell r="A5454">
            <v>37658</v>
          </cell>
          <cell r="B5454">
            <v>2075</v>
          </cell>
          <cell r="C5454">
            <v>52718</v>
          </cell>
        </row>
        <row r="5455">
          <cell r="A5455">
            <v>37659</v>
          </cell>
          <cell r="B5455">
            <v>6155</v>
          </cell>
          <cell r="C5455">
            <v>52980</v>
          </cell>
        </row>
        <row r="5456">
          <cell r="A5456">
            <v>37662</v>
          </cell>
          <cell r="B5456">
            <v>5725</v>
          </cell>
          <cell r="C5456">
            <v>53131</v>
          </cell>
        </row>
        <row r="5457">
          <cell r="A5457">
            <v>37663</v>
          </cell>
          <cell r="B5457">
            <v>6176</v>
          </cell>
          <cell r="C5457">
            <v>53933</v>
          </cell>
        </row>
        <row r="5458">
          <cell r="A5458">
            <v>37665</v>
          </cell>
          <cell r="B5458">
            <v>6392</v>
          </cell>
          <cell r="C5458">
            <v>54874</v>
          </cell>
        </row>
        <row r="5459">
          <cell r="A5459">
            <v>37666</v>
          </cell>
          <cell r="B5459">
            <v>4053</v>
          </cell>
          <cell r="C5459">
            <v>54674</v>
          </cell>
        </row>
        <row r="5460">
          <cell r="A5460">
            <v>37669</v>
          </cell>
          <cell r="B5460">
            <v>12310</v>
          </cell>
          <cell r="C5460">
            <v>54222</v>
          </cell>
        </row>
        <row r="5461">
          <cell r="A5461">
            <v>37670</v>
          </cell>
          <cell r="B5461">
            <v>7571</v>
          </cell>
          <cell r="C5461">
            <v>54657</v>
          </cell>
        </row>
        <row r="5462">
          <cell r="A5462">
            <v>37671</v>
          </cell>
          <cell r="B5462">
            <v>9201</v>
          </cell>
          <cell r="C5462">
            <v>55118</v>
          </cell>
        </row>
        <row r="5463">
          <cell r="A5463">
            <v>37672</v>
          </cell>
          <cell r="B5463">
            <v>4699</v>
          </cell>
          <cell r="C5463">
            <v>55094</v>
          </cell>
        </row>
        <row r="5464">
          <cell r="A5464">
            <v>37673</v>
          </cell>
          <cell r="B5464">
            <v>4309</v>
          </cell>
          <cell r="C5464">
            <v>55469</v>
          </cell>
        </row>
        <row r="5465">
          <cell r="A5465">
            <v>37676</v>
          </cell>
          <cell r="B5465">
            <v>3666</v>
          </cell>
          <cell r="C5465">
            <v>56317</v>
          </cell>
        </row>
        <row r="5466">
          <cell r="A5466">
            <v>37677</v>
          </cell>
          <cell r="B5466">
            <v>4710</v>
          </cell>
          <cell r="C5466">
            <v>56211</v>
          </cell>
        </row>
        <row r="5467">
          <cell r="A5467">
            <v>37678</v>
          </cell>
          <cell r="B5467">
            <v>3773</v>
          </cell>
          <cell r="C5467">
            <v>56166</v>
          </cell>
        </row>
        <row r="5468">
          <cell r="A5468">
            <v>37679</v>
          </cell>
          <cell r="B5468">
            <v>4759</v>
          </cell>
          <cell r="C5468">
            <v>56335</v>
          </cell>
        </row>
        <row r="5469">
          <cell r="A5469">
            <v>37680</v>
          </cell>
          <cell r="B5469">
            <v>9027</v>
          </cell>
          <cell r="C5469">
            <v>56453</v>
          </cell>
        </row>
        <row r="5470">
          <cell r="A5470">
            <v>37683</v>
          </cell>
          <cell r="B5470">
            <v>3650</v>
          </cell>
          <cell r="C5470">
            <v>55727</v>
          </cell>
        </row>
        <row r="5471">
          <cell r="A5471">
            <v>37685</v>
          </cell>
          <cell r="B5471">
            <v>15697</v>
          </cell>
          <cell r="C5471">
            <v>52738</v>
          </cell>
        </row>
        <row r="5472">
          <cell r="A5472">
            <v>37686</v>
          </cell>
          <cell r="B5472">
            <v>6006</v>
          </cell>
          <cell r="C5472">
            <v>53519</v>
          </cell>
        </row>
        <row r="5473">
          <cell r="A5473">
            <v>37687</v>
          </cell>
          <cell r="B5473">
            <v>7680</v>
          </cell>
          <cell r="C5473">
            <v>54481</v>
          </cell>
        </row>
        <row r="5474">
          <cell r="A5474">
            <v>37690</v>
          </cell>
          <cell r="B5474">
            <v>9142</v>
          </cell>
          <cell r="C5474">
            <v>55284</v>
          </cell>
        </row>
        <row r="5475">
          <cell r="A5475">
            <v>37691</v>
          </cell>
          <cell r="B5475">
            <v>8316</v>
          </cell>
          <cell r="C5475">
            <v>54871</v>
          </cell>
        </row>
        <row r="5476">
          <cell r="A5476">
            <v>37692</v>
          </cell>
          <cell r="B5476">
            <v>8170</v>
          </cell>
          <cell r="C5476">
            <v>55206</v>
          </cell>
        </row>
        <row r="5477">
          <cell r="A5477">
            <v>37693</v>
          </cell>
          <cell r="B5477">
            <v>5496</v>
          </cell>
          <cell r="C5477">
            <v>54947</v>
          </cell>
        </row>
        <row r="5478">
          <cell r="A5478">
            <v>37694</v>
          </cell>
          <cell r="B5478">
            <v>7509</v>
          </cell>
          <cell r="C5478">
            <v>56541</v>
          </cell>
        </row>
        <row r="5479">
          <cell r="A5479">
            <v>37697</v>
          </cell>
          <cell r="B5479">
            <v>11781</v>
          </cell>
          <cell r="C5479">
            <v>56046</v>
          </cell>
        </row>
        <row r="5480">
          <cell r="A5480">
            <v>37698</v>
          </cell>
          <cell r="B5480">
            <v>5681</v>
          </cell>
          <cell r="C5480">
            <v>55230</v>
          </cell>
        </row>
        <row r="5481">
          <cell r="A5481">
            <v>37699</v>
          </cell>
          <cell r="B5481">
            <v>8377</v>
          </cell>
          <cell r="C5481">
            <v>50550</v>
          </cell>
        </row>
        <row r="5482">
          <cell r="A5482">
            <v>37700</v>
          </cell>
          <cell r="B5482">
            <v>9523</v>
          </cell>
          <cell r="C5482">
            <v>50407</v>
          </cell>
        </row>
        <row r="5483">
          <cell r="A5483">
            <v>37701</v>
          </cell>
          <cell r="B5483">
            <v>7248</v>
          </cell>
          <cell r="C5483">
            <v>51713</v>
          </cell>
        </row>
        <row r="5484">
          <cell r="A5484">
            <v>37704</v>
          </cell>
          <cell r="B5484">
            <v>7789</v>
          </cell>
          <cell r="C5484">
            <v>51948</v>
          </cell>
        </row>
        <row r="5485">
          <cell r="A5485">
            <v>37705</v>
          </cell>
          <cell r="B5485">
            <v>14056</v>
          </cell>
          <cell r="C5485">
            <v>51688</v>
          </cell>
        </row>
        <row r="5486">
          <cell r="A5486">
            <v>37706</v>
          </cell>
          <cell r="B5486">
            <v>15380</v>
          </cell>
          <cell r="C5486">
            <v>53688</v>
          </cell>
        </row>
        <row r="5487">
          <cell r="A5487">
            <v>37707</v>
          </cell>
          <cell r="B5487">
            <v>13278</v>
          </cell>
          <cell r="C5487">
            <v>55796</v>
          </cell>
        </row>
        <row r="5488">
          <cell r="A5488">
            <v>37708</v>
          </cell>
          <cell r="B5488">
            <v>10086</v>
          </cell>
          <cell r="C5488">
            <v>56165</v>
          </cell>
        </row>
        <row r="5489">
          <cell r="A5489">
            <v>37711</v>
          </cell>
          <cell r="B5489">
            <v>7869</v>
          </cell>
          <cell r="C5489">
            <v>54633</v>
          </cell>
        </row>
        <row r="5490">
          <cell r="A5490">
            <v>37712</v>
          </cell>
          <cell r="B5490">
            <v>6830</v>
          </cell>
          <cell r="C5490">
            <v>55264</v>
          </cell>
        </row>
        <row r="5491">
          <cell r="A5491">
            <v>37713</v>
          </cell>
          <cell r="B5491">
            <v>7623</v>
          </cell>
          <cell r="C5491">
            <v>55734</v>
          </cell>
        </row>
        <row r="5492">
          <cell r="A5492">
            <v>37714</v>
          </cell>
          <cell r="B5492">
            <v>9665</v>
          </cell>
          <cell r="C5492">
            <v>56118</v>
          </cell>
        </row>
        <row r="5493">
          <cell r="A5493">
            <v>37715</v>
          </cell>
          <cell r="B5493">
            <v>8262</v>
          </cell>
          <cell r="C5493">
            <v>56621</v>
          </cell>
        </row>
        <row r="5494">
          <cell r="A5494">
            <v>37718</v>
          </cell>
          <cell r="B5494">
            <v>8406</v>
          </cell>
          <cell r="C5494">
            <v>57628</v>
          </cell>
        </row>
        <row r="5495">
          <cell r="A5495">
            <v>37719</v>
          </cell>
          <cell r="B5495">
            <v>11355</v>
          </cell>
          <cell r="C5495">
            <v>57874</v>
          </cell>
        </row>
        <row r="5496">
          <cell r="A5496">
            <v>37720</v>
          </cell>
          <cell r="B5496">
            <v>13463</v>
          </cell>
          <cell r="C5496">
            <v>56443</v>
          </cell>
        </row>
        <row r="5497">
          <cell r="A5497">
            <v>37721</v>
          </cell>
          <cell r="B5497">
            <v>8188</v>
          </cell>
          <cell r="C5497">
            <v>56704</v>
          </cell>
        </row>
        <row r="5498">
          <cell r="A5498">
            <v>37722</v>
          </cell>
          <cell r="B5498">
            <v>6264</v>
          </cell>
          <cell r="C5498">
            <v>57170</v>
          </cell>
        </row>
        <row r="5499">
          <cell r="A5499">
            <v>37725</v>
          </cell>
          <cell r="B5499">
            <v>7650</v>
          </cell>
          <cell r="C5499">
            <v>58042</v>
          </cell>
        </row>
        <row r="5500">
          <cell r="A5500">
            <v>37726</v>
          </cell>
          <cell r="B5500">
            <v>7133</v>
          </cell>
          <cell r="C5500">
            <v>58720</v>
          </cell>
        </row>
        <row r="5501">
          <cell r="A5501">
            <v>37727</v>
          </cell>
          <cell r="B5501">
            <v>8820</v>
          </cell>
          <cell r="C5501">
            <v>59314</v>
          </cell>
        </row>
        <row r="5502">
          <cell r="A5502">
            <v>37728</v>
          </cell>
          <cell r="B5502">
            <v>8063</v>
          </cell>
          <cell r="C5502">
            <v>59428</v>
          </cell>
        </row>
        <row r="5503">
          <cell r="A5503">
            <v>37729</v>
          </cell>
          <cell r="B5503">
            <v>4616</v>
          </cell>
          <cell r="C5503">
            <v>60091</v>
          </cell>
        </row>
        <row r="5504">
          <cell r="A5504">
            <v>37732</v>
          </cell>
          <cell r="B5504">
            <v>5479</v>
          </cell>
          <cell r="C5504">
            <v>61213</v>
          </cell>
        </row>
        <row r="5505">
          <cell r="A5505">
            <v>37733</v>
          </cell>
          <cell r="B5505">
            <v>7926</v>
          </cell>
          <cell r="C5505">
            <v>61739</v>
          </cell>
        </row>
        <row r="5506">
          <cell r="A5506">
            <v>37734</v>
          </cell>
          <cell r="B5506">
            <v>8453</v>
          </cell>
          <cell r="C5506">
            <v>62624</v>
          </cell>
        </row>
        <row r="5507">
          <cell r="A5507">
            <v>37735</v>
          </cell>
          <cell r="B5507">
            <v>5647</v>
          </cell>
          <cell r="C5507">
            <v>63256</v>
          </cell>
        </row>
        <row r="5508">
          <cell r="A5508">
            <v>37736</v>
          </cell>
          <cell r="B5508">
            <v>7678</v>
          </cell>
          <cell r="C5508">
            <v>63790</v>
          </cell>
        </row>
        <row r="5509">
          <cell r="A5509">
            <v>37739</v>
          </cell>
          <cell r="B5509">
            <v>6693</v>
          </cell>
          <cell r="C5509">
            <v>64567</v>
          </cell>
        </row>
        <row r="5510">
          <cell r="A5510">
            <v>37740</v>
          </cell>
          <cell r="B5510">
            <v>7769</v>
          </cell>
          <cell r="C5510">
            <v>64596</v>
          </cell>
        </row>
        <row r="5511">
          <cell r="A5511">
            <v>37741</v>
          </cell>
          <cell r="B5511">
            <v>7554</v>
          </cell>
          <cell r="C5511">
            <v>65825</v>
          </cell>
        </row>
        <row r="5512">
          <cell r="A5512">
            <v>37743</v>
          </cell>
          <cell r="B5512">
            <v>5446</v>
          </cell>
          <cell r="C5512">
            <v>60194</v>
          </cell>
        </row>
        <row r="5513">
          <cell r="A5513">
            <v>37746</v>
          </cell>
          <cell r="B5513">
            <v>4257</v>
          </cell>
          <cell r="C5513">
            <v>66119</v>
          </cell>
        </row>
        <row r="5514">
          <cell r="A5514">
            <v>37747</v>
          </cell>
          <cell r="B5514">
            <v>4316</v>
          </cell>
          <cell r="C5514">
            <v>66725</v>
          </cell>
        </row>
        <row r="5515">
          <cell r="A5515">
            <v>37748</v>
          </cell>
          <cell r="B5515">
            <v>5468</v>
          </cell>
          <cell r="C5515">
            <v>66933</v>
          </cell>
        </row>
        <row r="5516">
          <cell r="A5516">
            <v>37749</v>
          </cell>
          <cell r="B5516">
            <v>6144</v>
          </cell>
          <cell r="C5516">
            <v>67572</v>
          </cell>
        </row>
        <row r="5517">
          <cell r="A5517">
            <v>37750</v>
          </cell>
          <cell r="B5517">
            <v>7392</v>
          </cell>
          <cell r="C5517">
            <v>67377</v>
          </cell>
        </row>
        <row r="5518">
          <cell r="A5518">
            <v>37753</v>
          </cell>
          <cell r="B5518">
            <v>9025</v>
          </cell>
          <cell r="C5518">
            <v>67525</v>
          </cell>
        </row>
        <row r="5519">
          <cell r="A5519">
            <v>37754</v>
          </cell>
          <cell r="B5519">
            <v>6573</v>
          </cell>
          <cell r="C5519">
            <v>67363</v>
          </cell>
        </row>
        <row r="5520">
          <cell r="A5520">
            <v>37757</v>
          </cell>
          <cell r="B5520">
            <v>9045</v>
          </cell>
          <cell r="C5520">
            <v>68220</v>
          </cell>
        </row>
        <row r="5521">
          <cell r="A5521">
            <v>37760</v>
          </cell>
          <cell r="B5521">
            <v>9113</v>
          </cell>
          <cell r="C5521">
            <v>68796</v>
          </cell>
        </row>
        <row r="5522">
          <cell r="A5522">
            <v>37761</v>
          </cell>
          <cell r="B5522">
            <v>5415</v>
          </cell>
          <cell r="C5522">
            <v>68222</v>
          </cell>
        </row>
        <row r="5523">
          <cell r="A5523">
            <v>37762</v>
          </cell>
          <cell r="B5523">
            <v>7725</v>
          </cell>
          <cell r="C5523">
            <v>69278</v>
          </cell>
        </row>
        <row r="5524">
          <cell r="A5524">
            <v>37763</v>
          </cell>
          <cell r="B5524">
            <v>9541</v>
          </cell>
          <cell r="C5524">
            <v>69165</v>
          </cell>
        </row>
        <row r="5525">
          <cell r="A5525">
            <v>37764</v>
          </cell>
          <cell r="B5525">
            <v>8209</v>
          </cell>
          <cell r="C5525">
            <v>70429</v>
          </cell>
        </row>
        <row r="5526">
          <cell r="A5526">
            <v>37767</v>
          </cell>
          <cell r="B5526">
            <v>5607</v>
          </cell>
          <cell r="C5526">
            <v>70458</v>
          </cell>
        </row>
        <row r="5527">
          <cell r="A5527">
            <v>37768</v>
          </cell>
          <cell r="B5527">
            <v>8135</v>
          </cell>
          <cell r="C5527">
            <v>69940</v>
          </cell>
        </row>
        <row r="5528">
          <cell r="A5528">
            <v>37769</v>
          </cell>
          <cell r="B5528">
            <v>8409</v>
          </cell>
          <cell r="C5528">
            <v>69647</v>
          </cell>
        </row>
        <row r="5529">
          <cell r="A5529">
            <v>37770</v>
          </cell>
          <cell r="B5529">
            <v>8421</v>
          </cell>
          <cell r="C5529">
            <v>69501</v>
          </cell>
        </row>
        <row r="5530">
          <cell r="A5530">
            <v>37771</v>
          </cell>
          <cell r="B5530">
            <v>8873</v>
          </cell>
          <cell r="C5530">
            <v>68238</v>
          </cell>
        </row>
        <row r="5531">
          <cell r="A5531">
            <v>37774</v>
          </cell>
          <cell r="B5531">
            <v>4296</v>
          </cell>
          <cell r="C5531">
            <v>68322</v>
          </cell>
        </row>
        <row r="5532">
          <cell r="A5532">
            <v>37775</v>
          </cell>
          <cell r="B5532">
            <v>6174</v>
          </cell>
          <cell r="C5532">
            <v>67491</v>
          </cell>
        </row>
        <row r="5533">
          <cell r="A5533">
            <v>37776</v>
          </cell>
          <cell r="B5533">
            <v>7990</v>
          </cell>
          <cell r="C5533">
            <v>68116</v>
          </cell>
        </row>
        <row r="5534">
          <cell r="A5534">
            <v>37777</v>
          </cell>
          <cell r="B5534">
            <v>10272</v>
          </cell>
          <cell r="C5534">
            <v>68290</v>
          </cell>
        </row>
        <row r="5535">
          <cell r="A5535">
            <v>37778</v>
          </cell>
          <cell r="B5535">
            <v>8098</v>
          </cell>
          <cell r="C5535">
            <v>69499</v>
          </cell>
        </row>
        <row r="5536">
          <cell r="A5536">
            <v>37781</v>
          </cell>
          <cell r="B5536">
            <v>7289</v>
          </cell>
          <cell r="C5536">
            <v>69421</v>
          </cell>
        </row>
        <row r="5537">
          <cell r="A5537">
            <v>37782</v>
          </cell>
          <cell r="B5537">
            <v>9339</v>
          </cell>
          <cell r="C5537">
            <v>69358</v>
          </cell>
        </row>
        <row r="5538">
          <cell r="A5538">
            <v>37783</v>
          </cell>
          <cell r="B5538">
            <v>8947</v>
          </cell>
          <cell r="C5538">
            <v>69113</v>
          </cell>
        </row>
        <row r="5539">
          <cell r="A5539">
            <v>37784</v>
          </cell>
          <cell r="B5539">
            <v>7299</v>
          </cell>
          <cell r="C5539">
            <v>68146</v>
          </cell>
        </row>
        <row r="5540">
          <cell r="A5540">
            <v>37785</v>
          </cell>
          <cell r="B5540">
            <v>6451</v>
          </cell>
          <cell r="C5540">
            <v>68097</v>
          </cell>
        </row>
        <row r="5541">
          <cell r="A5541">
            <v>37788</v>
          </cell>
          <cell r="B5541">
            <v>6978</v>
          </cell>
          <cell r="C5541">
            <v>68186</v>
          </cell>
        </row>
        <row r="5542">
          <cell r="A5542">
            <v>37789</v>
          </cell>
          <cell r="B5542">
            <v>6750</v>
          </cell>
          <cell r="C5542">
            <v>69114</v>
          </cell>
        </row>
        <row r="5543">
          <cell r="A5543">
            <v>37790</v>
          </cell>
          <cell r="B5543">
            <v>7888</v>
          </cell>
          <cell r="C5543">
            <v>62719</v>
          </cell>
        </row>
        <row r="5544">
          <cell r="A5544">
            <v>37791</v>
          </cell>
          <cell r="B5544">
            <v>8783</v>
          </cell>
          <cell r="C5544">
            <v>62520</v>
          </cell>
        </row>
        <row r="5545">
          <cell r="A5545">
            <v>37792</v>
          </cell>
          <cell r="B5545">
            <v>4703</v>
          </cell>
          <cell r="C5545">
            <v>63509</v>
          </cell>
        </row>
        <row r="5546">
          <cell r="A5546">
            <v>37795</v>
          </cell>
          <cell r="B5546">
            <v>7145</v>
          </cell>
          <cell r="C5546">
            <v>63461</v>
          </cell>
        </row>
        <row r="5547">
          <cell r="A5547">
            <v>37796</v>
          </cell>
          <cell r="B5547">
            <v>8230</v>
          </cell>
          <cell r="C5547">
            <v>62626</v>
          </cell>
        </row>
        <row r="5548">
          <cell r="A5548">
            <v>37797</v>
          </cell>
          <cell r="B5548">
            <v>6670</v>
          </cell>
          <cell r="C5548">
            <v>62065</v>
          </cell>
        </row>
        <row r="5549">
          <cell r="A5549">
            <v>37798</v>
          </cell>
          <cell r="B5549">
            <v>9229</v>
          </cell>
          <cell r="C5549">
            <v>51748</v>
          </cell>
        </row>
        <row r="5550">
          <cell r="A5550">
            <v>37799</v>
          </cell>
          <cell r="B5550">
            <v>11493</v>
          </cell>
          <cell r="C5550">
            <v>50548</v>
          </cell>
        </row>
        <row r="5551">
          <cell r="A5551">
            <v>37802</v>
          </cell>
          <cell r="B5551">
            <v>4340</v>
          </cell>
          <cell r="C5551">
            <v>49391</v>
          </cell>
        </row>
        <row r="5552">
          <cell r="A5552">
            <v>37803</v>
          </cell>
          <cell r="B5552">
            <v>4591</v>
          </cell>
          <cell r="C5552">
            <v>49618</v>
          </cell>
        </row>
        <row r="5553">
          <cell r="A5553">
            <v>37804</v>
          </cell>
          <cell r="B5553">
            <v>7263</v>
          </cell>
          <cell r="C5553">
            <v>49474</v>
          </cell>
        </row>
        <row r="5554">
          <cell r="A5554">
            <v>37805</v>
          </cell>
          <cell r="B5554">
            <v>8741</v>
          </cell>
          <cell r="C5554">
            <v>48823</v>
          </cell>
        </row>
        <row r="5555">
          <cell r="A5555">
            <v>37806</v>
          </cell>
          <cell r="B5555">
            <v>6786</v>
          </cell>
          <cell r="C5555">
            <v>48910</v>
          </cell>
        </row>
        <row r="5556">
          <cell r="A5556">
            <v>37809</v>
          </cell>
          <cell r="B5556">
            <v>8013</v>
          </cell>
          <cell r="C5556">
            <v>53421</v>
          </cell>
        </row>
        <row r="5557">
          <cell r="A5557">
            <v>37810</v>
          </cell>
          <cell r="B5557">
            <v>6672</v>
          </cell>
          <cell r="C5557">
            <v>49445</v>
          </cell>
        </row>
        <row r="5558">
          <cell r="A5558">
            <v>37811</v>
          </cell>
          <cell r="B5558">
            <v>6154</v>
          </cell>
          <cell r="C5558">
            <v>49220</v>
          </cell>
        </row>
        <row r="5559">
          <cell r="A5559">
            <v>37812</v>
          </cell>
          <cell r="B5559">
            <v>5187</v>
          </cell>
          <cell r="C5559">
            <v>49001</v>
          </cell>
        </row>
        <row r="5560">
          <cell r="A5560">
            <v>37813</v>
          </cell>
          <cell r="B5560">
            <v>5449</v>
          </cell>
          <cell r="C5560">
            <v>49730</v>
          </cell>
        </row>
        <row r="5561">
          <cell r="A5561">
            <v>37816</v>
          </cell>
          <cell r="B5561">
            <v>4359</v>
          </cell>
          <cell r="C5561">
            <v>50050</v>
          </cell>
        </row>
        <row r="5562">
          <cell r="A5562">
            <v>37817</v>
          </cell>
          <cell r="B5562">
            <v>5639</v>
          </cell>
          <cell r="C5562">
            <v>50619</v>
          </cell>
        </row>
        <row r="5563">
          <cell r="A5563">
            <v>37818</v>
          </cell>
          <cell r="B5563">
            <v>8830</v>
          </cell>
          <cell r="C5563">
            <v>52283</v>
          </cell>
        </row>
        <row r="5564">
          <cell r="A5564">
            <v>37819</v>
          </cell>
          <cell r="B5564">
            <v>9169</v>
          </cell>
          <cell r="C5564">
            <v>52325</v>
          </cell>
        </row>
        <row r="5565">
          <cell r="A5565">
            <v>37820</v>
          </cell>
          <cell r="B5565">
            <v>9819</v>
          </cell>
          <cell r="C5565">
            <v>54198</v>
          </cell>
        </row>
        <row r="5566">
          <cell r="A5566">
            <v>37823</v>
          </cell>
          <cell r="B5566">
            <v>11929</v>
          </cell>
          <cell r="C5566">
            <v>56972</v>
          </cell>
        </row>
        <row r="5567">
          <cell r="A5567">
            <v>37824</v>
          </cell>
          <cell r="B5567">
            <v>10769</v>
          </cell>
          <cell r="C5567">
            <v>57078</v>
          </cell>
        </row>
        <row r="5568">
          <cell r="A5568">
            <v>37825</v>
          </cell>
          <cell r="B5568">
            <v>13789</v>
          </cell>
          <cell r="C5568">
            <v>59044</v>
          </cell>
        </row>
        <row r="5569">
          <cell r="A5569">
            <v>37826</v>
          </cell>
          <cell r="B5569">
            <v>6145</v>
          </cell>
          <cell r="C5569">
            <v>59510</v>
          </cell>
        </row>
        <row r="5570">
          <cell r="A5570">
            <v>37827</v>
          </cell>
          <cell r="B5570">
            <v>6899</v>
          </cell>
          <cell r="C5570">
            <v>60147</v>
          </cell>
        </row>
        <row r="5571">
          <cell r="A5571">
            <v>37830</v>
          </cell>
          <cell r="B5571">
            <v>11632</v>
          </cell>
          <cell r="C5571">
            <v>61386</v>
          </cell>
        </row>
        <row r="5572">
          <cell r="A5572">
            <v>37831</v>
          </cell>
          <cell r="B5572">
            <v>12908</v>
          </cell>
          <cell r="C5572">
            <v>60247</v>
          </cell>
        </row>
        <row r="5573">
          <cell r="A5573">
            <v>37832</v>
          </cell>
          <cell r="B5573">
            <v>9810</v>
          </cell>
          <cell r="C5573">
            <v>59731</v>
          </cell>
        </row>
        <row r="5574">
          <cell r="A5574">
            <v>37833</v>
          </cell>
          <cell r="B5574">
            <v>7246</v>
          </cell>
          <cell r="C5574">
            <v>58951</v>
          </cell>
        </row>
        <row r="5575">
          <cell r="A5575">
            <v>37834</v>
          </cell>
          <cell r="B5575">
            <v>8438</v>
          </cell>
          <cell r="C5575">
            <v>60187</v>
          </cell>
        </row>
        <row r="5576">
          <cell r="A5576">
            <v>37837</v>
          </cell>
          <cell r="B5576">
            <v>7005</v>
          </cell>
          <cell r="C5576">
            <v>59939</v>
          </cell>
        </row>
        <row r="5577">
          <cell r="A5577">
            <v>37838</v>
          </cell>
          <cell r="B5577">
            <v>6077</v>
          </cell>
          <cell r="C5577">
            <v>59415</v>
          </cell>
        </row>
        <row r="5578">
          <cell r="A5578">
            <v>37839</v>
          </cell>
          <cell r="B5578">
            <v>10290</v>
          </cell>
          <cell r="C5578">
            <v>59405</v>
          </cell>
        </row>
        <row r="5579">
          <cell r="A5579">
            <v>37840</v>
          </cell>
          <cell r="B5579">
            <v>9593</v>
          </cell>
          <cell r="C5579">
            <v>59312</v>
          </cell>
        </row>
        <row r="5580">
          <cell r="A5580">
            <v>37841</v>
          </cell>
          <cell r="B5580">
            <v>5942</v>
          </cell>
          <cell r="C5580">
            <v>59187</v>
          </cell>
        </row>
        <row r="5581">
          <cell r="A5581">
            <v>37844</v>
          </cell>
          <cell r="B5581">
            <v>4336</v>
          </cell>
          <cell r="C5581">
            <v>59137</v>
          </cell>
        </row>
        <row r="5582">
          <cell r="A5582">
            <v>37845</v>
          </cell>
          <cell r="B5582">
            <v>5295</v>
          </cell>
          <cell r="C5582">
            <v>59282</v>
          </cell>
        </row>
        <row r="5583">
          <cell r="A5583">
            <v>37846</v>
          </cell>
          <cell r="B5583">
            <v>7538</v>
          </cell>
          <cell r="C5583">
            <v>60410</v>
          </cell>
        </row>
        <row r="5584">
          <cell r="A5584">
            <v>37847</v>
          </cell>
          <cell r="B5584">
            <v>6223</v>
          </cell>
          <cell r="C5584">
            <v>61226</v>
          </cell>
        </row>
        <row r="5585">
          <cell r="A5585">
            <v>37848</v>
          </cell>
          <cell r="B5585">
            <v>6176</v>
          </cell>
          <cell r="C5585">
            <v>60752</v>
          </cell>
        </row>
        <row r="5586">
          <cell r="A5586">
            <v>37851</v>
          </cell>
          <cell r="B5586">
            <v>6498</v>
          </cell>
          <cell r="C5586">
            <v>61633</v>
          </cell>
        </row>
        <row r="5587">
          <cell r="A5587">
            <v>37852</v>
          </cell>
          <cell r="B5587">
            <v>7913</v>
          </cell>
          <cell r="C5587">
            <v>60939</v>
          </cell>
        </row>
        <row r="5588">
          <cell r="A5588">
            <v>37853</v>
          </cell>
          <cell r="B5588">
            <v>6327</v>
          </cell>
          <cell r="C5588">
            <v>60657</v>
          </cell>
        </row>
        <row r="5589">
          <cell r="A5589">
            <v>37854</v>
          </cell>
          <cell r="B5589">
            <v>13852</v>
          </cell>
          <cell r="C5589">
            <v>57870</v>
          </cell>
        </row>
        <row r="5590">
          <cell r="A5590">
            <v>37855</v>
          </cell>
          <cell r="B5590">
            <v>6384</v>
          </cell>
          <cell r="C5590">
            <v>57216</v>
          </cell>
        </row>
        <row r="5591">
          <cell r="A5591">
            <v>37858</v>
          </cell>
          <cell r="B5591">
            <v>4907</v>
          </cell>
          <cell r="C5591">
            <v>57805</v>
          </cell>
        </row>
        <row r="5592">
          <cell r="A5592">
            <v>37859</v>
          </cell>
          <cell r="B5592">
            <v>6534</v>
          </cell>
          <cell r="C5592">
            <v>57588</v>
          </cell>
        </row>
        <row r="5593">
          <cell r="A5593">
            <v>37860</v>
          </cell>
          <cell r="B5593">
            <v>7918</v>
          </cell>
          <cell r="C5593">
            <v>58436</v>
          </cell>
        </row>
        <row r="5594">
          <cell r="A5594">
            <v>37861</v>
          </cell>
          <cell r="B5594">
            <v>10242</v>
          </cell>
          <cell r="C5594">
            <v>58449</v>
          </cell>
        </row>
        <row r="5595">
          <cell r="A5595">
            <v>37862</v>
          </cell>
          <cell r="B5595">
            <v>8260</v>
          </cell>
          <cell r="C5595">
            <v>57739</v>
          </cell>
        </row>
        <row r="5596">
          <cell r="A5596">
            <v>37866</v>
          </cell>
          <cell r="B5596">
            <v>5938</v>
          </cell>
          <cell r="C5596">
            <v>57005</v>
          </cell>
        </row>
        <row r="5597">
          <cell r="A5597">
            <v>37867</v>
          </cell>
          <cell r="B5597">
            <v>8608</v>
          </cell>
          <cell r="C5597">
            <v>58520</v>
          </cell>
        </row>
        <row r="5598">
          <cell r="A5598">
            <v>37868</v>
          </cell>
          <cell r="B5598">
            <v>6502</v>
          </cell>
          <cell r="C5598">
            <v>59509</v>
          </cell>
        </row>
        <row r="5599">
          <cell r="A5599">
            <v>37869</v>
          </cell>
          <cell r="B5599">
            <v>3391</v>
          </cell>
          <cell r="C5599">
            <v>59574</v>
          </cell>
        </row>
        <row r="5600">
          <cell r="A5600">
            <v>37872</v>
          </cell>
          <cell r="B5600">
            <v>3673</v>
          </cell>
          <cell r="C5600">
            <v>59240</v>
          </cell>
        </row>
        <row r="5601">
          <cell r="A5601">
            <v>37873</v>
          </cell>
          <cell r="B5601">
            <v>7062</v>
          </cell>
          <cell r="C5601">
            <v>59537</v>
          </cell>
        </row>
        <row r="5602">
          <cell r="A5602">
            <v>37874</v>
          </cell>
          <cell r="B5602">
            <v>8140</v>
          </cell>
          <cell r="C5602">
            <v>59574</v>
          </cell>
        </row>
        <row r="5603">
          <cell r="A5603">
            <v>37875</v>
          </cell>
          <cell r="B5603">
            <v>6962</v>
          </cell>
          <cell r="C5603">
            <v>59063</v>
          </cell>
        </row>
        <row r="5604">
          <cell r="A5604">
            <v>37876</v>
          </cell>
          <cell r="B5604">
            <v>10568</v>
          </cell>
          <cell r="C5604">
            <v>58189</v>
          </cell>
        </row>
        <row r="5605">
          <cell r="A5605">
            <v>37879</v>
          </cell>
          <cell r="B5605">
            <v>5481</v>
          </cell>
          <cell r="C5605">
            <v>57670</v>
          </cell>
        </row>
        <row r="5606">
          <cell r="A5606">
            <v>37880</v>
          </cell>
          <cell r="B5606">
            <v>4924</v>
          </cell>
          <cell r="C5606">
            <v>57007</v>
          </cell>
        </row>
        <row r="5607">
          <cell r="A5607">
            <v>37881</v>
          </cell>
          <cell r="B5607">
            <v>12131</v>
          </cell>
          <cell r="C5607">
            <v>54573</v>
          </cell>
        </row>
        <row r="5608">
          <cell r="A5608">
            <v>37882</v>
          </cell>
          <cell r="B5608">
            <v>8692</v>
          </cell>
          <cell r="C5608">
            <v>55844</v>
          </cell>
        </row>
        <row r="5609">
          <cell r="A5609">
            <v>37883</v>
          </cell>
          <cell r="B5609">
            <v>9547</v>
          </cell>
          <cell r="C5609">
            <v>55735</v>
          </cell>
        </row>
        <row r="5610">
          <cell r="A5610">
            <v>37886</v>
          </cell>
          <cell r="B5610">
            <v>10090</v>
          </cell>
          <cell r="C5610">
            <v>55098</v>
          </cell>
        </row>
        <row r="5611">
          <cell r="A5611">
            <v>37887</v>
          </cell>
          <cell r="B5611">
            <v>9798</v>
          </cell>
          <cell r="C5611">
            <v>54694</v>
          </cell>
        </row>
        <row r="5612">
          <cell r="A5612">
            <v>37888</v>
          </cell>
          <cell r="B5612">
            <v>9170</v>
          </cell>
          <cell r="C5612">
            <v>55505</v>
          </cell>
        </row>
        <row r="5613">
          <cell r="A5613">
            <v>37889</v>
          </cell>
          <cell r="B5613">
            <v>11732</v>
          </cell>
          <cell r="C5613">
            <v>55446</v>
          </cell>
        </row>
        <row r="5614">
          <cell r="A5614">
            <v>37890</v>
          </cell>
          <cell r="B5614">
            <v>9456</v>
          </cell>
          <cell r="C5614">
            <v>55783</v>
          </cell>
        </row>
        <row r="5615">
          <cell r="A5615">
            <v>37893</v>
          </cell>
          <cell r="B5615">
            <v>14165</v>
          </cell>
          <cell r="C5615">
            <v>55945</v>
          </cell>
        </row>
        <row r="5616">
          <cell r="A5616">
            <v>37894</v>
          </cell>
          <cell r="B5616">
            <v>11464</v>
          </cell>
          <cell r="C5616">
            <v>52265</v>
          </cell>
        </row>
        <row r="5617">
          <cell r="A5617">
            <v>37895</v>
          </cell>
          <cell r="B5617">
            <v>8113</v>
          </cell>
          <cell r="C5617">
            <v>52821</v>
          </cell>
        </row>
        <row r="5618">
          <cell r="A5618">
            <v>37896</v>
          </cell>
          <cell r="B5618">
            <v>13825</v>
          </cell>
          <cell r="C5618">
            <v>53247</v>
          </cell>
        </row>
        <row r="5619">
          <cell r="A5619">
            <v>37897</v>
          </cell>
          <cell r="B5619">
            <v>7529</v>
          </cell>
          <cell r="C5619">
            <v>52950</v>
          </cell>
        </row>
        <row r="5620">
          <cell r="A5620">
            <v>37900</v>
          </cell>
          <cell r="B5620">
            <v>8031</v>
          </cell>
          <cell r="C5620">
            <v>52513</v>
          </cell>
        </row>
        <row r="5621">
          <cell r="A5621">
            <v>37901</v>
          </cell>
          <cell r="B5621">
            <v>7968</v>
          </cell>
          <cell r="C5621">
            <v>52182</v>
          </cell>
        </row>
        <row r="5622">
          <cell r="A5622">
            <v>37902</v>
          </cell>
          <cell r="B5622">
            <v>11064</v>
          </cell>
          <cell r="C5622">
            <v>53380</v>
          </cell>
        </row>
        <row r="5623">
          <cell r="A5623">
            <v>37903</v>
          </cell>
          <cell r="B5623">
            <v>9836</v>
          </cell>
          <cell r="C5623">
            <v>53487</v>
          </cell>
        </row>
        <row r="5624">
          <cell r="A5624">
            <v>37904</v>
          </cell>
          <cell r="B5624">
            <v>12905</v>
          </cell>
          <cell r="C5624">
            <v>53397</v>
          </cell>
        </row>
        <row r="5625">
          <cell r="A5625">
            <v>37907</v>
          </cell>
          <cell r="B5625">
            <v>8421</v>
          </cell>
          <cell r="C5625">
            <v>54761</v>
          </cell>
        </row>
        <row r="5626">
          <cell r="A5626">
            <v>37908</v>
          </cell>
          <cell r="B5626">
            <v>15040</v>
          </cell>
          <cell r="C5626">
            <v>53788</v>
          </cell>
        </row>
        <row r="5627">
          <cell r="A5627">
            <v>37909</v>
          </cell>
          <cell r="B5627">
            <v>10287</v>
          </cell>
          <cell r="C5627">
            <v>53000</v>
          </cell>
        </row>
        <row r="5628">
          <cell r="A5628">
            <v>37910</v>
          </cell>
          <cell r="B5628">
            <v>10539</v>
          </cell>
          <cell r="C5628">
            <v>52611</v>
          </cell>
        </row>
        <row r="5629">
          <cell r="A5629">
            <v>37911</v>
          </cell>
          <cell r="B5629">
            <v>12841</v>
          </cell>
          <cell r="C5629">
            <v>53065</v>
          </cell>
        </row>
        <row r="5630">
          <cell r="A5630">
            <v>37914</v>
          </cell>
          <cell r="B5630">
            <v>12170</v>
          </cell>
          <cell r="C5630">
            <v>54998</v>
          </cell>
        </row>
        <row r="5631">
          <cell r="A5631">
            <v>37915</v>
          </cell>
          <cell r="B5631">
            <v>16854</v>
          </cell>
          <cell r="C5631">
            <v>55539</v>
          </cell>
        </row>
        <row r="5632">
          <cell r="A5632">
            <v>37916</v>
          </cell>
          <cell r="B5632">
            <v>11350</v>
          </cell>
          <cell r="C5632">
            <v>56014</v>
          </cell>
        </row>
        <row r="5633">
          <cell r="A5633">
            <v>37917</v>
          </cell>
          <cell r="B5633">
            <v>12318</v>
          </cell>
          <cell r="C5633">
            <v>56953</v>
          </cell>
        </row>
        <row r="5634">
          <cell r="A5634">
            <v>37921</v>
          </cell>
          <cell r="B5634">
            <v>10457</v>
          </cell>
          <cell r="C5634">
            <v>56561</v>
          </cell>
        </row>
        <row r="5635">
          <cell r="A5635">
            <v>37922</v>
          </cell>
          <cell r="B5635">
            <v>12532</v>
          </cell>
          <cell r="C5635">
            <v>56471</v>
          </cell>
        </row>
        <row r="5636">
          <cell r="A5636">
            <v>37923</v>
          </cell>
          <cell r="B5636">
            <v>14706</v>
          </cell>
          <cell r="C5636">
            <v>56265</v>
          </cell>
        </row>
        <row r="5637">
          <cell r="A5637">
            <v>37924</v>
          </cell>
          <cell r="B5637">
            <v>9279</v>
          </cell>
          <cell r="C5637">
            <v>55373</v>
          </cell>
        </row>
        <row r="5638">
          <cell r="A5638">
            <v>37925</v>
          </cell>
          <cell r="B5638">
            <v>10489</v>
          </cell>
          <cell r="C5638">
            <v>53834</v>
          </cell>
        </row>
        <row r="5639">
          <cell r="A5639">
            <v>37928</v>
          </cell>
          <cell r="B5639">
            <v>8204</v>
          </cell>
          <cell r="C5639">
            <v>54503</v>
          </cell>
        </row>
        <row r="5640">
          <cell r="A5640">
            <v>37929</v>
          </cell>
          <cell r="B5640">
            <v>8876</v>
          </cell>
          <cell r="C5640">
            <v>55660</v>
          </cell>
        </row>
        <row r="5641">
          <cell r="A5641">
            <v>37930</v>
          </cell>
          <cell r="B5641">
            <v>8177</v>
          </cell>
          <cell r="C5641">
            <v>55225</v>
          </cell>
        </row>
        <row r="5642">
          <cell r="A5642">
            <v>37931</v>
          </cell>
          <cell r="B5642">
            <v>11357</v>
          </cell>
          <cell r="C5642">
            <v>56530</v>
          </cell>
        </row>
        <row r="5643">
          <cell r="A5643">
            <v>37932</v>
          </cell>
          <cell r="B5643">
            <v>9200</v>
          </cell>
          <cell r="C5643">
            <v>56231</v>
          </cell>
        </row>
        <row r="5644">
          <cell r="A5644">
            <v>37935</v>
          </cell>
          <cell r="B5644">
            <v>12157</v>
          </cell>
          <cell r="C5644">
            <v>55040</v>
          </cell>
        </row>
        <row r="5645">
          <cell r="A5645">
            <v>37936</v>
          </cell>
          <cell r="B5645">
            <v>10126</v>
          </cell>
          <cell r="C5645">
            <v>53758</v>
          </cell>
        </row>
        <row r="5646">
          <cell r="A5646">
            <v>37937</v>
          </cell>
          <cell r="B5646">
            <v>8256</v>
          </cell>
          <cell r="C5646">
            <v>53887</v>
          </cell>
        </row>
        <row r="5647">
          <cell r="A5647">
            <v>37938</v>
          </cell>
          <cell r="B5647">
            <v>12706</v>
          </cell>
          <cell r="C5647">
            <v>55017</v>
          </cell>
        </row>
        <row r="5648">
          <cell r="A5648">
            <v>37939</v>
          </cell>
          <cell r="B5648">
            <v>13365</v>
          </cell>
          <cell r="C5648">
            <v>54425</v>
          </cell>
        </row>
        <row r="5649">
          <cell r="A5649">
            <v>37942</v>
          </cell>
          <cell r="B5649">
            <v>10243</v>
          </cell>
          <cell r="C5649">
            <v>55106</v>
          </cell>
        </row>
        <row r="5650">
          <cell r="A5650">
            <v>37943</v>
          </cell>
          <cell r="B5650">
            <v>7632</v>
          </cell>
          <cell r="C5650">
            <v>55852</v>
          </cell>
        </row>
        <row r="5651">
          <cell r="A5651">
            <v>37944</v>
          </cell>
          <cell r="B5651">
            <v>11851</v>
          </cell>
          <cell r="C5651">
            <v>56927</v>
          </cell>
        </row>
        <row r="5652">
          <cell r="A5652">
            <v>37945</v>
          </cell>
          <cell r="B5652">
            <v>9796</v>
          </cell>
          <cell r="C5652">
            <v>56521</v>
          </cell>
        </row>
        <row r="5653">
          <cell r="A5653">
            <v>37946</v>
          </cell>
          <cell r="B5653">
            <v>9818</v>
          </cell>
          <cell r="C5653">
            <v>56234</v>
          </cell>
        </row>
        <row r="5654">
          <cell r="A5654">
            <v>37952</v>
          </cell>
          <cell r="B5654">
            <v>9830</v>
          </cell>
          <cell r="C5654">
            <v>57137</v>
          </cell>
        </row>
        <row r="5655">
          <cell r="A5655">
            <v>37953</v>
          </cell>
          <cell r="B5655">
            <v>6973</v>
          </cell>
          <cell r="C5655">
            <v>53636</v>
          </cell>
        </row>
        <row r="5656">
          <cell r="A5656">
            <v>37956</v>
          </cell>
          <cell r="B5656">
            <v>7443</v>
          </cell>
          <cell r="C5656">
            <v>53084</v>
          </cell>
        </row>
        <row r="5657">
          <cell r="A5657">
            <v>37957</v>
          </cell>
          <cell r="B5657">
            <v>9351</v>
          </cell>
          <cell r="C5657">
            <v>53466</v>
          </cell>
        </row>
        <row r="5658">
          <cell r="A5658">
            <v>37958</v>
          </cell>
          <cell r="B5658">
            <v>7968</v>
          </cell>
          <cell r="C5658">
            <v>53411</v>
          </cell>
        </row>
        <row r="5659">
          <cell r="A5659">
            <v>37959</v>
          </cell>
          <cell r="B5659">
            <v>6818</v>
          </cell>
          <cell r="C5659">
            <v>53312</v>
          </cell>
        </row>
        <row r="5660">
          <cell r="A5660">
            <v>37960</v>
          </cell>
          <cell r="B5660">
            <v>4957</v>
          </cell>
          <cell r="C5660">
            <v>53486</v>
          </cell>
        </row>
        <row r="5661">
          <cell r="A5661">
            <v>37963</v>
          </cell>
          <cell r="B5661">
            <v>6018</v>
          </cell>
          <cell r="C5661">
            <v>53784</v>
          </cell>
        </row>
        <row r="5662">
          <cell r="A5662">
            <v>37964</v>
          </cell>
          <cell r="B5662">
            <v>7718</v>
          </cell>
          <cell r="C5662">
            <v>53858</v>
          </cell>
        </row>
        <row r="5663">
          <cell r="A5663">
            <v>37965</v>
          </cell>
          <cell r="B5663">
            <v>6852</v>
          </cell>
          <cell r="C5663">
            <v>54244</v>
          </cell>
        </row>
        <row r="5664">
          <cell r="A5664">
            <v>37966</v>
          </cell>
          <cell r="B5664">
            <v>6576</v>
          </cell>
          <cell r="C5664">
            <v>53804</v>
          </cell>
        </row>
        <row r="5665">
          <cell r="A5665">
            <v>37967</v>
          </cell>
          <cell r="B5665">
            <v>7628</v>
          </cell>
          <cell r="C5665">
            <v>53605</v>
          </cell>
        </row>
        <row r="5666">
          <cell r="A5666">
            <v>37970</v>
          </cell>
          <cell r="B5666">
            <v>6411</v>
          </cell>
          <cell r="C5666">
            <v>53403</v>
          </cell>
        </row>
        <row r="5667">
          <cell r="A5667">
            <v>37971</v>
          </cell>
          <cell r="B5667">
            <v>5162</v>
          </cell>
          <cell r="C5667">
            <v>53367</v>
          </cell>
        </row>
        <row r="5668">
          <cell r="A5668">
            <v>37972</v>
          </cell>
          <cell r="B5668">
            <v>5995</v>
          </cell>
          <cell r="C5668">
            <v>49618</v>
          </cell>
        </row>
        <row r="5669">
          <cell r="A5669">
            <v>37973</v>
          </cell>
          <cell r="B5669">
            <v>6653</v>
          </cell>
          <cell r="C5669">
            <v>49619</v>
          </cell>
        </row>
        <row r="5670">
          <cell r="A5670">
            <v>37974</v>
          </cell>
          <cell r="B5670">
            <v>8285</v>
          </cell>
          <cell r="C5670">
            <v>49752</v>
          </cell>
        </row>
        <row r="5671">
          <cell r="A5671">
            <v>37977</v>
          </cell>
          <cell r="B5671">
            <v>8508</v>
          </cell>
          <cell r="C5671">
            <v>50405</v>
          </cell>
        </row>
        <row r="5672">
          <cell r="A5672">
            <v>37978</v>
          </cell>
          <cell r="B5672">
            <v>9998</v>
          </cell>
          <cell r="C5672">
            <v>50766</v>
          </cell>
        </row>
        <row r="5673">
          <cell r="A5673">
            <v>37979</v>
          </cell>
          <cell r="B5673">
            <v>11957</v>
          </cell>
          <cell r="C5673">
            <v>50292</v>
          </cell>
        </row>
        <row r="5674">
          <cell r="A5674">
            <v>37981</v>
          </cell>
          <cell r="B5674">
            <v>4958</v>
          </cell>
          <cell r="C5674">
            <v>50607</v>
          </cell>
        </row>
        <row r="5675">
          <cell r="A5675">
            <v>37984</v>
          </cell>
          <cell r="B5675">
            <v>10625</v>
          </cell>
          <cell r="C5675">
            <v>50147</v>
          </cell>
        </row>
        <row r="5676">
          <cell r="A5676">
            <v>37985</v>
          </cell>
          <cell r="B5676">
            <v>8853</v>
          </cell>
          <cell r="C5676">
            <v>51431</v>
          </cell>
        </row>
        <row r="5677">
          <cell r="A5677">
            <v>37986</v>
          </cell>
          <cell r="B5677">
            <v>2839</v>
          </cell>
          <cell r="C5677">
            <v>49296</v>
          </cell>
        </row>
        <row r="5678">
          <cell r="A5678">
            <v>37988</v>
          </cell>
          <cell r="B5678">
            <v>6097</v>
          </cell>
          <cell r="C5678">
            <v>49784</v>
          </cell>
        </row>
        <row r="5679">
          <cell r="A5679">
            <v>37991</v>
          </cell>
          <cell r="B5679">
            <v>6182</v>
          </cell>
          <cell r="C5679">
            <v>50343</v>
          </cell>
        </row>
        <row r="5680">
          <cell r="A5680">
            <v>37992</v>
          </cell>
          <cell r="B5680">
            <v>8920</v>
          </cell>
          <cell r="C5680">
            <v>51864</v>
          </cell>
        </row>
        <row r="5681">
          <cell r="A5681">
            <v>37993</v>
          </cell>
          <cell r="B5681">
            <v>10427</v>
          </cell>
          <cell r="C5681">
            <v>52035</v>
          </cell>
        </row>
        <row r="5682">
          <cell r="A5682">
            <v>37994</v>
          </cell>
          <cell r="B5682">
            <v>13327</v>
          </cell>
          <cell r="C5682">
            <v>51053</v>
          </cell>
        </row>
        <row r="5683">
          <cell r="A5683">
            <v>37995</v>
          </cell>
          <cell r="B5683">
            <v>12746</v>
          </cell>
          <cell r="C5683">
            <v>54364</v>
          </cell>
        </row>
        <row r="5684">
          <cell r="A5684">
            <v>37998</v>
          </cell>
          <cell r="B5684">
            <v>10133</v>
          </cell>
          <cell r="C5684">
            <v>54823</v>
          </cell>
        </row>
        <row r="5685">
          <cell r="A5685">
            <v>37999</v>
          </cell>
          <cell r="B5685">
            <v>10268</v>
          </cell>
          <cell r="C5685">
            <v>55067</v>
          </cell>
        </row>
        <row r="5686">
          <cell r="A5686">
            <v>38000</v>
          </cell>
          <cell r="B5686">
            <v>9239</v>
          </cell>
          <cell r="C5686">
            <v>56832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5-Volatility"/>
      <sheetName val="okli"/>
      <sheetName val="allproducts"/>
      <sheetName val="DATA CPO "/>
      <sheetName val="5-Volatility CPO"/>
      <sheetName val="DATA KLIBOR"/>
      <sheetName val="5-Volatility KLIBOR"/>
      <sheetName val="DATA FMG5"/>
      <sheetName val="5-Volatility FMG5"/>
      <sheetName val="Exercised"/>
      <sheetName val="Spread"/>
      <sheetName val="Settlement"/>
      <sheetName val="Sheet16"/>
      <sheetName val="DATA CPO  (2)"/>
      <sheetName val="CPO Mthly Vol"/>
    </sheetNames>
    <sheetDataSet>
      <sheetData sheetId="0">
        <row r="3">
          <cell r="B3" t="str">
            <v>OPEN INTEREST</v>
          </cell>
          <cell r="C3" t="str">
            <v>VOLUME</v>
          </cell>
          <cell r="D3" t="str">
            <v>FUTURES</v>
          </cell>
          <cell r="E3" t="str">
            <v>KLSE CI</v>
          </cell>
        </row>
        <row r="4">
          <cell r="A4">
            <v>35048</v>
          </cell>
          <cell r="B4">
            <v>76</v>
          </cell>
          <cell r="C4">
            <v>111</v>
          </cell>
        </row>
        <row r="5">
          <cell r="A5">
            <v>35051</v>
          </cell>
          <cell r="B5">
            <v>95</v>
          </cell>
          <cell r="C5">
            <v>56</v>
          </cell>
        </row>
        <row r="6">
          <cell r="A6">
            <v>35052</v>
          </cell>
          <cell r="B6">
            <v>133</v>
          </cell>
          <cell r="C6">
            <v>89</v>
          </cell>
        </row>
        <row r="7">
          <cell r="A7">
            <v>35053</v>
          </cell>
          <cell r="B7">
            <v>146</v>
          </cell>
          <cell r="C7">
            <v>54</v>
          </cell>
        </row>
        <row r="8">
          <cell r="A8">
            <v>35054</v>
          </cell>
          <cell r="B8">
            <v>193</v>
          </cell>
          <cell r="C8">
            <v>78</v>
          </cell>
        </row>
        <row r="9">
          <cell r="A9">
            <v>35055</v>
          </cell>
          <cell r="B9">
            <v>213</v>
          </cell>
          <cell r="C9">
            <v>77</v>
          </cell>
        </row>
        <row r="10">
          <cell r="A10">
            <v>35059</v>
          </cell>
          <cell r="B10">
            <v>211</v>
          </cell>
          <cell r="C10">
            <v>18</v>
          </cell>
        </row>
        <row r="11">
          <cell r="A11">
            <v>35060</v>
          </cell>
          <cell r="B11">
            <v>198</v>
          </cell>
          <cell r="C11">
            <v>23</v>
          </cell>
        </row>
        <row r="12">
          <cell r="A12">
            <v>35061</v>
          </cell>
          <cell r="B12">
            <v>200</v>
          </cell>
          <cell r="C12">
            <v>65</v>
          </cell>
        </row>
        <row r="13">
          <cell r="A13">
            <v>35062</v>
          </cell>
          <cell r="B13">
            <v>69</v>
          </cell>
          <cell r="C13">
            <v>101</v>
          </cell>
        </row>
        <row r="14">
          <cell r="A14">
            <v>35066</v>
          </cell>
          <cell r="B14">
            <v>78</v>
          </cell>
          <cell r="C14">
            <v>17</v>
          </cell>
        </row>
        <row r="15">
          <cell r="A15">
            <v>35067</v>
          </cell>
          <cell r="B15">
            <v>116</v>
          </cell>
          <cell r="C15">
            <v>100</v>
          </cell>
        </row>
        <row r="16">
          <cell r="A16">
            <v>35068</v>
          </cell>
          <cell r="B16">
            <v>171</v>
          </cell>
          <cell r="C16">
            <v>97</v>
          </cell>
        </row>
        <row r="17">
          <cell r="A17">
            <v>35069</v>
          </cell>
          <cell r="B17">
            <v>182</v>
          </cell>
          <cell r="C17">
            <v>46</v>
          </cell>
        </row>
        <row r="18">
          <cell r="A18">
            <v>35072</v>
          </cell>
          <cell r="B18">
            <v>182</v>
          </cell>
          <cell r="C18">
            <v>27</v>
          </cell>
        </row>
        <row r="19">
          <cell r="A19">
            <v>35073</v>
          </cell>
          <cell r="B19">
            <v>183</v>
          </cell>
          <cell r="C19">
            <v>52</v>
          </cell>
        </row>
        <row r="20">
          <cell r="A20">
            <v>35074</v>
          </cell>
          <cell r="B20">
            <v>175</v>
          </cell>
          <cell r="C20">
            <v>75</v>
          </cell>
        </row>
        <row r="21">
          <cell r="A21">
            <v>35075</v>
          </cell>
          <cell r="B21">
            <v>189</v>
          </cell>
          <cell r="C21">
            <v>45</v>
          </cell>
        </row>
        <row r="22">
          <cell r="A22">
            <v>35076</v>
          </cell>
          <cell r="B22">
            <v>204</v>
          </cell>
          <cell r="C22">
            <v>110</v>
          </cell>
        </row>
        <row r="23">
          <cell r="A23">
            <v>35079</v>
          </cell>
          <cell r="B23">
            <v>218</v>
          </cell>
          <cell r="C23">
            <v>95</v>
          </cell>
        </row>
        <row r="24">
          <cell r="A24">
            <v>35080</v>
          </cell>
          <cell r="B24">
            <v>223</v>
          </cell>
          <cell r="C24">
            <v>56</v>
          </cell>
        </row>
        <row r="25">
          <cell r="A25">
            <v>35081</v>
          </cell>
          <cell r="B25">
            <v>213</v>
          </cell>
          <cell r="C25">
            <v>94</v>
          </cell>
        </row>
        <row r="26">
          <cell r="A26">
            <v>35082</v>
          </cell>
          <cell r="B26">
            <v>210</v>
          </cell>
          <cell r="C26">
            <v>143</v>
          </cell>
        </row>
        <row r="27">
          <cell r="A27">
            <v>35083</v>
          </cell>
          <cell r="B27">
            <v>239</v>
          </cell>
          <cell r="C27">
            <v>176</v>
          </cell>
        </row>
        <row r="28">
          <cell r="A28">
            <v>35086</v>
          </cell>
          <cell r="B28">
            <v>264</v>
          </cell>
          <cell r="C28">
            <v>219</v>
          </cell>
        </row>
        <row r="29">
          <cell r="A29">
            <v>35087</v>
          </cell>
          <cell r="B29">
            <v>242</v>
          </cell>
          <cell r="C29">
            <v>90</v>
          </cell>
        </row>
        <row r="30">
          <cell r="A30">
            <v>35088</v>
          </cell>
          <cell r="B30">
            <v>338</v>
          </cell>
          <cell r="C30">
            <v>189</v>
          </cell>
        </row>
        <row r="31">
          <cell r="A31">
            <v>35089</v>
          </cell>
          <cell r="B31">
            <v>354</v>
          </cell>
          <cell r="C31">
            <v>116</v>
          </cell>
        </row>
        <row r="32">
          <cell r="A32">
            <v>35090</v>
          </cell>
          <cell r="B32">
            <v>347</v>
          </cell>
          <cell r="C32">
            <v>114</v>
          </cell>
        </row>
        <row r="33">
          <cell r="A33">
            <v>35093</v>
          </cell>
          <cell r="B33">
            <v>400</v>
          </cell>
          <cell r="C33">
            <v>129</v>
          </cell>
        </row>
        <row r="34">
          <cell r="A34">
            <v>35094</v>
          </cell>
          <cell r="B34">
            <v>398</v>
          </cell>
          <cell r="C34">
            <v>140</v>
          </cell>
        </row>
        <row r="35">
          <cell r="A35">
            <v>35095</v>
          </cell>
          <cell r="B35">
            <v>316</v>
          </cell>
          <cell r="C35">
            <v>224</v>
          </cell>
        </row>
        <row r="36">
          <cell r="A36">
            <v>35097</v>
          </cell>
          <cell r="B36">
            <v>348</v>
          </cell>
          <cell r="C36">
            <v>184</v>
          </cell>
        </row>
        <row r="37">
          <cell r="A37">
            <v>35100</v>
          </cell>
          <cell r="B37">
            <v>358</v>
          </cell>
          <cell r="C37">
            <v>131</v>
          </cell>
        </row>
        <row r="38">
          <cell r="A38">
            <v>35101</v>
          </cell>
          <cell r="B38">
            <v>374</v>
          </cell>
          <cell r="C38">
            <v>121</v>
          </cell>
        </row>
        <row r="39">
          <cell r="A39">
            <v>35102</v>
          </cell>
          <cell r="B39">
            <v>385</v>
          </cell>
          <cell r="C39">
            <v>56</v>
          </cell>
        </row>
        <row r="40">
          <cell r="A40">
            <v>35103</v>
          </cell>
          <cell r="B40">
            <v>394</v>
          </cell>
          <cell r="C40">
            <v>83</v>
          </cell>
        </row>
        <row r="41">
          <cell r="A41">
            <v>35104</v>
          </cell>
          <cell r="B41">
            <v>404</v>
          </cell>
          <cell r="C41">
            <v>210</v>
          </cell>
        </row>
        <row r="42">
          <cell r="A42">
            <v>35107</v>
          </cell>
          <cell r="B42">
            <v>462</v>
          </cell>
          <cell r="C42">
            <v>80</v>
          </cell>
        </row>
        <row r="43">
          <cell r="A43">
            <v>35108</v>
          </cell>
          <cell r="B43">
            <v>466</v>
          </cell>
          <cell r="C43">
            <v>39</v>
          </cell>
        </row>
        <row r="44">
          <cell r="A44">
            <v>35109</v>
          </cell>
          <cell r="B44">
            <v>479</v>
          </cell>
          <cell r="C44">
            <v>76</v>
          </cell>
        </row>
        <row r="45">
          <cell r="A45">
            <v>35110</v>
          </cell>
          <cell r="B45">
            <v>515</v>
          </cell>
          <cell r="C45">
            <v>268</v>
          </cell>
        </row>
        <row r="46">
          <cell r="A46">
            <v>35111</v>
          </cell>
          <cell r="B46">
            <v>556</v>
          </cell>
          <cell r="C46">
            <v>125</v>
          </cell>
        </row>
        <row r="47">
          <cell r="A47">
            <v>35121</v>
          </cell>
          <cell r="B47">
            <v>598</v>
          </cell>
          <cell r="C47">
            <v>146</v>
          </cell>
        </row>
        <row r="48">
          <cell r="A48">
            <v>35122</v>
          </cell>
          <cell r="B48">
            <v>673</v>
          </cell>
          <cell r="C48">
            <v>321</v>
          </cell>
        </row>
        <row r="49">
          <cell r="A49">
            <v>35123</v>
          </cell>
          <cell r="B49">
            <v>671</v>
          </cell>
          <cell r="C49">
            <v>61</v>
          </cell>
        </row>
        <row r="50">
          <cell r="A50">
            <v>35124</v>
          </cell>
          <cell r="B50">
            <v>527</v>
          </cell>
          <cell r="C50">
            <v>217</v>
          </cell>
        </row>
        <row r="51">
          <cell r="A51">
            <v>35125</v>
          </cell>
          <cell r="B51">
            <v>578</v>
          </cell>
          <cell r="C51">
            <v>100</v>
          </cell>
        </row>
        <row r="52">
          <cell r="A52">
            <v>35128</v>
          </cell>
          <cell r="B52">
            <v>546</v>
          </cell>
          <cell r="C52">
            <v>187</v>
          </cell>
        </row>
        <row r="53">
          <cell r="A53">
            <v>35129</v>
          </cell>
          <cell r="B53">
            <v>559</v>
          </cell>
          <cell r="C53">
            <v>206</v>
          </cell>
        </row>
        <row r="54">
          <cell r="A54">
            <v>35130</v>
          </cell>
          <cell r="B54">
            <v>678</v>
          </cell>
          <cell r="C54">
            <v>308</v>
          </cell>
        </row>
        <row r="55">
          <cell r="A55">
            <v>35131</v>
          </cell>
          <cell r="B55">
            <v>705</v>
          </cell>
          <cell r="C55">
            <v>246</v>
          </cell>
        </row>
        <row r="56">
          <cell r="A56">
            <v>35132</v>
          </cell>
          <cell r="B56">
            <v>660</v>
          </cell>
          <cell r="C56">
            <v>279</v>
          </cell>
        </row>
        <row r="57">
          <cell r="A57">
            <v>35135</v>
          </cell>
          <cell r="B57">
            <v>649</v>
          </cell>
          <cell r="C57">
            <v>416</v>
          </cell>
        </row>
        <row r="58">
          <cell r="A58">
            <v>35136</v>
          </cell>
          <cell r="B58">
            <v>630</v>
          </cell>
          <cell r="C58">
            <v>242</v>
          </cell>
        </row>
        <row r="59">
          <cell r="A59">
            <v>35137</v>
          </cell>
          <cell r="B59">
            <v>642</v>
          </cell>
          <cell r="C59">
            <v>158</v>
          </cell>
        </row>
        <row r="60">
          <cell r="A60">
            <v>35138</v>
          </cell>
          <cell r="B60">
            <v>669</v>
          </cell>
          <cell r="C60">
            <v>222</v>
          </cell>
        </row>
        <row r="61">
          <cell r="A61">
            <v>35139</v>
          </cell>
          <cell r="B61">
            <v>596</v>
          </cell>
          <cell r="C61">
            <v>230</v>
          </cell>
        </row>
        <row r="62">
          <cell r="A62">
            <v>35142</v>
          </cell>
          <cell r="B62">
            <v>602</v>
          </cell>
          <cell r="C62">
            <v>71</v>
          </cell>
        </row>
        <row r="63">
          <cell r="A63">
            <v>35143</v>
          </cell>
          <cell r="B63">
            <v>597</v>
          </cell>
          <cell r="C63">
            <v>126</v>
          </cell>
        </row>
        <row r="64">
          <cell r="A64">
            <v>35144</v>
          </cell>
          <cell r="B64">
            <v>603</v>
          </cell>
          <cell r="C64">
            <v>88</v>
          </cell>
        </row>
        <row r="65">
          <cell r="A65">
            <v>35145</v>
          </cell>
          <cell r="B65">
            <v>676</v>
          </cell>
          <cell r="C65">
            <v>317</v>
          </cell>
        </row>
        <row r="66">
          <cell r="A66">
            <v>35146</v>
          </cell>
          <cell r="B66">
            <v>711</v>
          </cell>
          <cell r="C66">
            <v>302</v>
          </cell>
        </row>
        <row r="67">
          <cell r="A67">
            <v>35149</v>
          </cell>
          <cell r="B67">
            <v>768</v>
          </cell>
          <cell r="C67">
            <v>388</v>
          </cell>
        </row>
        <row r="68">
          <cell r="A68">
            <v>35150</v>
          </cell>
          <cell r="B68">
            <v>898</v>
          </cell>
          <cell r="C68">
            <v>606</v>
          </cell>
        </row>
        <row r="69">
          <cell r="A69">
            <v>35151</v>
          </cell>
          <cell r="B69">
            <v>969</v>
          </cell>
          <cell r="C69">
            <v>326</v>
          </cell>
        </row>
        <row r="70">
          <cell r="A70">
            <v>35152</v>
          </cell>
          <cell r="B70">
            <v>1002</v>
          </cell>
          <cell r="C70">
            <v>274</v>
          </cell>
        </row>
        <row r="71">
          <cell r="A71">
            <v>35153</v>
          </cell>
          <cell r="B71">
            <v>689</v>
          </cell>
          <cell r="C71">
            <v>447</v>
          </cell>
        </row>
        <row r="72">
          <cell r="A72">
            <v>35156</v>
          </cell>
          <cell r="B72">
            <v>755</v>
          </cell>
          <cell r="C72">
            <v>184</v>
          </cell>
        </row>
        <row r="73">
          <cell r="A73">
            <v>35157</v>
          </cell>
          <cell r="B73">
            <v>843</v>
          </cell>
          <cell r="C73">
            <v>264</v>
          </cell>
        </row>
        <row r="74">
          <cell r="A74">
            <v>35158</v>
          </cell>
          <cell r="B74">
            <v>840</v>
          </cell>
          <cell r="C74">
            <v>107</v>
          </cell>
        </row>
        <row r="75">
          <cell r="A75">
            <v>35159</v>
          </cell>
          <cell r="B75">
            <v>846</v>
          </cell>
          <cell r="C75">
            <v>135</v>
          </cell>
        </row>
        <row r="76">
          <cell r="A76">
            <v>35160</v>
          </cell>
          <cell r="B76">
            <v>841</v>
          </cell>
          <cell r="C76">
            <v>113</v>
          </cell>
        </row>
        <row r="77">
          <cell r="A77">
            <v>35163</v>
          </cell>
          <cell r="B77">
            <v>895</v>
          </cell>
          <cell r="C77">
            <v>421</v>
          </cell>
        </row>
        <row r="78">
          <cell r="A78">
            <v>35164</v>
          </cell>
          <cell r="B78">
            <v>937</v>
          </cell>
          <cell r="C78">
            <v>363</v>
          </cell>
        </row>
        <row r="79">
          <cell r="A79">
            <v>35165</v>
          </cell>
          <cell r="B79">
            <v>951</v>
          </cell>
          <cell r="C79">
            <v>361</v>
          </cell>
        </row>
        <row r="80">
          <cell r="A80">
            <v>35166</v>
          </cell>
          <cell r="B80">
            <v>987</v>
          </cell>
          <cell r="C80">
            <v>302</v>
          </cell>
        </row>
        <row r="81">
          <cell r="A81">
            <v>35167</v>
          </cell>
          <cell r="B81">
            <v>1001</v>
          </cell>
          <cell r="C81">
            <v>164</v>
          </cell>
        </row>
        <row r="82">
          <cell r="A82">
            <v>35170</v>
          </cell>
          <cell r="B82">
            <v>1040</v>
          </cell>
          <cell r="C82">
            <v>285</v>
          </cell>
        </row>
        <row r="83">
          <cell r="A83">
            <v>35171</v>
          </cell>
          <cell r="B83">
            <v>1047</v>
          </cell>
          <cell r="C83">
            <v>276</v>
          </cell>
        </row>
        <row r="84">
          <cell r="A84">
            <v>35172</v>
          </cell>
          <cell r="B84">
            <v>1071</v>
          </cell>
          <cell r="C84">
            <v>240</v>
          </cell>
        </row>
        <row r="85">
          <cell r="A85">
            <v>35173</v>
          </cell>
          <cell r="B85">
            <v>1070</v>
          </cell>
          <cell r="C85">
            <v>235</v>
          </cell>
        </row>
        <row r="86">
          <cell r="A86">
            <v>35174</v>
          </cell>
          <cell r="B86">
            <v>1103</v>
          </cell>
          <cell r="C86">
            <v>175</v>
          </cell>
        </row>
        <row r="87">
          <cell r="A87">
            <v>35177</v>
          </cell>
          <cell r="B87">
            <v>1137</v>
          </cell>
          <cell r="C87">
            <v>346</v>
          </cell>
        </row>
        <row r="88">
          <cell r="A88">
            <v>35178</v>
          </cell>
          <cell r="B88">
            <v>1183</v>
          </cell>
          <cell r="C88">
            <v>414</v>
          </cell>
        </row>
        <row r="89">
          <cell r="A89">
            <v>35179</v>
          </cell>
          <cell r="B89">
            <v>1336</v>
          </cell>
          <cell r="C89">
            <v>484</v>
          </cell>
        </row>
        <row r="90">
          <cell r="A90">
            <v>35180</v>
          </cell>
          <cell r="B90">
            <v>1385</v>
          </cell>
          <cell r="C90">
            <v>371</v>
          </cell>
        </row>
        <row r="91">
          <cell r="A91">
            <v>35181</v>
          </cell>
          <cell r="B91">
            <v>1322</v>
          </cell>
          <cell r="C91">
            <v>488</v>
          </cell>
        </row>
        <row r="92">
          <cell r="A92">
            <v>35185</v>
          </cell>
          <cell r="B92">
            <v>987</v>
          </cell>
          <cell r="C92">
            <v>740</v>
          </cell>
        </row>
        <row r="93">
          <cell r="A93">
            <v>35187</v>
          </cell>
          <cell r="B93">
            <v>1032</v>
          </cell>
          <cell r="C93">
            <v>124</v>
          </cell>
        </row>
        <row r="94">
          <cell r="A94">
            <v>35188</v>
          </cell>
          <cell r="B94">
            <v>1051</v>
          </cell>
          <cell r="C94">
            <v>200</v>
          </cell>
        </row>
        <row r="95">
          <cell r="A95">
            <v>35191</v>
          </cell>
          <cell r="B95">
            <v>1108</v>
          </cell>
          <cell r="C95">
            <v>177</v>
          </cell>
        </row>
        <row r="96">
          <cell r="A96">
            <v>35192</v>
          </cell>
          <cell r="B96">
            <v>1147</v>
          </cell>
          <cell r="C96">
            <v>197</v>
          </cell>
        </row>
        <row r="97">
          <cell r="A97">
            <v>35193</v>
          </cell>
          <cell r="B97">
            <v>1200</v>
          </cell>
          <cell r="C97">
            <v>234</v>
          </cell>
        </row>
        <row r="98">
          <cell r="A98">
            <v>35194</v>
          </cell>
          <cell r="B98">
            <v>1257</v>
          </cell>
          <cell r="C98">
            <v>329</v>
          </cell>
        </row>
        <row r="99">
          <cell r="A99">
            <v>35195</v>
          </cell>
          <cell r="B99">
            <v>1284</v>
          </cell>
          <cell r="C99">
            <v>113</v>
          </cell>
        </row>
        <row r="100">
          <cell r="A100">
            <v>35198</v>
          </cell>
          <cell r="B100">
            <v>1355</v>
          </cell>
          <cell r="C100">
            <v>141</v>
          </cell>
        </row>
        <row r="101">
          <cell r="A101">
            <v>35199</v>
          </cell>
          <cell r="B101">
            <v>1343</v>
          </cell>
          <cell r="C101">
            <v>121</v>
          </cell>
        </row>
        <row r="102">
          <cell r="A102">
            <v>35200</v>
          </cell>
          <cell r="B102">
            <v>1362</v>
          </cell>
          <cell r="C102">
            <v>202</v>
          </cell>
        </row>
        <row r="103">
          <cell r="A103">
            <v>35201</v>
          </cell>
          <cell r="B103">
            <v>1410</v>
          </cell>
          <cell r="C103">
            <v>383</v>
          </cell>
        </row>
        <row r="104">
          <cell r="A104">
            <v>35202</v>
          </cell>
          <cell r="B104">
            <v>1457</v>
          </cell>
          <cell r="C104">
            <v>301</v>
          </cell>
        </row>
        <row r="105">
          <cell r="A105">
            <v>35206</v>
          </cell>
          <cell r="B105">
            <v>1456</v>
          </cell>
          <cell r="C105">
            <v>241</v>
          </cell>
        </row>
        <row r="106">
          <cell r="A106">
            <v>35207</v>
          </cell>
          <cell r="B106">
            <v>1508</v>
          </cell>
          <cell r="C106">
            <v>374</v>
          </cell>
        </row>
        <row r="107">
          <cell r="A107">
            <v>35208</v>
          </cell>
          <cell r="B107">
            <v>1652</v>
          </cell>
          <cell r="C107">
            <v>397</v>
          </cell>
        </row>
        <row r="108">
          <cell r="A108">
            <v>35209</v>
          </cell>
          <cell r="B108">
            <v>1737</v>
          </cell>
          <cell r="C108">
            <v>477</v>
          </cell>
        </row>
        <row r="109">
          <cell r="A109">
            <v>35212</v>
          </cell>
          <cell r="B109">
            <v>1765</v>
          </cell>
          <cell r="C109">
            <v>399</v>
          </cell>
        </row>
        <row r="110">
          <cell r="A110">
            <v>35213</v>
          </cell>
          <cell r="B110">
            <v>1944</v>
          </cell>
          <cell r="C110">
            <v>950</v>
          </cell>
        </row>
        <row r="111">
          <cell r="A111">
            <v>35214</v>
          </cell>
          <cell r="B111">
            <v>1867</v>
          </cell>
          <cell r="C111">
            <v>623</v>
          </cell>
        </row>
        <row r="112">
          <cell r="A112">
            <v>35215</v>
          </cell>
          <cell r="B112">
            <v>1138</v>
          </cell>
          <cell r="C112">
            <v>567</v>
          </cell>
        </row>
        <row r="113">
          <cell r="A113">
            <v>35219</v>
          </cell>
          <cell r="B113">
            <v>1254</v>
          </cell>
          <cell r="C113">
            <v>203</v>
          </cell>
        </row>
        <row r="114">
          <cell r="A114">
            <v>35220</v>
          </cell>
          <cell r="B114">
            <v>1442</v>
          </cell>
          <cell r="C114">
            <v>315</v>
          </cell>
        </row>
        <row r="115">
          <cell r="A115">
            <v>35221</v>
          </cell>
          <cell r="B115">
            <v>1411</v>
          </cell>
          <cell r="C115">
            <v>134</v>
          </cell>
        </row>
        <row r="116">
          <cell r="A116">
            <v>35222</v>
          </cell>
          <cell r="B116">
            <v>1450</v>
          </cell>
          <cell r="C116">
            <v>129</v>
          </cell>
        </row>
        <row r="117">
          <cell r="A117">
            <v>35223</v>
          </cell>
          <cell r="B117">
            <v>1465</v>
          </cell>
          <cell r="C117">
            <v>94</v>
          </cell>
        </row>
        <row r="118">
          <cell r="A118">
            <v>35226</v>
          </cell>
          <cell r="B118">
            <v>1454</v>
          </cell>
          <cell r="C118">
            <v>89</v>
          </cell>
        </row>
        <row r="119">
          <cell r="A119">
            <v>35227</v>
          </cell>
          <cell r="B119">
            <v>1478</v>
          </cell>
          <cell r="C119">
            <v>198</v>
          </cell>
        </row>
        <row r="120">
          <cell r="A120">
            <v>35228</v>
          </cell>
          <cell r="B120">
            <v>1575</v>
          </cell>
          <cell r="C120">
            <v>340</v>
          </cell>
        </row>
        <row r="121">
          <cell r="A121">
            <v>35229</v>
          </cell>
          <cell r="B121">
            <v>1614</v>
          </cell>
          <cell r="C121">
            <v>227</v>
          </cell>
        </row>
        <row r="122">
          <cell r="A122">
            <v>35230</v>
          </cell>
          <cell r="B122">
            <v>1653</v>
          </cell>
          <cell r="C122">
            <v>165</v>
          </cell>
        </row>
        <row r="123">
          <cell r="A123">
            <v>35233</v>
          </cell>
          <cell r="B123">
            <v>1610</v>
          </cell>
          <cell r="C123">
            <v>109</v>
          </cell>
        </row>
        <row r="124">
          <cell r="A124">
            <v>35234</v>
          </cell>
          <cell r="B124">
            <v>1611</v>
          </cell>
          <cell r="C124">
            <v>147</v>
          </cell>
        </row>
        <row r="125">
          <cell r="A125">
            <v>35235</v>
          </cell>
          <cell r="B125">
            <v>1598</v>
          </cell>
          <cell r="C125">
            <v>366</v>
          </cell>
        </row>
        <row r="126">
          <cell r="A126">
            <v>35236</v>
          </cell>
          <cell r="B126">
            <v>1574</v>
          </cell>
          <cell r="C126">
            <v>244</v>
          </cell>
        </row>
        <row r="127">
          <cell r="A127">
            <v>35237</v>
          </cell>
          <cell r="B127">
            <v>1615</v>
          </cell>
          <cell r="C127">
            <v>544</v>
          </cell>
        </row>
        <row r="128">
          <cell r="A128">
            <v>35240</v>
          </cell>
          <cell r="B128">
            <v>1601</v>
          </cell>
          <cell r="C128">
            <v>463</v>
          </cell>
        </row>
        <row r="129">
          <cell r="A129">
            <v>35241</v>
          </cell>
          <cell r="B129">
            <v>1640</v>
          </cell>
          <cell r="C129">
            <v>566</v>
          </cell>
        </row>
        <row r="130">
          <cell r="A130">
            <v>35242</v>
          </cell>
          <cell r="B130">
            <v>1663</v>
          </cell>
          <cell r="C130">
            <v>599</v>
          </cell>
        </row>
        <row r="131">
          <cell r="A131">
            <v>35243</v>
          </cell>
          <cell r="B131">
            <v>1479</v>
          </cell>
          <cell r="C131">
            <v>418</v>
          </cell>
        </row>
        <row r="132">
          <cell r="A132">
            <v>35244</v>
          </cell>
          <cell r="B132">
            <v>1333</v>
          </cell>
          <cell r="C132">
            <v>383</v>
          </cell>
        </row>
        <row r="133">
          <cell r="A133">
            <v>35247</v>
          </cell>
          <cell r="B133">
            <v>1358</v>
          </cell>
          <cell r="C133">
            <v>117</v>
          </cell>
        </row>
        <row r="134">
          <cell r="A134">
            <v>35248</v>
          </cell>
          <cell r="B134">
            <v>1396</v>
          </cell>
          <cell r="C134">
            <v>198</v>
          </cell>
        </row>
        <row r="135">
          <cell r="A135">
            <v>35249</v>
          </cell>
          <cell r="B135">
            <v>1451</v>
          </cell>
          <cell r="C135">
            <v>121</v>
          </cell>
        </row>
        <row r="136">
          <cell r="A136">
            <v>35250</v>
          </cell>
          <cell r="B136">
            <v>1479</v>
          </cell>
          <cell r="C136">
            <v>182</v>
          </cell>
        </row>
        <row r="137">
          <cell r="A137">
            <v>35251</v>
          </cell>
          <cell r="B137">
            <v>1465</v>
          </cell>
          <cell r="C137">
            <v>69</v>
          </cell>
        </row>
        <row r="138">
          <cell r="A138">
            <v>35254</v>
          </cell>
          <cell r="B138">
            <v>1438</v>
          </cell>
          <cell r="C138">
            <v>482</v>
          </cell>
        </row>
        <row r="139">
          <cell r="A139">
            <v>35255</v>
          </cell>
          <cell r="B139">
            <v>1449</v>
          </cell>
          <cell r="C139">
            <v>195</v>
          </cell>
        </row>
        <row r="140">
          <cell r="A140">
            <v>35256</v>
          </cell>
          <cell r="B140">
            <v>1466</v>
          </cell>
          <cell r="C140">
            <v>176</v>
          </cell>
        </row>
        <row r="141">
          <cell r="A141">
            <v>35257</v>
          </cell>
          <cell r="B141">
            <v>1475</v>
          </cell>
          <cell r="C141">
            <v>123</v>
          </cell>
        </row>
        <row r="142">
          <cell r="A142">
            <v>35258</v>
          </cell>
          <cell r="B142">
            <v>1541</v>
          </cell>
          <cell r="C142">
            <v>219</v>
          </cell>
        </row>
        <row r="143">
          <cell r="A143">
            <v>35261</v>
          </cell>
          <cell r="B143">
            <v>1514</v>
          </cell>
          <cell r="C143">
            <v>153</v>
          </cell>
        </row>
        <row r="144">
          <cell r="A144">
            <v>35262</v>
          </cell>
          <cell r="B144">
            <v>1384</v>
          </cell>
          <cell r="C144">
            <v>382</v>
          </cell>
        </row>
        <row r="145">
          <cell r="A145">
            <v>35263</v>
          </cell>
          <cell r="B145">
            <v>1461</v>
          </cell>
          <cell r="C145">
            <v>381</v>
          </cell>
        </row>
        <row r="146">
          <cell r="A146">
            <v>35264</v>
          </cell>
          <cell r="B146">
            <v>1464</v>
          </cell>
          <cell r="C146">
            <v>110</v>
          </cell>
        </row>
        <row r="147">
          <cell r="A147">
            <v>35265</v>
          </cell>
          <cell r="B147">
            <v>1480</v>
          </cell>
          <cell r="C147">
            <v>79</v>
          </cell>
        </row>
        <row r="148">
          <cell r="A148">
            <v>35268</v>
          </cell>
          <cell r="B148">
            <v>1612</v>
          </cell>
          <cell r="C148">
            <v>382</v>
          </cell>
        </row>
        <row r="149">
          <cell r="A149">
            <v>35269</v>
          </cell>
          <cell r="B149">
            <v>1791</v>
          </cell>
          <cell r="C149">
            <v>491</v>
          </cell>
        </row>
        <row r="150">
          <cell r="A150">
            <v>35270</v>
          </cell>
          <cell r="B150">
            <v>1684</v>
          </cell>
          <cell r="C150">
            <v>388</v>
          </cell>
        </row>
        <row r="151">
          <cell r="A151">
            <v>35271</v>
          </cell>
          <cell r="B151">
            <v>1661</v>
          </cell>
          <cell r="C151">
            <v>581</v>
          </cell>
        </row>
        <row r="152">
          <cell r="A152">
            <v>35272</v>
          </cell>
          <cell r="B152">
            <v>1618</v>
          </cell>
          <cell r="C152">
            <v>481</v>
          </cell>
        </row>
        <row r="153">
          <cell r="A153">
            <v>35276</v>
          </cell>
          <cell r="B153">
            <v>1992</v>
          </cell>
          <cell r="C153">
            <v>1157</v>
          </cell>
        </row>
        <row r="154">
          <cell r="A154">
            <v>35277</v>
          </cell>
          <cell r="B154">
            <v>1507</v>
          </cell>
          <cell r="C154">
            <v>680</v>
          </cell>
        </row>
        <row r="155">
          <cell r="A155">
            <v>35278</v>
          </cell>
          <cell r="B155">
            <v>1565</v>
          </cell>
          <cell r="C155">
            <v>559</v>
          </cell>
        </row>
        <row r="156">
          <cell r="A156">
            <v>35279</v>
          </cell>
          <cell r="B156">
            <v>1607</v>
          </cell>
          <cell r="C156">
            <v>504</v>
          </cell>
        </row>
        <row r="157">
          <cell r="A157">
            <v>35282</v>
          </cell>
          <cell r="B157">
            <v>1645</v>
          </cell>
          <cell r="C157">
            <v>935</v>
          </cell>
        </row>
        <row r="158">
          <cell r="A158">
            <v>35283</v>
          </cell>
          <cell r="B158">
            <v>1640</v>
          </cell>
          <cell r="C158">
            <v>527</v>
          </cell>
        </row>
        <row r="159">
          <cell r="A159">
            <v>35284</v>
          </cell>
          <cell r="B159">
            <v>1577</v>
          </cell>
          <cell r="C159">
            <v>391</v>
          </cell>
        </row>
        <row r="160">
          <cell r="A160">
            <v>35285</v>
          </cell>
          <cell r="B160">
            <v>1609</v>
          </cell>
          <cell r="C160">
            <v>176</v>
          </cell>
        </row>
        <row r="161">
          <cell r="A161">
            <v>35286</v>
          </cell>
          <cell r="B161">
            <v>1577</v>
          </cell>
          <cell r="C161">
            <v>51</v>
          </cell>
        </row>
        <row r="162">
          <cell r="A162">
            <v>35289</v>
          </cell>
          <cell r="B162">
            <v>1577</v>
          </cell>
          <cell r="C162">
            <v>67</v>
          </cell>
        </row>
        <row r="163">
          <cell r="A163">
            <v>35290</v>
          </cell>
          <cell r="B163">
            <v>1560</v>
          </cell>
          <cell r="C163">
            <v>75</v>
          </cell>
        </row>
        <row r="164">
          <cell r="A164">
            <v>35291</v>
          </cell>
          <cell r="B164">
            <v>1583</v>
          </cell>
          <cell r="C164">
            <v>98</v>
          </cell>
        </row>
        <row r="165">
          <cell r="A165">
            <v>35292</v>
          </cell>
          <cell r="B165">
            <v>1597</v>
          </cell>
          <cell r="C165">
            <v>74</v>
          </cell>
        </row>
        <row r="166">
          <cell r="A166">
            <v>35293</v>
          </cell>
          <cell r="B166">
            <v>1629</v>
          </cell>
          <cell r="C166">
            <v>147</v>
          </cell>
        </row>
        <row r="167">
          <cell r="A167">
            <v>35296</v>
          </cell>
          <cell r="B167">
            <v>1664</v>
          </cell>
          <cell r="C167">
            <v>225</v>
          </cell>
        </row>
        <row r="168">
          <cell r="A168">
            <v>35297</v>
          </cell>
          <cell r="B168">
            <v>1720</v>
          </cell>
          <cell r="C168">
            <v>205</v>
          </cell>
        </row>
        <row r="169">
          <cell r="A169">
            <v>35298</v>
          </cell>
          <cell r="B169">
            <v>1942</v>
          </cell>
          <cell r="C169">
            <v>683</v>
          </cell>
        </row>
        <row r="170">
          <cell r="A170">
            <v>35299</v>
          </cell>
          <cell r="B170">
            <v>1781</v>
          </cell>
          <cell r="C170">
            <v>564</v>
          </cell>
        </row>
        <row r="171">
          <cell r="A171">
            <v>35300</v>
          </cell>
          <cell r="B171">
            <v>1827</v>
          </cell>
          <cell r="C171">
            <v>431</v>
          </cell>
        </row>
        <row r="172">
          <cell r="A172">
            <v>35303</v>
          </cell>
          <cell r="B172">
            <v>1733</v>
          </cell>
          <cell r="C172">
            <v>321</v>
          </cell>
        </row>
        <row r="173">
          <cell r="A173">
            <v>35304</v>
          </cell>
          <cell r="B173">
            <v>1794</v>
          </cell>
          <cell r="C173">
            <v>283</v>
          </cell>
        </row>
        <row r="174">
          <cell r="A174">
            <v>35305</v>
          </cell>
          <cell r="B174">
            <v>1755</v>
          </cell>
          <cell r="C174">
            <v>389</v>
          </cell>
        </row>
        <row r="175">
          <cell r="A175">
            <v>35306</v>
          </cell>
          <cell r="B175">
            <v>1839</v>
          </cell>
          <cell r="C175">
            <v>602</v>
          </cell>
        </row>
        <row r="176">
          <cell r="A176">
            <v>35307</v>
          </cell>
          <cell r="B176">
            <v>1388</v>
          </cell>
          <cell r="C176">
            <v>551</v>
          </cell>
        </row>
        <row r="177">
          <cell r="A177">
            <v>35310</v>
          </cell>
          <cell r="B177">
            <v>1417</v>
          </cell>
          <cell r="C177">
            <v>94</v>
          </cell>
        </row>
        <row r="178">
          <cell r="A178">
            <v>35311</v>
          </cell>
          <cell r="B178">
            <v>1520</v>
          </cell>
          <cell r="C178">
            <v>442</v>
          </cell>
        </row>
        <row r="179">
          <cell r="A179">
            <v>35312</v>
          </cell>
          <cell r="B179">
            <v>1530</v>
          </cell>
          <cell r="C179">
            <v>337</v>
          </cell>
        </row>
        <row r="180">
          <cell r="A180">
            <v>35313</v>
          </cell>
          <cell r="B180">
            <v>1371</v>
          </cell>
          <cell r="C180">
            <v>116</v>
          </cell>
        </row>
        <row r="181">
          <cell r="A181">
            <v>35314</v>
          </cell>
          <cell r="B181">
            <v>1444</v>
          </cell>
          <cell r="C181">
            <v>208</v>
          </cell>
        </row>
        <row r="182">
          <cell r="A182">
            <v>35317</v>
          </cell>
          <cell r="B182">
            <v>1462</v>
          </cell>
          <cell r="C182">
            <v>122</v>
          </cell>
        </row>
        <row r="183">
          <cell r="A183">
            <v>35318</v>
          </cell>
          <cell r="B183">
            <v>1509</v>
          </cell>
          <cell r="C183">
            <v>235</v>
          </cell>
        </row>
        <row r="184">
          <cell r="A184">
            <v>35319</v>
          </cell>
          <cell r="B184">
            <v>1508</v>
          </cell>
          <cell r="C184">
            <v>50</v>
          </cell>
        </row>
        <row r="185">
          <cell r="A185">
            <v>35320</v>
          </cell>
          <cell r="B185">
            <v>1507</v>
          </cell>
          <cell r="C185">
            <v>67</v>
          </cell>
        </row>
        <row r="186">
          <cell r="A186">
            <v>35321</v>
          </cell>
          <cell r="B186">
            <v>1577</v>
          </cell>
          <cell r="C186">
            <v>235</v>
          </cell>
        </row>
        <row r="187">
          <cell r="A187">
            <v>35324</v>
          </cell>
          <cell r="B187">
            <v>1588</v>
          </cell>
          <cell r="C187">
            <v>355</v>
          </cell>
        </row>
        <row r="188">
          <cell r="A188">
            <v>35325</v>
          </cell>
          <cell r="B188">
            <v>1751</v>
          </cell>
          <cell r="C188">
            <v>487</v>
          </cell>
        </row>
        <row r="189">
          <cell r="A189">
            <v>35326</v>
          </cell>
          <cell r="B189">
            <v>1776</v>
          </cell>
          <cell r="C189">
            <v>168</v>
          </cell>
        </row>
        <row r="190">
          <cell r="A190">
            <v>35327</v>
          </cell>
          <cell r="B190">
            <v>1692</v>
          </cell>
          <cell r="C190">
            <v>282</v>
          </cell>
        </row>
        <row r="191">
          <cell r="A191">
            <v>35328</v>
          </cell>
          <cell r="B191">
            <v>1748</v>
          </cell>
          <cell r="C191">
            <v>278</v>
          </cell>
        </row>
        <row r="192">
          <cell r="A192">
            <v>35331</v>
          </cell>
          <cell r="B192">
            <v>1731</v>
          </cell>
          <cell r="C192">
            <v>450</v>
          </cell>
        </row>
        <row r="193">
          <cell r="A193">
            <v>35332</v>
          </cell>
          <cell r="B193">
            <v>1709</v>
          </cell>
          <cell r="C193">
            <v>335</v>
          </cell>
        </row>
        <row r="194">
          <cell r="A194">
            <v>35333</v>
          </cell>
          <cell r="B194">
            <v>1741</v>
          </cell>
          <cell r="C194">
            <v>694</v>
          </cell>
        </row>
        <row r="195">
          <cell r="A195">
            <v>35334</v>
          </cell>
          <cell r="B195">
            <v>1789</v>
          </cell>
          <cell r="C195">
            <v>419</v>
          </cell>
        </row>
        <row r="196">
          <cell r="A196">
            <v>35335</v>
          </cell>
          <cell r="B196">
            <v>1788</v>
          </cell>
          <cell r="C196">
            <v>378</v>
          </cell>
        </row>
        <row r="197">
          <cell r="A197">
            <v>35338</v>
          </cell>
          <cell r="B197">
            <v>1533</v>
          </cell>
          <cell r="C197">
            <v>536</v>
          </cell>
        </row>
        <row r="198">
          <cell r="A198">
            <v>35339</v>
          </cell>
          <cell r="B198">
            <v>1639</v>
          </cell>
          <cell r="C198">
            <v>168</v>
          </cell>
        </row>
        <row r="199">
          <cell r="A199">
            <v>35340</v>
          </cell>
          <cell r="B199">
            <v>1732</v>
          </cell>
          <cell r="C199">
            <v>233</v>
          </cell>
        </row>
        <row r="200">
          <cell r="A200">
            <v>35341</v>
          </cell>
          <cell r="B200">
            <v>1805</v>
          </cell>
          <cell r="C200">
            <v>294</v>
          </cell>
        </row>
        <row r="201">
          <cell r="A201">
            <v>35342</v>
          </cell>
          <cell r="B201">
            <v>1838</v>
          </cell>
          <cell r="C201">
            <v>176</v>
          </cell>
        </row>
        <row r="202">
          <cell r="A202">
            <v>35345</v>
          </cell>
          <cell r="B202">
            <v>1942</v>
          </cell>
          <cell r="C202">
            <v>282</v>
          </cell>
        </row>
        <row r="203">
          <cell r="A203">
            <v>35346</v>
          </cell>
          <cell r="B203">
            <v>2037</v>
          </cell>
          <cell r="C203">
            <v>232</v>
          </cell>
        </row>
        <row r="204">
          <cell r="A204">
            <v>35347</v>
          </cell>
          <cell r="B204">
            <v>2192</v>
          </cell>
          <cell r="C204">
            <v>555</v>
          </cell>
        </row>
        <row r="205">
          <cell r="A205">
            <v>35348</v>
          </cell>
          <cell r="B205">
            <v>2464</v>
          </cell>
          <cell r="C205">
            <v>533</v>
          </cell>
        </row>
        <row r="206">
          <cell r="A206">
            <v>35349</v>
          </cell>
          <cell r="B206">
            <v>2068</v>
          </cell>
          <cell r="C206">
            <v>107</v>
          </cell>
        </row>
        <row r="207">
          <cell r="A207">
            <v>35352</v>
          </cell>
          <cell r="B207">
            <v>1883</v>
          </cell>
          <cell r="C207">
            <v>279</v>
          </cell>
        </row>
        <row r="208">
          <cell r="A208">
            <v>35353</v>
          </cell>
          <cell r="B208">
            <v>1925</v>
          </cell>
          <cell r="C208">
            <v>331</v>
          </cell>
        </row>
        <row r="209">
          <cell r="A209">
            <v>35354</v>
          </cell>
          <cell r="B209">
            <v>1934</v>
          </cell>
          <cell r="C209">
            <v>403</v>
          </cell>
        </row>
        <row r="210">
          <cell r="A210">
            <v>35355</v>
          </cell>
          <cell r="B210">
            <v>2045</v>
          </cell>
          <cell r="C210">
            <v>312</v>
          </cell>
        </row>
        <row r="211">
          <cell r="A211">
            <v>35356</v>
          </cell>
          <cell r="B211">
            <v>2171</v>
          </cell>
          <cell r="C211">
            <v>577</v>
          </cell>
        </row>
        <row r="212">
          <cell r="A212">
            <v>35359</v>
          </cell>
          <cell r="B212">
            <v>2150</v>
          </cell>
          <cell r="C212">
            <v>365</v>
          </cell>
        </row>
        <row r="213">
          <cell r="A213">
            <v>35360</v>
          </cell>
          <cell r="B213">
            <v>2246</v>
          </cell>
          <cell r="C213">
            <v>321</v>
          </cell>
        </row>
        <row r="214">
          <cell r="A214">
            <v>35361</v>
          </cell>
          <cell r="B214">
            <v>2262</v>
          </cell>
          <cell r="C214">
            <v>349</v>
          </cell>
        </row>
        <row r="215">
          <cell r="A215">
            <v>35362</v>
          </cell>
          <cell r="B215">
            <v>2280</v>
          </cell>
          <cell r="C215">
            <v>377</v>
          </cell>
        </row>
        <row r="216">
          <cell r="A216">
            <v>35363</v>
          </cell>
          <cell r="B216">
            <v>2304</v>
          </cell>
          <cell r="C216">
            <v>517</v>
          </cell>
        </row>
        <row r="217">
          <cell r="A217">
            <v>35366</v>
          </cell>
          <cell r="B217">
            <v>2262</v>
          </cell>
          <cell r="C217">
            <v>658</v>
          </cell>
        </row>
        <row r="218">
          <cell r="A218">
            <v>35367</v>
          </cell>
          <cell r="B218">
            <v>2411</v>
          </cell>
          <cell r="C218">
            <v>794</v>
          </cell>
        </row>
        <row r="219">
          <cell r="A219">
            <v>35368</v>
          </cell>
          <cell r="B219">
            <v>2122</v>
          </cell>
          <cell r="C219">
            <v>1054</v>
          </cell>
        </row>
        <row r="220">
          <cell r="A220">
            <v>35369</v>
          </cell>
          <cell r="B220">
            <v>1823</v>
          </cell>
          <cell r="C220">
            <v>569</v>
          </cell>
        </row>
        <row r="221">
          <cell r="A221">
            <v>35370</v>
          </cell>
          <cell r="B221">
            <v>1843</v>
          </cell>
          <cell r="C221">
            <v>195</v>
          </cell>
        </row>
        <row r="222">
          <cell r="A222">
            <v>35373</v>
          </cell>
          <cell r="B222">
            <v>1857</v>
          </cell>
          <cell r="C222">
            <v>123</v>
          </cell>
        </row>
        <row r="223">
          <cell r="A223">
            <v>35374</v>
          </cell>
          <cell r="B223">
            <v>1760</v>
          </cell>
          <cell r="C223">
            <v>188</v>
          </cell>
        </row>
        <row r="224">
          <cell r="A224">
            <v>35375</v>
          </cell>
          <cell r="B224">
            <v>1753</v>
          </cell>
          <cell r="C224">
            <v>134</v>
          </cell>
        </row>
        <row r="225">
          <cell r="A225">
            <v>35376</v>
          </cell>
          <cell r="B225">
            <v>1804</v>
          </cell>
          <cell r="C225">
            <v>322</v>
          </cell>
        </row>
        <row r="226">
          <cell r="A226">
            <v>35377</v>
          </cell>
          <cell r="B226">
            <v>1824</v>
          </cell>
          <cell r="C226">
            <v>145</v>
          </cell>
        </row>
        <row r="227">
          <cell r="A227">
            <v>35381</v>
          </cell>
          <cell r="B227">
            <v>1896</v>
          </cell>
          <cell r="C227">
            <v>233</v>
          </cell>
        </row>
        <row r="228">
          <cell r="A228">
            <v>35382</v>
          </cell>
          <cell r="B228">
            <v>1964</v>
          </cell>
          <cell r="C228">
            <v>288</v>
          </cell>
        </row>
        <row r="229">
          <cell r="A229">
            <v>35383</v>
          </cell>
          <cell r="B229">
            <v>1974</v>
          </cell>
          <cell r="C229">
            <v>294</v>
          </cell>
        </row>
        <row r="230">
          <cell r="A230">
            <v>35384</v>
          </cell>
          <cell r="B230">
            <v>1997</v>
          </cell>
          <cell r="C230">
            <v>150</v>
          </cell>
        </row>
        <row r="231">
          <cell r="A231">
            <v>35387</v>
          </cell>
          <cell r="B231">
            <v>2010</v>
          </cell>
          <cell r="C231">
            <v>283</v>
          </cell>
        </row>
        <row r="232">
          <cell r="A232">
            <v>35388</v>
          </cell>
          <cell r="B232">
            <v>2042</v>
          </cell>
          <cell r="C232">
            <v>547</v>
          </cell>
        </row>
        <row r="233">
          <cell r="A233">
            <v>35389</v>
          </cell>
          <cell r="B233">
            <v>2043</v>
          </cell>
          <cell r="C233">
            <v>314</v>
          </cell>
        </row>
        <row r="234">
          <cell r="A234">
            <v>35390</v>
          </cell>
          <cell r="B234">
            <v>2062</v>
          </cell>
          <cell r="C234">
            <v>293</v>
          </cell>
        </row>
        <row r="235">
          <cell r="A235">
            <v>35391</v>
          </cell>
          <cell r="B235">
            <v>2032</v>
          </cell>
          <cell r="C235">
            <v>583</v>
          </cell>
        </row>
        <row r="236">
          <cell r="A236">
            <v>35394</v>
          </cell>
          <cell r="B236">
            <v>2029</v>
          </cell>
          <cell r="C236">
            <v>457</v>
          </cell>
        </row>
        <row r="237">
          <cell r="A237">
            <v>35395</v>
          </cell>
          <cell r="B237">
            <v>1996</v>
          </cell>
          <cell r="C237">
            <v>635</v>
          </cell>
        </row>
        <row r="238">
          <cell r="A238">
            <v>35396</v>
          </cell>
          <cell r="B238">
            <v>1728</v>
          </cell>
          <cell r="C238">
            <v>513</v>
          </cell>
        </row>
        <row r="239">
          <cell r="A239">
            <v>35397</v>
          </cell>
          <cell r="B239">
            <v>1852</v>
          </cell>
          <cell r="C239">
            <v>751</v>
          </cell>
        </row>
        <row r="240">
          <cell r="A240">
            <v>35398</v>
          </cell>
          <cell r="B240">
            <v>1169</v>
          </cell>
          <cell r="C240">
            <v>627</v>
          </cell>
        </row>
        <row r="241">
          <cell r="A241">
            <v>35401</v>
          </cell>
          <cell r="B241">
            <v>1241</v>
          </cell>
          <cell r="C241">
            <v>393</v>
          </cell>
        </row>
        <row r="242">
          <cell r="A242">
            <v>35402</v>
          </cell>
          <cell r="B242">
            <v>1316</v>
          </cell>
          <cell r="C242">
            <v>285</v>
          </cell>
        </row>
        <row r="243">
          <cell r="A243">
            <v>35403</v>
          </cell>
          <cell r="B243">
            <v>1345</v>
          </cell>
          <cell r="C243">
            <v>448</v>
          </cell>
        </row>
        <row r="244">
          <cell r="A244">
            <v>35404</v>
          </cell>
          <cell r="B244">
            <v>1511</v>
          </cell>
          <cell r="C244">
            <v>564</v>
          </cell>
        </row>
        <row r="245">
          <cell r="A245">
            <v>35405</v>
          </cell>
          <cell r="B245">
            <v>1930</v>
          </cell>
          <cell r="C245">
            <v>1696</v>
          </cell>
        </row>
        <row r="246">
          <cell r="A246">
            <v>35408</v>
          </cell>
          <cell r="B246">
            <v>1803</v>
          </cell>
          <cell r="C246">
            <v>477</v>
          </cell>
        </row>
        <row r="247">
          <cell r="A247">
            <v>35409</v>
          </cell>
          <cell r="B247">
            <v>1714</v>
          </cell>
          <cell r="C247">
            <v>298</v>
          </cell>
        </row>
        <row r="248">
          <cell r="A248">
            <v>35410</v>
          </cell>
          <cell r="B248">
            <v>1914</v>
          </cell>
          <cell r="C248">
            <v>959</v>
          </cell>
        </row>
        <row r="249">
          <cell r="A249">
            <v>35411</v>
          </cell>
          <cell r="B249">
            <v>1943</v>
          </cell>
          <cell r="C249">
            <v>381</v>
          </cell>
        </row>
        <row r="250">
          <cell r="A250">
            <v>35412</v>
          </cell>
          <cell r="B250">
            <v>2001</v>
          </cell>
          <cell r="C250">
            <v>676</v>
          </cell>
        </row>
        <row r="251">
          <cell r="A251">
            <v>35415</v>
          </cell>
          <cell r="B251">
            <v>1996</v>
          </cell>
          <cell r="C251">
            <v>171</v>
          </cell>
        </row>
        <row r="252">
          <cell r="A252">
            <v>35416</v>
          </cell>
          <cell r="B252">
            <v>1890</v>
          </cell>
          <cell r="C252">
            <v>250</v>
          </cell>
        </row>
        <row r="253">
          <cell r="A253">
            <v>35417</v>
          </cell>
          <cell r="B253">
            <v>1896</v>
          </cell>
          <cell r="C253">
            <v>308</v>
          </cell>
        </row>
        <row r="254">
          <cell r="A254">
            <v>35418</v>
          </cell>
          <cell r="B254">
            <v>1915</v>
          </cell>
          <cell r="C254">
            <v>496</v>
          </cell>
        </row>
        <row r="255">
          <cell r="A255">
            <v>35419</v>
          </cell>
          <cell r="B255">
            <v>1766</v>
          </cell>
          <cell r="C255">
            <v>573</v>
          </cell>
        </row>
        <row r="256">
          <cell r="A256">
            <v>35422</v>
          </cell>
          <cell r="B256">
            <v>1786</v>
          </cell>
          <cell r="C256">
            <v>270</v>
          </cell>
        </row>
        <row r="257">
          <cell r="A257">
            <v>35423</v>
          </cell>
          <cell r="B257">
            <v>2001</v>
          </cell>
          <cell r="C257">
            <v>873</v>
          </cell>
        </row>
        <row r="258">
          <cell r="A258">
            <v>35425</v>
          </cell>
          <cell r="B258">
            <v>2045</v>
          </cell>
          <cell r="C258">
            <v>271</v>
          </cell>
        </row>
        <row r="259">
          <cell r="A259">
            <v>35426</v>
          </cell>
          <cell r="B259">
            <v>2129</v>
          </cell>
          <cell r="C259">
            <v>354</v>
          </cell>
        </row>
        <row r="260">
          <cell r="A260">
            <v>35429</v>
          </cell>
          <cell r="B260">
            <v>1926</v>
          </cell>
          <cell r="C260">
            <v>366</v>
          </cell>
        </row>
        <row r="261">
          <cell r="A261">
            <v>35430</v>
          </cell>
          <cell r="B261">
            <v>1312</v>
          </cell>
          <cell r="C261">
            <v>556</v>
          </cell>
        </row>
        <row r="262">
          <cell r="A262">
            <v>35432</v>
          </cell>
          <cell r="B262">
            <v>1281</v>
          </cell>
          <cell r="C262">
            <v>203</v>
          </cell>
        </row>
        <row r="263">
          <cell r="A263">
            <v>35433</v>
          </cell>
          <cell r="B263">
            <v>1383</v>
          </cell>
          <cell r="C263">
            <v>290</v>
          </cell>
        </row>
        <row r="264">
          <cell r="A264">
            <v>35436</v>
          </cell>
          <cell r="B264">
            <v>1399</v>
          </cell>
          <cell r="C264">
            <v>222</v>
          </cell>
        </row>
        <row r="265">
          <cell r="A265">
            <v>35437</v>
          </cell>
          <cell r="B265">
            <v>1464</v>
          </cell>
          <cell r="C265">
            <v>210</v>
          </cell>
        </row>
        <row r="266">
          <cell r="A266">
            <v>35438</v>
          </cell>
          <cell r="B266">
            <v>1518</v>
          </cell>
          <cell r="C266">
            <v>247</v>
          </cell>
        </row>
        <row r="267">
          <cell r="A267">
            <v>35439</v>
          </cell>
          <cell r="B267">
            <v>1611</v>
          </cell>
          <cell r="C267">
            <v>514</v>
          </cell>
        </row>
        <row r="268">
          <cell r="A268">
            <v>35440</v>
          </cell>
          <cell r="B268">
            <v>1608</v>
          </cell>
          <cell r="C268">
            <v>572</v>
          </cell>
        </row>
        <row r="269">
          <cell r="A269">
            <v>35443</v>
          </cell>
          <cell r="B269">
            <v>1685</v>
          </cell>
          <cell r="C269">
            <v>375</v>
          </cell>
        </row>
        <row r="270">
          <cell r="A270">
            <v>35444</v>
          </cell>
          <cell r="B270">
            <v>1683</v>
          </cell>
          <cell r="C270">
            <v>323</v>
          </cell>
        </row>
        <row r="271">
          <cell r="A271">
            <v>35445</v>
          </cell>
          <cell r="B271">
            <v>1919</v>
          </cell>
          <cell r="C271">
            <v>576</v>
          </cell>
        </row>
        <row r="272">
          <cell r="A272">
            <v>35446</v>
          </cell>
          <cell r="B272">
            <v>1902</v>
          </cell>
          <cell r="C272">
            <v>410</v>
          </cell>
        </row>
        <row r="273">
          <cell r="A273">
            <v>35447</v>
          </cell>
          <cell r="B273">
            <v>2018</v>
          </cell>
          <cell r="C273">
            <v>560</v>
          </cell>
        </row>
        <row r="274">
          <cell r="A274">
            <v>35450</v>
          </cell>
          <cell r="B274">
            <v>1969</v>
          </cell>
          <cell r="C274">
            <v>459</v>
          </cell>
        </row>
        <row r="275">
          <cell r="A275">
            <v>35451</v>
          </cell>
          <cell r="B275">
            <v>2066</v>
          </cell>
          <cell r="C275">
            <v>569</v>
          </cell>
        </row>
        <row r="276">
          <cell r="A276">
            <v>35452</v>
          </cell>
          <cell r="B276">
            <v>2048</v>
          </cell>
          <cell r="C276">
            <v>350</v>
          </cell>
        </row>
        <row r="277">
          <cell r="A277">
            <v>35453</v>
          </cell>
          <cell r="B277">
            <v>2001</v>
          </cell>
          <cell r="C277">
            <v>470</v>
          </cell>
        </row>
        <row r="278">
          <cell r="A278">
            <v>35454</v>
          </cell>
          <cell r="B278">
            <v>2034</v>
          </cell>
          <cell r="C278">
            <v>525</v>
          </cell>
        </row>
        <row r="279">
          <cell r="A279">
            <v>35457</v>
          </cell>
          <cell r="B279">
            <v>2214</v>
          </cell>
          <cell r="C279">
            <v>629</v>
          </cell>
        </row>
        <row r="280">
          <cell r="A280">
            <v>35458</v>
          </cell>
          <cell r="B280">
            <v>2385</v>
          </cell>
          <cell r="C280">
            <v>818</v>
          </cell>
        </row>
        <row r="281">
          <cell r="A281">
            <v>35459</v>
          </cell>
          <cell r="B281">
            <v>2620</v>
          </cell>
          <cell r="C281">
            <v>1069</v>
          </cell>
        </row>
        <row r="282">
          <cell r="A282">
            <v>35460</v>
          </cell>
          <cell r="B282">
            <v>2615</v>
          </cell>
          <cell r="C282">
            <v>608</v>
          </cell>
        </row>
        <row r="283">
          <cell r="A283">
            <v>35461</v>
          </cell>
          <cell r="B283">
            <v>2031</v>
          </cell>
          <cell r="C283">
            <v>902</v>
          </cell>
        </row>
        <row r="284">
          <cell r="A284">
            <v>35464</v>
          </cell>
          <cell r="B284">
            <v>1987</v>
          </cell>
          <cell r="C284">
            <v>177</v>
          </cell>
        </row>
        <row r="285">
          <cell r="A285">
            <v>35465</v>
          </cell>
          <cell r="B285">
            <v>1957</v>
          </cell>
          <cell r="C285">
            <v>233</v>
          </cell>
        </row>
        <row r="286">
          <cell r="A286">
            <v>35466</v>
          </cell>
          <cell r="B286">
            <v>1960</v>
          </cell>
          <cell r="C286">
            <v>222</v>
          </cell>
        </row>
        <row r="287">
          <cell r="A287">
            <v>35473</v>
          </cell>
          <cell r="B287">
            <v>1970</v>
          </cell>
          <cell r="C287">
            <v>347</v>
          </cell>
        </row>
        <row r="288">
          <cell r="A288">
            <v>35474</v>
          </cell>
          <cell r="B288">
            <v>2071</v>
          </cell>
          <cell r="C288">
            <v>535</v>
          </cell>
        </row>
        <row r="289">
          <cell r="A289">
            <v>35475</v>
          </cell>
          <cell r="B289">
            <v>2149</v>
          </cell>
          <cell r="C289">
            <v>677</v>
          </cell>
        </row>
        <row r="290">
          <cell r="A290">
            <v>35478</v>
          </cell>
          <cell r="B290">
            <v>2412</v>
          </cell>
          <cell r="C290">
            <v>476</v>
          </cell>
        </row>
        <row r="291">
          <cell r="A291">
            <v>35479</v>
          </cell>
          <cell r="B291">
            <v>2565</v>
          </cell>
          <cell r="C291">
            <v>444</v>
          </cell>
        </row>
        <row r="292">
          <cell r="A292">
            <v>35480</v>
          </cell>
          <cell r="B292">
            <v>2279</v>
          </cell>
          <cell r="C292">
            <v>664</v>
          </cell>
        </row>
        <row r="293">
          <cell r="A293">
            <v>35481</v>
          </cell>
          <cell r="B293">
            <v>2209</v>
          </cell>
          <cell r="C293">
            <v>546</v>
          </cell>
        </row>
        <row r="294">
          <cell r="A294">
            <v>35482</v>
          </cell>
          <cell r="B294">
            <v>2436</v>
          </cell>
          <cell r="C294">
            <v>674</v>
          </cell>
        </row>
        <row r="295">
          <cell r="A295">
            <v>35485</v>
          </cell>
          <cell r="B295">
            <v>2407</v>
          </cell>
          <cell r="C295">
            <v>700</v>
          </cell>
        </row>
        <row r="296">
          <cell r="A296">
            <v>35486</v>
          </cell>
          <cell r="B296">
            <v>2646</v>
          </cell>
          <cell r="C296">
            <v>704</v>
          </cell>
        </row>
        <row r="297">
          <cell r="A297">
            <v>35487</v>
          </cell>
          <cell r="B297">
            <v>2561</v>
          </cell>
          <cell r="C297">
            <v>618</v>
          </cell>
        </row>
        <row r="298">
          <cell r="A298">
            <v>35488</v>
          </cell>
          <cell r="B298">
            <v>2611</v>
          </cell>
          <cell r="C298">
            <v>1025</v>
          </cell>
        </row>
        <row r="299">
          <cell r="A299">
            <v>35489</v>
          </cell>
          <cell r="B299">
            <v>1850</v>
          </cell>
          <cell r="C299">
            <v>613</v>
          </cell>
        </row>
        <row r="300">
          <cell r="A300">
            <v>35492</v>
          </cell>
          <cell r="B300">
            <v>1988</v>
          </cell>
          <cell r="C300">
            <v>428</v>
          </cell>
        </row>
        <row r="301">
          <cell r="A301">
            <v>35493</v>
          </cell>
          <cell r="B301">
            <v>2051</v>
          </cell>
          <cell r="C301">
            <v>358</v>
          </cell>
        </row>
        <row r="302">
          <cell r="A302">
            <v>35494</v>
          </cell>
          <cell r="B302">
            <v>2196</v>
          </cell>
          <cell r="C302">
            <v>596</v>
          </cell>
        </row>
        <row r="303">
          <cell r="A303">
            <v>35495</v>
          </cell>
          <cell r="B303">
            <v>2032</v>
          </cell>
          <cell r="C303">
            <v>436</v>
          </cell>
        </row>
        <row r="304">
          <cell r="A304">
            <v>35496</v>
          </cell>
          <cell r="B304">
            <v>2050</v>
          </cell>
          <cell r="C304">
            <v>251</v>
          </cell>
        </row>
        <row r="305">
          <cell r="A305">
            <v>35499</v>
          </cell>
          <cell r="B305">
            <v>2200</v>
          </cell>
          <cell r="C305">
            <v>644</v>
          </cell>
        </row>
        <row r="306">
          <cell r="A306">
            <v>35500</v>
          </cell>
          <cell r="B306">
            <v>2517</v>
          </cell>
          <cell r="C306">
            <v>722</v>
          </cell>
        </row>
        <row r="307">
          <cell r="A307">
            <v>35501</v>
          </cell>
          <cell r="B307">
            <v>2424</v>
          </cell>
          <cell r="C307">
            <v>261</v>
          </cell>
        </row>
        <row r="308">
          <cell r="A308">
            <v>35502</v>
          </cell>
          <cell r="B308">
            <v>2374</v>
          </cell>
          <cell r="C308">
            <v>275</v>
          </cell>
        </row>
        <row r="309">
          <cell r="A309">
            <v>35503</v>
          </cell>
          <cell r="B309">
            <v>2407</v>
          </cell>
          <cell r="C309">
            <v>418</v>
          </cell>
        </row>
        <row r="310">
          <cell r="A310">
            <v>35506</v>
          </cell>
          <cell r="B310">
            <v>2324</v>
          </cell>
          <cell r="C310">
            <v>225</v>
          </cell>
        </row>
        <row r="311">
          <cell r="A311">
            <v>35507</v>
          </cell>
          <cell r="B311">
            <v>2403</v>
          </cell>
          <cell r="C311">
            <v>385</v>
          </cell>
        </row>
        <row r="312">
          <cell r="A312">
            <v>35508</v>
          </cell>
          <cell r="B312">
            <v>2444</v>
          </cell>
          <cell r="C312">
            <v>421</v>
          </cell>
        </row>
        <row r="313">
          <cell r="A313">
            <v>35509</v>
          </cell>
          <cell r="B313">
            <v>2351</v>
          </cell>
          <cell r="C313">
            <v>339</v>
          </cell>
        </row>
        <row r="314">
          <cell r="A314">
            <v>35510</v>
          </cell>
          <cell r="B314">
            <v>2516</v>
          </cell>
          <cell r="C314">
            <v>577</v>
          </cell>
        </row>
        <row r="315">
          <cell r="A315">
            <v>35513</v>
          </cell>
          <cell r="B315">
            <v>2644</v>
          </cell>
          <cell r="C315">
            <v>559</v>
          </cell>
        </row>
        <row r="316">
          <cell r="A316">
            <v>35514</v>
          </cell>
          <cell r="B316">
            <v>2862</v>
          </cell>
          <cell r="C316">
            <v>1293</v>
          </cell>
        </row>
        <row r="317">
          <cell r="A317">
            <v>35515</v>
          </cell>
          <cell r="B317">
            <v>2717</v>
          </cell>
          <cell r="C317">
            <v>895</v>
          </cell>
        </row>
        <row r="318">
          <cell r="A318">
            <v>35516</v>
          </cell>
          <cell r="B318">
            <v>2771</v>
          </cell>
          <cell r="C318">
            <v>961</v>
          </cell>
        </row>
        <row r="319">
          <cell r="A319">
            <v>35517</v>
          </cell>
          <cell r="B319">
            <v>2845</v>
          </cell>
          <cell r="C319">
            <v>337</v>
          </cell>
        </row>
        <row r="320">
          <cell r="A320">
            <v>35520</v>
          </cell>
          <cell r="B320">
            <v>2140</v>
          </cell>
          <cell r="C320">
            <v>818</v>
          </cell>
        </row>
        <row r="321">
          <cell r="A321">
            <v>35521</v>
          </cell>
          <cell r="B321">
            <v>2320</v>
          </cell>
          <cell r="C321">
            <v>647</v>
          </cell>
        </row>
        <row r="322">
          <cell r="A322">
            <v>35522</v>
          </cell>
          <cell r="B322">
            <v>2442</v>
          </cell>
          <cell r="C322">
            <v>449</v>
          </cell>
        </row>
        <row r="323">
          <cell r="A323">
            <v>35523</v>
          </cell>
          <cell r="B323">
            <v>2382</v>
          </cell>
          <cell r="C323">
            <v>599</v>
          </cell>
        </row>
        <row r="324">
          <cell r="A324">
            <v>35524</v>
          </cell>
          <cell r="B324">
            <v>2497</v>
          </cell>
          <cell r="C324">
            <v>1200</v>
          </cell>
        </row>
        <row r="325">
          <cell r="A325">
            <v>35527</v>
          </cell>
          <cell r="B325">
            <v>2618</v>
          </cell>
          <cell r="C325">
            <v>558</v>
          </cell>
        </row>
        <row r="326">
          <cell r="A326">
            <v>35528</v>
          </cell>
          <cell r="B326">
            <v>2638</v>
          </cell>
          <cell r="C326">
            <v>626</v>
          </cell>
        </row>
        <row r="327">
          <cell r="A327">
            <v>35529</v>
          </cell>
          <cell r="B327">
            <v>2713</v>
          </cell>
          <cell r="C327">
            <v>621</v>
          </cell>
        </row>
        <row r="328">
          <cell r="A328">
            <v>35530</v>
          </cell>
          <cell r="B328">
            <v>2384</v>
          </cell>
          <cell r="C328">
            <v>768</v>
          </cell>
        </row>
        <row r="329">
          <cell r="A329">
            <v>35531</v>
          </cell>
          <cell r="B329">
            <v>2455</v>
          </cell>
          <cell r="C329">
            <v>533</v>
          </cell>
        </row>
        <row r="330">
          <cell r="A330">
            <v>35534</v>
          </cell>
          <cell r="B330">
            <v>2530</v>
          </cell>
          <cell r="C330">
            <v>614</v>
          </cell>
        </row>
        <row r="331">
          <cell r="A331">
            <v>35535</v>
          </cell>
          <cell r="B331">
            <v>2588</v>
          </cell>
          <cell r="C331">
            <v>801</v>
          </cell>
        </row>
        <row r="332">
          <cell r="A332">
            <v>35536</v>
          </cell>
          <cell r="B332">
            <v>2529</v>
          </cell>
          <cell r="C332">
            <v>1155</v>
          </cell>
        </row>
        <row r="333">
          <cell r="A333">
            <v>35537</v>
          </cell>
          <cell r="B333">
            <v>2590</v>
          </cell>
          <cell r="C333">
            <v>810</v>
          </cell>
        </row>
        <row r="334">
          <cell r="A334">
            <v>35541</v>
          </cell>
          <cell r="B334">
            <v>2682</v>
          </cell>
          <cell r="C334">
            <v>803</v>
          </cell>
        </row>
        <row r="335">
          <cell r="A335">
            <v>35542</v>
          </cell>
          <cell r="B335">
            <v>2644</v>
          </cell>
          <cell r="C335">
            <v>837</v>
          </cell>
        </row>
        <row r="336">
          <cell r="A336">
            <v>35543</v>
          </cell>
          <cell r="B336">
            <v>2539</v>
          </cell>
          <cell r="C336">
            <v>838</v>
          </cell>
        </row>
        <row r="337">
          <cell r="A337">
            <v>35544</v>
          </cell>
          <cell r="B337">
            <v>2923</v>
          </cell>
          <cell r="C337">
            <v>1100</v>
          </cell>
        </row>
        <row r="338">
          <cell r="A338">
            <v>35545</v>
          </cell>
          <cell r="B338">
            <v>2863</v>
          </cell>
          <cell r="C338">
            <v>1232</v>
          </cell>
        </row>
        <row r="339">
          <cell r="A339">
            <v>35548</v>
          </cell>
          <cell r="B339">
            <v>3161</v>
          </cell>
          <cell r="C339">
            <v>1513</v>
          </cell>
        </row>
        <row r="340">
          <cell r="A340">
            <v>35549</v>
          </cell>
          <cell r="B340">
            <v>3186</v>
          </cell>
          <cell r="C340">
            <v>1179</v>
          </cell>
        </row>
        <row r="341">
          <cell r="A341">
            <v>35550</v>
          </cell>
          <cell r="B341">
            <v>2112</v>
          </cell>
          <cell r="C341">
            <v>1483</v>
          </cell>
        </row>
        <row r="342">
          <cell r="A342">
            <v>35552</v>
          </cell>
          <cell r="B342">
            <v>2117</v>
          </cell>
          <cell r="C342">
            <v>1037</v>
          </cell>
        </row>
        <row r="343">
          <cell r="A343">
            <v>35555</v>
          </cell>
          <cell r="B343">
            <v>2278</v>
          </cell>
          <cell r="C343">
            <v>827</v>
          </cell>
        </row>
        <row r="344">
          <cell r="A344">
            <v>35556</v>
          </cell>
          <cell r="B344">
            <v>2381</v>
          </cell>
          <cell r="C344">
            <v>961</v>
          </cell>
        </row>
        <row r="345">
          <cell r="A345">
            <v>35557</v>
          </cell>
          <cell r="B345">
            <v>2477</v>
          </cell>
          <cell r="C345">
            <v>1178</v>
          </cell>
        </row>
        <row r="346">
          <cell r="A346">
            <v>35559</v>
          </cell>
          <cell r="B346">
            <v>2663</v>
          </cell>
          <cell r="C346">
            <v>1113</v>
          </cell>
        </row>
        <row r="347">
          <cell r="A347">
            <v>35562</v>
          </cell>
          <cell r="B347">
            <v>2625</v>
          </cell>
          <cell r="C347">
            <v>775</v>
          </cell>
        </row>
        <row r="348">
          <cell r="A348">
            <v>35563</v>
          </cell>
          <cell r="B348">
            <v>2648</v>
          </cell>
          <cell r="C348">
            <v>759</v>
          </cell>
        </row>
        <row r="349">
          <cell r="A349">
            <v>35564</v>
          </cell>
          <cell r="B349">
            <v>2570</v>
          </cell>
          <cell r="C349">
            <v>1297</v>
          </cell>
        </row>
        <row r="350">
          <cell r="A350">
            <v>35565</v>
          </cell>
          <cell r="B350">
            <v>3135</v>
          </cell>
          <cell r="C350">
            <v>1992</v>
          </cell>
        </row>
        <row r="351">
          <cell r="A351">
            <v>35566</v>
          </cell>
          <cell r="B351">
            <v>3451</v>
          </cell>
          <cell r="C351">
            <v>2050</v>
          </cell>
        </row>
        <row r="352">
          <cell r="A352">
            <v>35569</v>
          </cell>
          <cell r="B352">
            <v>3503</v>
          </cell>
          <cell r="C352">
            <v>1003</v>
          </cell>
        </row>
        <row r="353">
          <cell r="A353">
            <v>35570</v>
          </cell>
          <cell r="B353">
            <v>3631</v>
          </cell>
          <cell r="C353">
            <v>1105</v>
          </cell>
        </row>
        <row r="354">
          <cell r="A354">
            <v>35572</v>
          </cell>
          <cell r="B354">
            <v>3619</v>
          </cell>
          <cell r="C354">
            <v>1458</v>
          </cell>
        </row>
        <row r="355">
          <cell r="A355">
            <v>35573</v>
          </cell>
          <cell r="B355">
            <v>3377</v>
          </cell>
          <cell r="C355">
            <v>1229</v>
          </cell>
        </row>
        <row r="356">
          <cell r="A356">
            <v>35576</v>
          </cell>
          <cell r="B356">
            <v>3478</v>
          </cell>
          <cell r="C356">
            <v>1491</v>
          </cell>
        </row>
        <row r="357">
          <cell r="A357">
            <v>35577</v>
          </cell>
          <cell r="B357">
            <v>3902</v>
          </cell>
          <cell r="C357">
            <v>1618</v>
          </cell>
        </row>
        <row r="358">
          <cell r="A358">
            <v>35578</v>
          </cell>
          <cell r="B358">
            <v>3631</v>
          </cell>
          <cell r="C358">
            <v>1761</v>
          </cell>
        </row>
        <row r="359">
          <cell r="A359">
            <v>35579</v>
          </cell>
          <cell r="B359">
            <v>3807</v>
          </cell>
          <cell r="C359">
            <v>1594</v>
          </cell>
        </row>
        <row r="360">
          <cell r="A360">
            <v>35580</v>
          </cell>
          <cell r="B360">
            <v>2859</v>
          </cell>
          <cell r="C360">
            <v>1045</v>
          </cell>
        </row>
        <row r="361">
          <cell r="A361">
            <v>35583</v>
          </cell>
          <cell r="B361">
            <v>3175</v>
          </cell>
          <cell r="C361">
            <v>1129</v>
          </cell>
        </row>
        <row r="362">
          <cell r="A362">
            <v>35584</v>
          </cell>
          <cell r="B362">
            <v>3440</v>
          </cell>
          <cell r="C362">
            <v>1418</v>
          </cell>
        </row>
        <row r="363">
          <cell r="A363">
            <v>35585</v>
          </cell>
          <cell r="B363">
            <v>3026</v>
          </cell>
          <cell r="C363">
            <v>888</v>
          </cell>
        </row>
        <row r="364">
          <cell r="A364">
            <v>35586</v>
          </cell>
          <cell r="B364">
            <v>3176</v>
          </cell>
          <cell r="C364">
            <v>1053</v>
          </cell>
        </row>
        <row r="365">
          <cell r="A365">
            <v>35587</v>
          </cell>
          <cell r="B365">
            <v>3118</v>
          </cell>
          <cell r="C365">
            <v>642</v>
          </cell>
        </row>
        <row r="366">
          <cell r="A366">
            <v>35590</v>
          </cell>
          <cell r="B366">
            <v>3095</v>
          </cell>
          <cell r="C366">
            <v>317</v>
          </cell>
        </row>
        <row r="367">
          <cell r="A367">
            <v>35591</v>
          </cell>
          <cell r="B367">
            <v>3188</v>
          </cell>
          <cell r="C367">
            <v>508</v>
          </cell>
        </row>
        <row r="368">
          <cell r="A368">
            <v>35592</v>
          </cell>
          <cell r="B368">
            <v>3239</v>
          </cell>
          <cell r="C368">
            <v>705</v>
          </cell>
        </row>
        <row r="369">
          <cell r="A369">
            <v>35593</v>
          </cell>
          <cell r="B369">
            <v>2551</v>
          </cell>
          <cell r="C369">
            <v>887</v>
          </cell>
        </row>
        <row r="370">
          <cell r="A370">
            <v>35594</v>
          </cell>
          <cell r="B370">
            <v>2558</v>
          </cell>
          <cell r="C370">
            <v>748</v>
          </cell>
        </row>
        <row r="371">
          <cell r="A371">
            <v>35597</v>
          </cell>
          <cell r="B371">
            <v>2705</v>
          </cell>
          <cell r="C371">
            <v>699</v>
          </cell>
        </row>
        <row r="372">
          <cell r="A372">
            <v>35598</v>
          </cell>
          <cell r="B372">
            <v>2708</v>
          </cell>
          <cell r="C372">
            <v>629</v>
          </cell>
        </row>
        <row r="373">
          <cell r="A373">
            <v>35599</v>
          </cell>
          <cell r="B373">
            <v>2909</v>
          </cell>
          <cell r="C373">
            <v>744</v>
          </cell>
        </row>
        <row r="374">
          <cell r="A374">
            <v>35600</v>
          </cell>
          <cell r="B374">
            <v>2743</v>
          </cell>
          <cell r="C374">
            <v>843</v>
          </cell>
        </row>
        <row r="375">
          <cell r="A375">
            <v>35601</v>
          </cell>
          <cell r="B375">
            <v>3030</v>
          </cell>
          <cell r="C375">
            <v>1674</v>
          </cell>
        </row>
        <row r="376">
          <cell r="A376">
            <v>35604</v>
          </cell>
          <cell r="B376">
            <v>3210</v>
          </cell>
          <cell r="C376">
            <v>988</v>
          </cell>
        </row>
        <row r="377">
          <cell r="A377">
            <v>35605</v>
          </cell>
          <cell r="B377">
            <v>3178</v>
          </cell>
          <cell r="C377">
            <v>1695</v>
          </cell>
        </row>
        <row r="378">
          <cell r="A378">
            <v>35606</v>
          </cell>
          <cell r="B378">
            <v>3395</v>
          </cell>
          <cell r="C378">
            <v>1397</v>
          </cell>
        </row>
        <row r="379">
          <cell r="A379">
            <v>35607</v>
          </cell>
          <cell r="B379">
            <v>3429</v>
          </cell>
          <cell r="C379">
            <v>932</v>
          </cell>
        </row>
        <row r="380">
          <cell r="A380">
            <v>35608</v>
          </cell>
          <cell r="B380">
            <v>3902</v>
          </cell>
          <cell r="C380">
            <v>1419</v>
          </cell>
        </row>
        <row r="381">
          <cell r="A381">
            <v>35611</v>
          </cell>
          <cell r="B381">
            <v>2604</v>
          </cell>
          <cell r="C381">
            <v>676</v>
          </cell>
        </row>
        <row r="382">
          <cell r="A382">
            <v>35612</v>
          </cell>
          <cell r="B382">
            <v>2724</v>
          </cell>
          <cell r="C382">
            <v>289</v>
          </cell>
        </row>
        <row r="383">
          <cell r="A383">
            <v>35613</v>
          </cell>
          <cell r="B383">
            <v>2839</v>
          </cell>
          <cell r="C383">
            <v>577</v>
          </cell>
        </row>
        <row r="384">
          <cell r="A384">
            <v>35614</v>
          </cell>
          <cell r="B384">
            <v>3043</v>
          </cell>
          <cell r="C384">
            <v>951</v>
          </cell>
        </row>
        <row r="385">
          <cell r="A385">
            <v>35615</v>
          </cell>
          <cell r="B385">
            <v>3044</v>
          </cell>
          <cell r="C385">
            <v>392</v>
          </cell>
        </row>
        <row r="386">
          <cell r="A386">
            <v>35618</v>
          </cell>
          <cell r="B386">
            <v>3079</v>
          </cell>
          <cell r="C386">
            <v>560</v>
          </cell>
        </row>
        <row r="387">
          <cell r="A387">
            <v>35619</v>
          </cell>
          <cell r="B387">
            <v>3074</v>
          </cell>
          <cell r="C387">
            <v>753</v>
          </cell>
        </row>
        <row r="388">
          <cell r="A388">
            <v>35620</v>
          </cell>
          <cell r="B388">
            <v>3343</v>
          </cell>
          <cell r="C388">
            <v>1034</v>
          </cell>
        </row>
        <row r="389">
          <cell r="A389">
            <v>35621</v>
          </cell>
          <cell r="B389">
            <v>3748</v>
          </cell>
          <cell r="C389">
            <v>1716</v>
          </cell>
        </row>
        <row r="390">
          <cell r="A390">
            <v>35622</v>
          </cell>
          <cell r="B390">
            <v>4298</v>
          </cell>
          <cell r="C390">
            <v>2355</v>
          </cell>
        </row>
        <row r="391">
          <cell r="A391">
            <v>35625</v>
          </cell>
          <cell r="B391">
            <v>4249</v>
          </cell>
          <cell r="C391">
            <v>1111</v>
          </cell>
        </row>
        <row r="392">
          <cell r="A392">
            <v>35626</v>
          </cell>
          <cell r="B392">
            <v>3766</v>
          </cell>
          <cell r="C392">
            <v>920</v>
          </cell>
        </row>
        <row r="393">
          <cell r="A393">
            <v>35627</v>
          </cell>
          <cell r="B393">
            <v>3966</v>
          </cell>
          <cell r="C393">
            <v>1209</v>
          </cell>
        </row>
        <row r="394">
          <cell r="A394">
            <v>35629</v>
          </cell>
          <cell r="B394">
            <v>3954</v>
          </cell>
          <cell r="C394">
            <v>995</v>
          </cell>
        </row>
        <row r="395">
          <cell r="A395">
            <v>35632</v>
          </cell>
          <cell r="B395">
            <v>3936</v>
          </cell>
          <cell r="C395">
            <v>957</v>
          </cell>
        </row>
        <row r="396">
          <cell r="A396">
            <v>35633</v>
          </cell>
          <cell r="B396">
            <v>3875</v>
          </cell>
          <cell r="C396">
            <v>1583</v>
          </cell>
        </row>
        <row r="397">
          <cell r="A397">
            <v>35634</v>
          </cell>
          <cell r="B397">
            <v>4053</v>
          </cell>
          <cell r="C397">
            <v>1428</v>
          </cell>
        </row>
        <row r="398">
          <cell r="A398">
            <v>35635</v>
          </cell>
          <cell r="B398">
            <v>4149</v>
          </cell>
          <cell r="C398">
            <v>1139</v>
          </cell>
        </row>
        <row r="399">
          <cell r="A399">
            <v>35636</v>
          </cell>
          <cell r="B399">
            <v>4264</v>
          </cell>
          <cell r="C399">
            <v>1308</v>
          </cell>
        </row>
        <row r="400">
          <cell r="A400">
            <v>35639</v>
          </cell>
          <cell r="B400">
            <v>4644</v>
          </cell>
          <cell r="C400">
            <v>1652</v>
          </cell>
        </row>
        <row r="401">
          <cell r="A401">
            <v>35640</v>
          </cell>
          <cell r="B401">
            <v>3930</v>
          </cell>
          <cell r="C401">
            <v>1161</v>
          </cell>
        </row>
        <row r="402">
          <cell r="A402">
            <v>35641</v>
          </cell>
          <cell r="B402">
            <v>4419</v>
          </cell>
          <cell r="C402">
            <v>1755</v>
          </cell>
        </row>
        <row r="403">
          <cell r="A403">
            <v>35642</v>
          </cell>
          <cell r="B403">
            <v>3103</v>
          </cell>
          <cell r="C403">
            <v>1235</v>
          </cell>
        </row>
        <row r="404">
          <cell r="A404">
            <v>35643</v>
          </cell>
          <cell r="B404">
            <v>3277</v>
          </cell>
          <cell r="C404">
            <v>946</v>
          </cell>
        </row>
        <row r="405">
          <cell r="A405">
            <v>35646</v>
          </cell>
          <cell r="B405">
            <v>3609</v>
          </cell>
          <cell r="C405">
            <v>1091</v>
          </cell>
        </row>
        <row r="406">
          <cell r="A406">
            <v>35647</v>
          </cell>
          <cell r="B406">
            <v>4132</v>
          </cell>
          <cell r="C406">
            <v>1870</v>
          </cell>
        </row>
        <row r="407">
          <cell r="A407">
            <v>35648</v>
          </cell>
          <cell r="B407">
            <v>4334</v>
          </cell>
          <cell r="C407">
            <v>2178</v>
          </cell>
        </row>
        <row r="408">
          <cell r="A408">
            <v>35649</v>
          </cell>
          <cell r="B408">
            <v>4622</v>
          </cell>
          <cell r="C408">
            <v>2074</v>
          </cell>
        </row>
        <row r="409">
          <cell r="A409">
            <v>35650</v>
          </cell>
          <cell r="B409">
            <v>4434</v>
          </cell>
          <cell r="C409">
            <v>1404</v>
          </cell>
        </row>
        <row r="410">
          <cell r="A410">
            <v>35653</v>
          </cell>
          <cell r="B410">
            <v>4777</v>
          </cell>
          <cell r="C410">
            <v>1518</v>
          </cell>
        </row>
        <row r="411">
          <cell r="A411">
            <v>35654</v>
          </cell>
          <cell r="B411">
            <v>5133</v>
          </cell>
          <cell r="C411">
            <v>1807</v>
          </cell>
        </row>
        <row r="412">
          <cell r="A412">
            <v>35655</v>
          </cell>
          <cell r="B412">
            <v>5264</v>
          </cell>
          <cell r="C412">
            <v>1589</v>
          </cell>
        </row>
        <row r="413">
          <cell r="A413">
            <v>35656</v>
          </cell>
          <cell r="B413">
            <v>5271</v>
          </cell>
          <cell r="C413">
            <v>1031</v>
          </cell>
        </row>
        <row r="414">
          <cell r="A414">
            <v>35657</v>
          </cell>
          <cell r="B414">
            <v>5490</v>
          </cell>
          <cell r="C414">
            <v>1603</v>
          </cell>
        </row>
        <row r="415">
          <cell r="A415">
            <v>35660</v>
          </cell>
          <cell r="B415">
            <v>5639</v>
          </cell>
          <cell r="C415">
            <v>1251</v>
          </cell>
        </row>
        <row r="416">
          <cell r="A416">
            <v>35661</v>
          </cell>
          <cell r="B416">
            <v>5707</v>
          </cell>
          <cell r="C416">
            <v>1513</v>
          </cell>
        </row>
        <row r="417">
          <cell r="A417">
            <v>35662</v>
          </cell>
          <cell r="B417">
            <v>6476</v>
          </cell>
          <cell r="C417">
            <v>2382</v>
          </cell>
        </row>
        <row r="418">
          <cell r="A418">
            <v>35663</v>
          </cell>
          <cell r="B418">
            <v>6369</v>
          </cell>
          <cell r="C418">
            <v>2290</v>
          </cell>
        </row>
        <row r="419">
          <cell r="A419">
            <v>35664</v>
          </cell>
          <cell r="B419">
            <v>6123</v>
          </cell>
          <cell r="C419">
            <v>1758</v>
          </cell>
        </row>
        <row r="420">
          <cell r="A420">
            <v>35667</v>
          </cell>
          <cell r="B420">
            <v>5722</v>
          </cell>
          <cell r="C420">
            <v>2110</v>
          </cell>
        </row>
        <row r="421">
          <cell r="A421">
            <v>35668</v>
          </cell>
          <cell r="B421">
            <v>6565</v>
          </cell>
          <cell r="C421">
            <v>3020</v>
          </cell>
        </row>
        <row r="422">
          <cell r="A422">
            <v>35669</v>
          </cell>
          <cell r="B422">
            <v>6347</v>
          </cell>
          <cell r="C422">
            <v>3155</v>
          </cell>
        </row>
        <row r="423">
          <cell r="A423">
            <v>35670</v>
          </cell>
          <cell r="B423">
            <v>8982</v>
          </cell>
          <cell r="C423">
            <v>5344</v>
          </cell>
        </row>
        <row r="424">
          <cell r="A424">
            <v>35671</v>
          </cell>
          <cell r="B424">
            <v>6439</v>
          </cell>
          <cell r="C424">
            <v>4473</v>
          </cell>
        </row>
        <row r="425">
          <cell r="A425">
            <v>35675</v>
          </cell>
          <cell r="B425">
            <v>8185</v>
          </cell>
          <cell r="C425">
            <v>4096</v>
          </cell>
        </row>
        <row r="426">
          <cell r="A426">
            <v>35676</v>
          </cell>
          <cell r="B426">
            <v>8334</v>
          </cell>
          <cell r="C426">
            <v>4214</v>
          </cell>
        </row>
        <row r="427">
          <cell r="A427">
            <v>35677</v>
          </cell>
          <cell r="B427">
            <v>9424</v>
          </cell>
          <cell r="C427">
            <v>4607</v>
          </cell>
        </row>
        <row r="428">
          <cell r="A428">
            <v>35678</v>
          </cell>
          <cell r="B428">
            <v>8807</v>
          </cell>
          <cell r="C428">
            <v>5771</v>
          </cell>
        </row>
        <row r="429">
          <cell r="A429">
            <v>35681</v>
          </cell>
          <cell r="B429">
            <v>8390</v>
          </cell>
          <cell r="C429">
            <v>2337</v>
          </cell>
        </row>
        <row r="430">
          <cell r="A430">
            <v>35682</v>
          </cell>
          <cell r="B430">
            <v>8768</v>
          </cell>
          <cell r="C430">
            <v>2903</v>
          </cell>
        </row>
        <row r="431">
          <cell r="A431">
            <v>35683</v>
          </cell>
          <cell r="B431">
            <v>8272</v>
          </cell>
          <cell r="C431">
            <v>1920</v>
          </cell>
        </row>
        <row r="432">
          <cell r="A432">
            <v>35684</v>
          </cell>
          <cell r="B432">
            <v>8879</v>
          </cell>
          <cell r="C432">
            <v>2882</v>
          </cell>
        </row>
        <row r="433">
          <cell r="A433">
            <v>35685</v>
          </cell>
          <cell r="B433">
            <v>10334</v>
          </cell>
          <cell r="C433">
            <v>3474</v>
          </cell>
        </row>
        <row r="434">
          <cell r="A434">
            <v>35688</v>
          </cell>
          <cell r="B434">
            <v>10164</v>
          </cell>
          <cell r="C434">
            <v>1871</v>
          </cell>
        </row>
        <row r="435">
          <cell r="A435">
            <v>35689</v>
          </cell>
          <cell r="B435">
            <v>9374</v>
          </cell>
          <cell r="C435">
            <v>1580</v>
          </cell>
        </row>
        <row r="436">
          <cell r="A436">
            <v>35690</v>
          </cell>
          <cell r="B436">
            <v>9679</v>
          </cell>
          <cell r="C436">
            <v>1500</v>
          </cell>
        </row>
        <row r="437">
          <cell r="A437">
            <v>35691</v>
          </cell>
          <cell r="B437">
            <v>8564</v>
          </cell>
          <cell r="C437">
            <v>1917</v>
          </cell>
        </row>
        <row r="438">
          <cell r="A438">
            <v>35692</v>
          </cell>
          <cell r="B438">
            <v>8893</v>
          </cell>
          <cell r="C438">
            <v>2362</v>
          </cell>
        </row>
        <row r="439">
          <cell r="A439">
            <v>35695</v>
          </cell>
          <cell r="B439">
            <v>9405</v>
          </cell>
          <cell r="C439">
            <v>2887</v>
          </cell>
        </row>
        <row r="440">
          <cell r="A440">
            <v>35696</v>
          </cell>
          <cell r="B440">
            <v>9551</v>
          </cell>
          <cell r="C440">
            <v>2705</v>
          </cell>
        </row>
        <row r="441">
          <cell r="A441">
            <v>35697</v>
          </cell>
          <cell r="B441">
            <v>9597</v>
          </cell>
          <cell r="C441">
            <v>3337</v>
          </cell>
        </row>
        <row r="442">
          <cell r="A442">
            <v>35698</v>
          </cell>
          <cell r="B442">
            <v>10236</v>
          </cell>
          <cell r="C442">
            <v>3518</v>
          </cell>
        </row>
        <row r="443">
          <cell r="A443">
            <v>35699</v>
          </cell>
          <cell r="B443">
            <v>10244</v>
          </cell>
          <cell r="C443">
            <v>2614</v>
          </cell>
        </row>
        <row r="444">
          <cell r="A444">
            <v>35702</v>
          </cell>
          <cell r="B444">
            <v>9822</v>
          </cell>
          <cell r="C444">
            <v>1636</v>
          </cell>
        </row>
        <row r="445">
          <cell r="A445">
            <v>35703</v>
          </cell>
          <cell r="B445">
            <v>5492</v>
          </cell>
          <cell r="C445">
            <v>3105</v>
          </cell>
        </row>
        <row r="446">
          <cell r="A446">
            <v>35704</v>
          </cell>
          <cell r="B446">
            <v>6388</v>
          </cell>
          <cell r="C446">
            <v>2255</v>
          </cell>
        </row>
        <row r="447">
          <cell r="A447">
            <v>35705</v>
          </cell>
          <cell r="B447">
            <v>6844</v>
          </cell>
          <cell r="C447">
            <v>1402</v>
          </cell>
        </row>
        <row r="448">
          <cell r="A448">
            <v>35706</v>
          </cell>
          <cell r="B448">
            <v>6983</v>
          </cell>
          <cell r="C448">
            <v>835</v>
          </cell>
        </row>
        <row r="449">
          <cell r="A449">
            <v>35709</v>
          </cell>
          <cell r="B449">
            <v>7194</v>
          </cell>
          <cell r="C449">
            <v>639</v>
          </cell>
        </row>
        <row r="450">
          <cell r="A450">
            <v>35710</v>
          </cell>
          <cell r="B450">
            <v>7057</v>
          </cell>
          <cell r="C450">
            <v>1188</v>
          </cell>
        </row>
        <row r="451">
          <cell r="A451">
            <v>35711</v>
          </cell>
          <cell r="B451">
            <v>7334</v>
          </cell>
          <cell r="C451">
            <v>2558</v>
          </cell>
        </row>
        <row r="452">
          <cell r="A452">
            <v>35712</v>
          </cell>
          <cell r="B452">
            <v>7730</v>
          </cell>
          <cell r="C452">
            <v>2982</v>
          </cell>
        </row>
        <row r="453">
          <cell r="A453">
            <v>35713</v>
          </cell>
          <cell r="B453">
            <v>7910</v>
          </cell>
          <cell r="C453">
            <v>1163</v>
          </cell>
        </row>
        <row r="454">
          <cell r="A454">
            <v>35716</v>
          </cell>
          <cell r="B454">
            <v>7660</v>
          </cell>
          <cell r="C454">
            <v>608</v>
          </cell>
        </row>
        <row r="455">
          <cell r="A455">
            <v>35717</v>
          </cell>
          <cell r="B455">
            <v>7746</v>
          </cell>
          <cell r="C455">
            <v>601</v>
          </cell>
        </row>
        <row r="456">
          <cell r="A456">
            <v>35718</v>
          </cell>
          <cell r="B456">
            <v>8489</v>
          </cell>
          <cell r="C456">
            <v>2677</v>
          </cell>
        </row>
        <row r="457">
          <cell r="A457">
            <v>35719</v>
          </cell>
          <cell r="B457">
            <v>9163</v>
          </cell>
          <cell r="C457">
            <v>2474</v>
          </cell>
        </row>
        <row r="458">
          <cell r="A458">
            <v>35720</v>
          </cell>
          <cell r="B458">
            <v>9909</v>
          </cell>
          <cell r="C458">
            <v>2378</v>
          </cell>
        </row>
        <row r="459">
          <cell r="A459">
            <v>35723</v>
          </cell>
          <cell r="B459">
            <v>10899</v>
          </cell>
          <cell r="C459">
            <v>3011</v>
          </cell>
        </row>
        <row r="460">
          <cell r="A460">
            <v>35724</v>
          </cell>
          <cell r="B460">
            <v>10399</v>
          </cell>
          <cell r="C460">
            <v>1603</v>
          </cell>
        </row>
        <row r="461">
          <cell r="A461">
            <v>35725</v>
          </cell>
          <cell r="B461">
            <v>10800</v>
          </cell>
          <cell r="C461">
            <v>2969</v>
          </cell>
        </row>
        <row r="462">
          <cell r="A462">
            <v>35726</v>
          </cell>
          <cell r="B462">
            <v>11986</v>
          </cell>
          <cell r="C462">
            <v>3205</v>
          </cell>
        </row>
        <row r="463">
          <cell r="A463">
            <v>35727</v>
          </cell>
          <cell r="B463">
            <v>12922</v>
          </cell>
          <cell r="C463">
            <v>3702</v>
          </cell>
        </row>
        <row r="464">
          <cell r="A464">
            <v>35730</v>
          </cell>
          <cell r="B464">
            <v>12001</v>
          </cell>
          <cell r="C464">
            <v>2997</v>
          </cell>
        </row>
        <row r="465">
          <cell r="A465">
            <v>35731</v>
          </cell>
          <cell r="B465">
            <v>11946</v>
          </cell>
          <cell r="C465">
            <v>3950</v>
          </cell>
        </row>
        <row r="466">
          <cell r="A466">
            <v>35732</v>
          </cell>
          <cell r="B466">
            <v>11868</v>
          </cell>
          <cell r="C466">
            <v>3733</v>
          </cell>
        </row>
        <row r="467">
          <cell r="A467">
            <v>35734</v>
          </cell>
          <cell r="B467">
            <v>8169</v>
          </cell>
          <cell r="C467">
            <v>4475</v>
          </cell>
        </row>
        <row r="468">
          <cell r="A468">
            <v>35737</v>
          </cell>
          <cell r="B468">
            <v>9263</v>
          </cell>
          <cell r="C468">
            <v>2660</v>
          </cell>
        </row>
        <row r="469">
          <cell r="A469">
            <v>35738</v>
          </cell>
          <cell r="B469">
            <v>9362</v>
          </cell>
          <cell r="C469">
            <v>3374</v>
          </cell>
        </row>
        <row r="470">
          <cell r="A470">
            <v>35739</v>
          </cell>
          <cell r="B470">
            <v>8837</v>
          </cell>
          <cell r="C470">
            <v>2427</v>
          </cell>
        </row>
        <row r="471">
          <cell r="A471">
            <v>35740</v>
          </cell>
          <cell r="B471">
            <v>7541</v>
          </cell>
          <cell r="C471">
            <v>1159</v>
          </cell>
        </row>
        <row r="472">
          <cell r="A472">
            <v>35741</v>
          </cell>
          <cell r="B472">
            <v>8241</v>
          </cell>
          <cell r="C472">
            <v>2248</v>
          </cell>
        </row>
        <row r="473">
          <cell r="A473">
            <v>35744</v>
          </cell>
          <cell r="B473">
            <v>8354</v>
          </cell>
          <cell r="C473">
            <v>1281</v>
          </cell>
        </row>
        <row r="474">
          <cell r="A474">
            <v>35745</v>
          </cell>
          <cell r="B474">
            <v>7812</v>
          </cell>
          <cell r="C474">
            <v>1422</v>
          </cell>
        </row>
        <row r="475">
          <cell r="A475">
            <v>35746</v>
          </cell>
          <cell r="B475">
            <v>8078</v>
          </cell>
          <cell r="C475">
            <v>1251</v>
          </cell>
        </row>
        <row r="476">
          <cell r="A476">
            <v>35747</v>
          </cell>
          <cell r="B476">
            <v>8354</v>
          </cell>
          <cell r="C476">
            <v>1742</v>
          </cell>
        </row>
        <row r="477">
          <cell r="A477">
            <v>35748</v>
          </cell>
          <cell r="B477">
            <v>8025</v>
          </cell>
          <cell r="C477">
            <v>1245</v>
          </cell>
        </row>
        <row r="478">
          <cell r="A478">
            <v>35751</v>
          </cell>
          <cell r="B478">
            <v>7998</v>
          </cell>
          <cell r="C478">
            <v>1313</v>
          </cell>
        </row>
        <row r="479">
          <cell r="A479">
            <v>35752</v>
          </cell>
          <cell r="B479">
            <v>8021</v>
          </cell>
          <cell r="C479">
            <v>2542</v>
          </cell>
        </row>
        <row r="480">
          <cell r="A480">
            <v>35753</v>
          </cell>
          <cell r="B480">
            <v>8646</v>
          </cell>
          <cell r="C480">
            <v>2998</v>
          </cell>
        </row>
        <row r="481">
          <cell r="A481">
            <v>35754</v>
          </cell>
          <cell r="B481">
            <v>8949</v>
          </cell>
          <cell r="C481">
            <v>3754</v>
          </cell>
        </row>
        <row r="482">
          <cell r="A482">
            <v>35755</v>
          </cell>
          <cell r="B482">
            <v>9390</v>
          </cell>
          <cell r="C482">
            <v>4587</v>
          </cell>
        </row>
        <row r="483">
          <cell r="A483">
            <v>35758</v>
          </cell>
          <cell r="B483">
            <v>11093</v>
          </cell>
          <cell r="C483">
            <v>5361</v>
          </cell>
        </row>
        <row r="484">
          <cell r="A484">
            <v>35759</v>
          </cell>
          <cell r="B484">
            <v>9686</v>
          </cell>
          <cell r="C484">
            <v>3149</v>
          </cell>
        </row>
        <row r="485">
          <cell r="A485">
            <v>35760</v>
          </cell>
          <cell r="B485">
            <v>10902</v>
          </cell>
          <cell r="C485">
            <v>3916</v>
          </cell>
        </row>
        <row r="486">
          <cell r="A486">
            <v>35761</v>
          </cell>
          <cell r="B486">
            <v>10715</v>
          </cell>
          <cell r="C486">
            <v>5076</v>
          </cell>
        </row>
        <row r="487">
          <cell r="A487">
            <v>35762</v>
          </cell>
          <cell r="B487">
            <v>8089</v>
          </cell>
          <cell r="C487">
            <v>3149</v>
          </cell>
        </row>
        <row r="488">
          <cell r="A488">
            <v>35765</v>
          </cell>
          <cell r="B488">
            <v>7487</v>
          </cell>
          <cell r="C488">
            <v>1215</v>
          </cell>
        </row>
        <row r="489">
          <cell r="A489">
            <v>35766</v>
          </cell>
          <cell r="B489">
            <v>8314</v>
          </cell>
          <cell r="C489">
            <v>2747</v>
          </cell>
          <cell r="D489">
            <v>549.9</v>
          </cell>
          <cell r="E489">
            <v>536.95000000000005</v>
          </cell>
        </row>
        <row r="490">
          <cell r="A490">
            <v>35767</v>
          </cell>
          <cell r="B490">
            <v>9094</v>
          </cell>
          <cell r="C490">
            <v>1980</v>
          </cell>
          <cell r="D490">
            <v>544.1</v>
          </cell>
          <cell r="E490">
            <v>548.05999999999995</v>
          </cell>
        </row>
        <row r="491">
          <cell r="A491">
            <v>35768</v>
          </cell>
          <cell r="B491">
            <v>9342</v>
          </cell>
          <cell r="C491">
            <v>3054</v>
          </cell>
          <cell r="D491">
            <v>579.4</v>
          </cell>
          <cell r="E491">
            <v>575.89</v>
          </cell>
        </row>
        <row r="492">
          <cell r="A492">
            <v>35769</v>
          </cell>
          <cell r="B492">
            <v>10508</v>
          </cell>
          <cell r="C492">
            <v>3972</v>
          </cell>
          <cell r="D492">
            <v>620.5</v>
          </cell>
          <cell r="E492">
            <v>607.4</v>
          </cell>
        </row>
        <row r="493">
          <cell r="A493">
            <v>35772</v>
          </cell>
          <cell r="B493">
            <v>11511</v>
          </cell>
          <cell r="C493">
            <v>4505</v>
          </cell>
          <cell r="D493">
            <v>655</v>
          </cell>
          <cell r="E493">
            <v>676.47</v>
          </cell>
        </row>
        <row r="494">
          <cell r="A494">
            <v>35773</v>
          </cell>
          <cell r="B494">
            <v>11170</v>
          </cell>
          <cell r="C494">
            <v>1931</v>
          </cell>
          <cell r="D494">
            <v>616</v>
          </cell>
          <cell r="E494">
            <v>629.15</v>
          </cell>
        </row>
        <row r="495">
          <cell r="A495">
            <v>35774</v>
          </cell>
          <cell r="B495">
            <v>11219</v>
          </cell>
          <cell r="C495">
            <v>1832</v>
          </cell>
          <cell r="D495">
            <v>635.6</v>
          </cell>
          <cell r="E495">
            <v>636.36</v>
          </cell>
        </row>
        <row r="496">
          <cell r="A496">
            <v>35775</v>
          </cell>
          <cell r="B496">
            <v>9421</v>
          </cell>
          <cell r="C496">
            <v>3393</v>
          </cell>
          <cell r="D496">
            <v>576.20000000000005</v>
          </cell>
          <cell r="E496">
            <v>589.17999999999995</v>
          </cell>
        </row>
        <row r="497">
          <cell r="A497">
            <v>35776</v>
          </cell>
          <cell r="B497">
            <v>10060</v>
          </cell>
          <cell r="C497">
            <v>3346</v>
          </cell>
          <cell r="D497">
            <v>573.1</v>
          </cell>
          <cell r="E497">
            <v>574.91999999999996</v>
          </cell>
        </row>
        <row r="498">
          <cell r="A498">
            <v>35779</v>
          </cell>
          <cell r="B498">
            <v>9725</v>
          </cell>
          <cell r="C498">
            <v>2291</v>
          </cell>
          <cell r="D498">
            <v>542</v>
          </cell>
          <cell r="E498">
            <v>558.47</v>
          </cell>
        </row>
        <row r="499">
          <cell r="A499">
            <v>35780</v>
          </cell>
          <cell r="B499">
            <v>10050</v>
          </cell>
          <cell r="C499">
            <v>3128</v>
          </cell>
          <cell r="D499">
            <v>554</v>
          </cell>
          <cell r="E499">
            <v>544.30999999999995</v>
          </cell>
        </row>
        <row r="500">
          <cell r="A500">
            <v>35781</v>
          </cell>
          <cell r="B500">
            <v>11511</v>
          </cell>
          <cell r="C500">
            <v>3031</v>
          </cell>
          <cell r="D500">
            <v>566</v>
          </cell>
          <cell r="E500">
            <v>556.79</v>
          </cell>
        </row>
        <row r="501">
          <cell r="A501">
            <v>35782</v>
          </cell>
          <cell r="B501">
            <v>11793</v>
          </cell>
          <cell r="C501">
            <v>3905</v>
          </cell>
          <cell r="D501">
            <v>596.9</v>
          </cell>
          <cell r="E501">
            <v>577.58000000000004</v>
          </cell>
        </row>
        <row r="502">
          <cell r="A502">
            <v>35783</v>
          </cell>
          <cell r="B502">
            <v>11090</v>
          </cell>
          <cell r="C502">
            <v>2213</v>
          </cell>
          <cell r="D502">
            <v>574.20000000000005</v>
          </cell>
          <cell r="E502">
            <v>578.76</v>
          </cell>
        </row>
        <row r="503">
          <cell r="A503">
            <v>35786</v>
          </cell>
          <cell r="B503">
            <v>11489</v>
          </cell>
          <cell r="C503">
            <v>1879</v>
          </cell>
          <cell r="D503">
            <v>569</v>
          </cell>
          <cell r="E503">
            <v>569.83000000000004</v>
          </cell>
        </row>
        <row r="504">
          <cell r="A504">
            <v>35787</v>
          </cell>
          <cell r="B504">
            <v>13165</v>
          </cell>
          <cell r="C504">
            <v>2358</v>
          </cell>
          <cell r="D504">
            <v>564.6</v>
          </cell>
          <cell r="E504">
            <v>556.35</v>
          </cell>
        </row>
        <row r="505">
          <cell r="A505">
            <v>35788</v>
          </cell>
          <cell r="B505">
            <v>13470</v>
          </cell>
          <cell r="C505">
            <v>1526</v>
          </cell>
          <cell r="D505">
            <v>560.9</v>
          </cell>
          <cell r="E505">
            <v>550.35</v>
          </cell>
        </row>
        <row r="506">
          <cell r="A506">
            <v>35790</v>
          </cell>
          <cell r="B506">
            <v>12481</v>
          </cell>
          <cell r="C506">
            <v>647</v>
          </cell>
          <cell r="D506">
            <v>566.9</v>
          </cell>
          <cell r="E506">
            <v>560.96</v>
          </cell>
        </row>
        <row r="507">
          <cell r="A507">
            <v>35793</v>
          </cell>
          <cell r="B507">
            <v>11811</v>
          </cell>
          <cell r="C507">
            <v>1757</v>
          </cell>
          <cell r="D507">
            <v>577</v>
          </cell>
          <cell r="E507">
            <v>568.66</v>
          </cell>
        </row>
        <row r="508">
          <cell r="A508">
            <v>35794</v>
          </cell>
          <cell r="B508">
            <v>11482</v>
          </cell>
          <cell r="C508">
            <v>1047</v>
          </cell>
          <cell r="D508">
            <v>596</v>
          </cell>
          <cell r="E508">
            <v>589.39</v>
          </cell>
        </row>
        <row r="509">
          <cell r="A509">
            <v>35795</v>
          </cell>
          <cell r="B509">
            <v>7614</v>
          </cell>
          <cell r="C509">
            <v>1030</v>
          </cell>
          <cell r="D509">
            <v>587</v>
          </cell>
          <cell r="E509">
            <v>594.44000000000005</v>
          </cell>
        </row>
        <row r="510">
          <cell r="A510">
            <v>35797</v>
          </cell>
          <cell r="B510">
            <v>7851</v>
          </cell>
          <cell r="C510">
            <v>738</v>
          </cell>
          <cell r="D510">
            <v>560</v>
          </cell>
          <cell r="E510">
            <v>571.96</v>
          </cell>
        </row>
        <row r="511">
          <cell r="A511">
            <v>35800</v>
          </cell>
          <cell r="B511">
            <v>7885</v>
          </cell>
          <cell r="C511">
            <v>869</v>
          </cell>
          <cell r="D511">
            <v>536.5</v>
          </cell>
          <cell r="E511">
            <v>546.79</v>
          </cell>
        </row>
        <row r="512">
          <cell r="A512">
            <v>35801</v>
          </cell>
          <cell r="B512">
            <v>8193</v>
          </cell>
          <cell r="C512">
            <v>1082</v>
          </cell>
          <cell r="D512">
            <v>528</v>
          </cell>
          <cell r="E512">
            <v>525.74</v>
          </cell>
        </row>
        <row r="513">
          <cell r="A513">
            <v>35802</v>
          </cell>
          <cell r="B513">
            <v>8432</v>
          </cell>
          <cell r="C513">
            <v>2688</v>
          </cell>
          <cell r="D513">
            <v>516</v>
          </cell>
          <cell r="E513">
            <v>521</v>
          </cell>
        </row>
        <row r="514">
          <cell r="A514">
            <v>35803</v>
          </cell>
          <cell r="B514">
            <v>9345</v>
          </cell>
          <cell r="C514">
            <v>2892</v>
          </cell>
          <cell r="D514">
            <v>488</v>
          </cell>
          <cell r="E514">
            <v>507.16</v>
          </cell>
        </row>
        <row r="515">
          <cell r="A515">
            <v>35804</v>
          </cell>
          <cell r="B515">
            <v>9335</v>
          </cell>
          <cell r="C515">
            <v>2452</v>
          </cell>
          <cell r="D515">
            <v>484</v>
          </cell>
          <cell r="E515">
            <v>491.6</v>
          </cell>
        </row>
        <row r="516">
          <cell r="A516">
            <v>35807</v>
          </cell>
          <cell r="B516">
            <v>9770</v>
          </cell>
          <cell r="C516">
            <v>1669</v>
          </cell>
          <cell r="D516">
            <v>465.5</v>
          </cell>
          <cell r="E516">
            <v>477.57</v>
          </cell>
        </row>
        <row r="517">
          <cell r="A517">
            <v>35808</v>
          </cell>
          <cell r="B517">
            <v>9522</v>
          </cell>
          <cell r="C517">
            <v>2550</v>
          </cell>
          <cell r="D517">
            <v>512</v>
          </cell>
          <cell r="E517">
            <v>503.89</v>
          </cell>
        </row>
        <row r="518">
          <cell r="A518">
            <v>35809</v>
          </cell>
          <cell r="B518">
            <v>10560</v>
          </cell>
          <cell r="C518">
            <v>3564</v>
          </cell>
          <cell r="D518">
            <v>538.5</v>
          </cell>
          <cell r="E518">
            <v>536.67999999999995</v>
          </cell>
        </row>
        <row r="519">
          <cell r="A519">
            <v>35810</v>
          </cell>
          <cell r="B519">
            <v>11716</v>
          </cell>
          <cell r="C519">
            <v>3382</v>
          </cell>
          <cell r="D519">
            <v>507.1</v>
          </cell>
          <cell r="E519">
            <v>525.47</v>
          </cell>
        </row>
        <row r="520">
          <cell r="A520">
            <v>35811</v>
          </cell>
          <cell r="B520">
            <v>11375</v>
          </cell>
          <cell r="C520">
            <v>2343</v>
          </cell>
          <cell r="D520">
            <v>543</v>
          </cell>
          <cell r="E520">
            <v>539.97</v>
          </cell>
        </row>
        <row r="521">
          <cell r="A521">
            <v>35814</v>
          </cell>
          <cell r="B521">
            <v>12696</v>
          </cell>
          <cell r="C521">
            <v>3555</v>
          </cell>
          <cell r="D521">
            <v>583</v>
          </cell>
          <cell r="E521">
            <v>589.08000000000004</v>
          </cell>
        </row>
        <row r="522">
          <cell r="A522">
            <v>35815</v>
          </cell>
          <cell r="B522">
            <v>10348</v>
          </cell>
          <cell r="C522">
            <v>3037</v>
          </cell>
          <cell r="D522">
            <v>582</v>
          </cell>
          <cell r="E522">
            <v>585.35</v>
          </cell>
        </row>
        <row r="523">
          <cell r="A523">
            <v>35816</v>
          </cell>
          <cell r="B523">
            <v>12293</v>
          </cell>
          <cell r="C523">
            <v>4549</v>
          </cell>
          <cell r="D523">
            <v>588.1</v>
          </cell>
          <cell r="E523">
            <v>590.54999999999995</v>
          </cell>
        </row>
        <row r="524">
          <cell r="A524">
            <v>35817</v>
          </cell>
          <cell r="B524">
            <v>13864</v>
          </cell>
          <cell r="C524">
            <v>5362</v>
          </cell>
          <cell r="D524">
            <v>557</v>
          </cell>
          <cell r="E524">
            <v>575.21</v>
          </cell>
        </row>
        <row r="525">
          <cell r="A525">
            <v>35818</v>
          </cell>
          <cell r="B525">
            <v>15131</v>
          </cell>
          <cell r="C525">
            <v>4571</v>
          </cell>
          <cell r="D525">
            <v>559</v>
          </cell>
          <cell r="E525">
            <v>558.57000000000005</v>
          </cell>
        </row>
        <row r="526">
          <cell r="A526">
            <v>35821</v>
          </cell>
          <cell r="B526">
            <v>8787</v>
          </cell>
          <cell r="C526">
            <v>3464</v>
          </cell>
          <cell r="D526">
            <v>566.6</v>
          </cell>
          <cell r="E526">
            <v>569.51</v>
          </cell>
        </row>
        <row r="527">
          <cell r="A527">
            <v>35829</v>
          </cell>
          <cell r="B527">
            <v>11059</v>
          </cell>
          <cell r="C527">
            <v>5981</v>
          </cell>
          <cell r="D527">
            <v>685</v>
          </cell>
          <cell r="E527">
            <v>701.31</v>
          </cell>
        </row>
        <row r="528">
          <cell r="A528">
            <v>35830</v>
          </cell>
          <cell r="B528">
            <v>10987</v>
          </cell>
          <cell r="C528">
            <v>3429</v>
          </cell>
          <cell r="D528">
            <v>678</v>
          </cell>
          <cell r="E528">
            <v>690.76</v>
          </cell>
        </row>
        <row r="529">
          <cell r="A529">
            <v>35831</v>
          </cell>
          <cell r="B529">
            <v>10537</v>
          </cell>
          <cell r="C529">
            <v>2328</v>
          </cell>
          <cell r="D529">
            <v>702</v>
          </cell>
          <cell r="E529">
            <v>712.81</v>
          </cell>
        </row>
        <row r="530">
          <cell r="A530">
            <v>35832</v>
          </cell>
          <cell r="B530">
            <v>12034</v>
          </cell>
          <cell r="C530">
            <v>3598</v>
          </cell>
          <cell r="D530">
            <v>719</v>
          </cell>
          <cell r="E530">
            <v>728.19</v>
          </cell>
        </row>
        <row r="531">
          <cell r="A531">
            <v>35835</v>
          </cell>
          <cell r="B531">
            <v>12329</v>
          </cell>
          <cell r="C531">
            <v>2946</v>
          </cell>
          <cell r="D531">
            <v>717.8</v>
          </cell>
          <cell r="E531">
            <v>727.4</v>
          </cell>
        </row>
        <row r="532">
          <cell r="A532">
            <v>35836</v>
          </cell>
          <cell r="B532">
            <v>13172</v>
          </cell>
          <cell r="C532">
            <v>3009</v>
          </cell>
          <cell r="D532">
            <v>757</v>
          </cell>
          <cell r="E532">
            <v>742.57</v>
          </cell>
        </row>
        <row r="533">
          <cell r="A533">
            <v>35837</v>
          </cell>
          <cell r="B533">
            <v>13328</v>
          </cell>
          <cell r="C533">
            <v>3500</v>
          </cell>
          <cell r="D533">
            <v>726.5</v>
          </cell>
          <cell r="E533">
            <v>739.87</v>
          </cell>
        </row>
        <row r="534">
          <cell r="A534">
            <v>35838</v>
          </cell>
          <cell r="B534">
            <v>14030</v>
          </cell>
          <cell r="C534">
            <v>3046</v>
          </cell>
          <cell r="D534">
            <v>696</v>
          </cell>
          <cell r="E534">
            <v>697.43</v>
          </cell>
        </row>
        <row r="535">
          <cell r="A535">
            <v>35839</v>
          </cell>
          <cell r="B535">
            <v>14952</v>
          </cell>
          <cell r="C535">
            <v>3756</v>
          </cell>
          <cell r="D535">
            <v>675</v>
          </cell>
          <cell r="E535">
            <v>685.5</v>
          </cell>
        </row>
        <row r="536">
          <cell r="A536">
            <v>35842</v>
          </cell>
          <cell r="B536">
            <v>12921</v>
          </cell>
          <cell r="C536">
            <v>2410</v>
          </cell>
          <cell r="D536">
            <v>648.5</v>
          </cell>
          <cell r="E536">
            <v>661.94</v>
          </cell>
        </row>
        <row r="537">
          <cell r="A537">
            <v>35843</v>
          </cell>
          <cell r="B537">
            <v>12555</v>
          </cell>
          <cell r="C537">
            <v>2172</v>
          </cell>
          <cell r="D537">
            <v>680</v>
          </cell>
          <cell r="E537">
            <v>690.83</v>
          </cell>
        </row>
        <row r="538">
          <cell r="A538">
            <v>35844</v>
          </cell>
          <cell r="B538">
            <v>11122</v>
          </cell>
          <cell r="C538">
            <v>3080</v>
          </cell>
          <cell r="D538">
            <v>709</v>
          </cell>
          <cell r="E538">
            <v>704.9</v>
          </cell>
        </row>
        <row r="539">
          <cell r="A539">
            <v>35845</v>
          </cell>
          <cell r="B539">
            <v>11753</v>
          </cell>
          <cell r="C539">
            <v>3040</v>
          </cell>
          <cell r="D539">
            <v>724</v>
          </cell>
          <cell r="E539">
            <v>723.5</v>
          </cell>
        </row>
        <row r="540">
          <cell r="A540">
            <v>35846</v>
          </cell>
          <cell r="B540">
            <v>13435</v>
          </cell>
          <cell r="C540">
            <v>4497</v>
          </cell>
          <cell r="D540">
            <v>734</v>
          </cell>
          <cell r="E540">
            <v>728.06</v>
          </cell>
        </row>
        <row r="541">
          <cell r="A541">
            <v>35849</v>
          </cell>
          <cell r="B541">
            <v>15324</v>
          </cell>
          <cell r="C541">
            <v>4836</v>
          </cell>
          <cell r="D541">
            <v>711</v>
          </cell>
          <cell r="E541">
            <v>720.46</v>
          </cell>
        </row>
        <row r="542">
          <cell r="A542">
            <v>35850</v>
          </cell>
          <cell r="B542">
            <v>15640</v>
          </cell>
          <cell r="C542">
            <v>5755</v>
          </cell>
          <cell r="D542">
            <v>726</v>
          </cell>
          <cell r="E542">
            <v>729.84</v>
          </cell>
        </row>
        <row r="543">
          <cell r="A543">
            <v>35851</v>
          </cell>
          <cell r="B543">
            <v>15288</v>
          </cell>
          <cell r="C543">
            <v>4660</v>
          </cell>
          <cell r="D543">
            <v>701</v>
          </cell>
          <cell r="E543">
            <v>712.81</v>
          </cell>
        </row>
        <row r="544">
          <cell r="A544">
            <v>35852</v>
          </cell>
          <cell r="B544">
            <v>14605</v>
          </cell>
          <cell r="C544">
            <v>4127</v>
          </cell>
          <cell r="D544">
            <v>725.6</v>
          </cell>
          <cell r="E544">
            <v>727.7</v>
          </cell>
        </row>
        <row r="545">
          <cell r="A545">
            <v>35853</v>
          </cell>
          <cell r="B545">
            <v>8844</v>
          </cell>
          <cell r="C545">
            <v>3942</v>
          </cell>
          <cell r="D545">
            <v>743.6</v>
          </cell>
          <cell r="E545">
            <v>745.36</v>
          </cell>
        </row>
        <row r="546">
          <cell r="A546">
            <v>35856</v>
          </cell>
          <cell r="B546">
            <v>9345</v>
          </cell>
          <cell r="C546">
            <v>1571</v>
          </cell>
          <cell r="D546">
            <v>736</v>
          </cell>
          <cell r="E546">
            <v>745.12</v>
          </cell>
        </row>
        <row r="547">
          <cell r="A547">
            <v>35857</v>
          </cell>
          <cell r="B547">
            <v>9912</v>
          </cell>
          <cell r="C547">
            <v>2206</v>
          </cell>
          <cell r="D547">
            <v>725</v>
          </cell>
          <cell r="E547">
            <v>733.03</v>
          </cell>
        </row>
        <row r="548">
          <cell r="A548">
            <v>35858</v>
          </cell>
          <cell r="B548">
            <v>10809</v>
          </cell>
          <cell r="C548">
            <v>2711</v>
          </cell>
          <cell r="D548">
            <v>688.1</v>
          </cell>
          <cell r="E548">
            <v>705.94</v>
          </cell>
        </row>
        <row r="549">
          <cell r="A549">
            <v>35859</v>
          </cell>
          <cell r="B549">
            <v>11262</v>
          </cell>
          <cell r="C549">
            <v>3275</v>
          </cell>
          <cell r="D549">
            <v>670</v>
          </cell>
          <cell r="E549">
            <v>696.79</v>
          </cell>
        </row>
        <row r="550">
          <cell r="A550">
            <v>35860</v>
          </cell>
          <cell r="B550">
            <v>11285</v>
          </cell>
          <cell r="C550">
            <v>2048</v>
          </cell>
          <cell r="D550">
            <v>681.6</v>
          </cell>
          <cell r="E550">
            <v>690.36</v>
          </cell>
        </row>
        <row r="551">
          <cell r="A551">
            <v>35863</v>
          </cell>
          <cell r="B551">
            <v>11522</v>
          </cell>
          <cell r="C551">
            <v>1350</v>
          </cell>
          <cell r="D551">
            <v>680.7</v>
          </cell>
          <cell r="E551">
            <v>685.88</v>
          </cell>
        </row>
        <row r="552">
          <cell r="A552">
            <v>35864</v>
          </cell>
          <cell r="B552">
            <v>12001</v>
          </cell>
          <cell r="C552">
            <v>2837</v>
          </cell>
          <cell r="D552">
            <v>706.5</v>
          </cell>
          <cell r="E552">
            <v>710.47</v>
          </cell>
        </row>
        <row r="553">
          <cell r="A553">
            <v>35865</v>
          </cell>
          <cell r="B553">
            <v>12463</v>
          </cell>
          <cell r="C553">
            <v>2259</v>
          </cell>
          <cell r="D553">
            <v>713.5</v>
          </cell>
          <cell r="E553">
            <v>709.91</v>
          </cell>
        </row>
        <row r="554">
          <cell r="A554">
            <v>35866</v>
          </cell>
          <cell r="B554">
            <v>12240</v>
          </cell>
          <cell r="C554">
            <v>1703</v>
          </cell>
          <cell r="D554">
            <v>692</v>
          </cell>
          <cell r="E554">
            <v>698.23</v>
          </cell>
        </row>
        <row r="555">
          <cell r="A555">
            <v>35867</v>
          </cell>
          <cell r="B555">
            <v>12782</v>
          </cell>
          <cell r="C555">
            <v>1847</v>
          </cell>
          <cell r="D555">
            <v>712</v>
          </cell>
          <cell r="E555">
            <v>708.16</v>
          </cell>
        </row>
        <row r="556">
          <cell r="A556">
            <v>35870</v>
          </cell>
          <cell r="B556">
            <v>12737</v>
          </cell>
          <cell r="C556">
            <v>1185</v>
          </cell>
          <cell r="D556">
            <v>701.5</v>
          </cell>
          <cell r="E556">
            <v>703.61</v>
          </cell>
        </row>
        <row r="557">
          <cell r="A557">
            <v>35871</v>
          </cell>
          <cell r="B557">
            <v>12801</v>
          </cell>
          <cell r="C557">
            <v>1486</v>
          </cell>
          <cell r="D557">
            <v>703</v>
          </cell>
          <cell r="E557">
            <v>700.21</v>
          </cell>
        </row>
        <row r="558">
          <cell r="A558">
            <v>35872</v>
          </cell>
          <cell r="B558">
            <v>12644</v>
          </cell>
          <cell r="C558">
            <v>1731</v>
          </cell>
          <cell r="D558">
            <v>714</v>
          </cell>
          <cell r="E558">
            <v>706.55</v>
          </cell>
        </row>
        <row r="559">
          <cell r="A559">
            <v>35873</v>
          </cell>
          <cell r="B559">
            <v>13470</v>
          </cell>
          <cell r="C559">
            <v>2970</v>
          </cell>
          <cell r="D559">
            <v>743.5</v>
          </cell>
          <cell r="E559">
            <v>731.04</v>
          </cell>
        </row>
        <row r="560">
          <cell r="A560">
            <v>35874</v>
          </cell>
          <cell r="B560">
            <v>13773</v>
          </cell>
          <cell r="C560">
            <v>2853</v>
          </cell>
          <cell r="D560">
            <v>724</v>
          </cell>
          <cell r="E560">
            <v>731.24</v>
          </cell>
        </row>
        <row r="561">
          <cell r="A561">
            <v>35877</v>
          </cell>
          <cell r="B561">
            <v>15739</v>
          </cell>
          <cell r="C561">
            <v>3861</v>
          </cell>
          <cell r="D561">
            <v>745.1</v>
          </cell>
          <cell r="E561">
            <v>735.79</v>
          </cell>
        </row>
        <row r="562">
          <cell r="A562">
            <v>35878</v>
          </cell>
          <cell r="B562">
            <v>16508</v>
          </cell>
          <cell r="C562">
            <v>4224</v>
          </cell>
          <cell r="D562">
            <v>727</v>
          </cell>
          <cell r="E562">
            <v>731.89</v>
          </cell>
        </row>
        <row r="563">
          <cell r="A563">
            <v>35879</v>
          </cell>
          <cell r="B563">
            <v>18232</v>
          </cell>
          <cell r="C563">
            <v>4978</v>
          </cell>
          <cell r="D563">
            <v>738</v>
          </cell>
          <cell r="E563">
            <v>736.78</v>
          </cell>
        </row>
        <row r="564">
          <cell r="A564">
            <v>35880</v>
          </cell>
          <cell r="B564">
            <v>18476</v>
          </cell>
          <cell r="C564">
            <v>3580</v>
          </cell>
          <cell r="D564">
            <v>736.7</v>
          </cell>
          <cell r="E564">
            <v>733.31</v>
          </cell>
        </row>
        <row r="565">
          <cell r="A565">
            <v>35881</v>
          </cell>
          <cell r="B565">
            <v>17535</v>
          </cell>
          <cell r="C565">
            <v>3326</v>
          </cell>
          <cell r="D565">
            <v>733.6</v>
          </cell>
          <cell r="E565">
            <v>727.62</v>
          </cell>
        </row>
        <row r="566">
          <cell r="A566">
            <v>35884</v>
          </cell>
          <cell r="B566">
            <v>16307</v>
          </cell>
          <cell r="C566">
            <v>2728</v>
          </cell>
          <cell r="D566">
            <v>727.3</v>
          </cell>
          <cell r="E566">
            <v>722.96</v>
          </cell>
        </row>
        <row r="567">
          <cell r="A567">
            <v>35885</v>
          </cell>
          <cell r="B567">
            <v>8603</v>
          </cell>
          <cell r="C567">
            <v>3263</v>
          </cell>
          <cell r="D567">
            <v>720.2</v>
          </cell>
          <cell r="E567">
            <v>719.52</v>
          </cell>
        </row>
        <row r="568">
          <cell r="A568">
            <v>35886</v>
          </cell>
          <cell r="B568">
            <v>9025</v>
          </cell>
          <cell r="C568">
            <v>2089</v>
          </cell>
          <cell r="D568">
            <v>703</v>
          </cell>
          <cell r="E568">
            <v>700.05</v>
          </cell>
        </row>
        <row r="569">
          <cell r="A569">
            <v>35887</v>
          </cell>
          <cell r="B569">
            <v>10015</v>
          </cell>
          <cell r="C569">
            <v>2605</v>
          </cell>
          <cell r="D569">
            <v>687.5</v>
          </cell>
          <cell r="E569">
            <v>684.27</v>
          </cell>
        </row>
        <row r="570">
          <cell r="A570">
            <v>35888</v>
          </cell>
          <cell r="B570">
            <v>10985</v>
          </cell>
          <cell r="C570">
            <v>4380</v>
          </cell>
          <cell r="D570">
            <v>659.5</v>
          </cell>
          <cell r="E570">
            <v>666.48</v>
          </cell>
        </row>
        <row r="571">
          <cell r="A571">
            <v>35891</v>
          </cell>
          <cell r="B571">
            <v>11333</v>
          </cell>
          <cell r="C571">
            <v>1483</v>
          </cell>
          <cell r="D571">
            <v>652.5</v>
          </cell>
          <cell r="E571">
            <v>663.77</v>
          </cell>
        </row>
        <row r="572">
          <cell r="A572">
            <v>35893</v>
          </cell>
          <cell r="B572">
            <v>15700</v>
          </cell>
          <cell r="C572">
            <v>7509</v>
          </cell>
          <cell r="D572">
            <v>643.5</v>
          </cell>
          <cell r="E572">
            <v>664.28</v>
          </cell>
        </row>
        <row r="573">
          <cell r="A573">
            <v>35894</v>
          </cell>
          <cell r="B573">
            <v>16603</v>
          </cell>
          <cell r="C573">
            <v>3532</v>
          </cell>
          <cell r="D573">
            <v>654.9</v>
          </cell>
          <cell r="E573">
            <v>675.93</v>
          </cell>
        </row>
        <row r="574">
          <cell r="A574">
            <v>35895</v>
          </cell>
          <cell r="B574">
            <v>16253</v>
          </cell>
          <cell r="C574">
            <v>1542</v>
          </cell>
          <cell r="D574">
            <v>650</v>
          </cell>
          <cell r="E574">
            <v>673.14</v>
          </cell>
        </row>
        <row r="575">
          <cell r="A575">
            <v>35898</v>
          </cell>
          <cell r="B575">
            <v>15686</v>
          </cell>
          <cell r="C575">
            <v>725</v>
          </cell>
          <cell r="D575">
            <v>647</v>
          </cell>
          <cell r="E575">
            <v>666.93</v>
          </cell>
        </row>
        <row r="576">
          <cell r="A576">
            <v>35899</v>
          </cell>
          <cell r="B576">
            <v>16958</v>
          </cell>
          <cell r="C576">
            <v>2005</v>
          </cell>
          <cell r="D576">
            <v>635</v>
          </cell>
          <cell r="E576">
            <v>664.84</v>
          </cell>
        </row>
        <row r="577">
          <cell r="A577">
            <v>35900</v>
          </cell>
          <cell r="B577">
            <v>18923</v>
          </cell>
          <cell r="C577">
            <v>5564</v>
          </cell>
          <cell r="D577">
            <v>618</v>
          </cell>
          <cell r="E577">
            <v>644.62</v>
          </cell>
        </row>
        <row r="578">
          <cell r="A578">
            <v>35901</v>
          </cell>
          <cell r="B578">
            <v>20041</v>
          </cell>
          <cell r="C578">
            <v>4664</v>
          </cell>
          <cell r="D578">
            <v>605</v>
          </cell>
          <cell r="E578">
            <v>629.34</v>
          </cell>
        </row>
        <row r="579">
          <cell r="A579">
            <v>35902</v>
          </cell>
          <cell r="B579">
            <v>21831</v>
          </cell>
          <cell r="C579">
            <v>5475</v>
          </cell>
          <cell r="D579">
            <v>595</v>
          </cell>
          <cell r="E579">
            <v>628.78</v>
          </cell>
        </row>
        <row r="580">
          <cell r="A580">
            <v>35905</v>
          </cell>
          <cell r="B580">
            <v>23966</v>
          </cell>
          <cell r="C580">
            <v>5135</v>
          </cell>
          <cell r="D580">
            <v>615.5</v>
          </cell>
          <cell r="E580">
            <v>634.29</v>
          </cell>
        </row>
        <row r="581">
          <cell r="A581">
            <v>35906</v>
          </cell>
          <cell r="B581">
            <v>23023</v>
          </cell>
          <cell r="C581">
            <v>4504</v>
          </cell>
          <cell r="D581">
            <v>590</v>
          </cell>
          <cell r="E581">
            <v>623.98</v>
          </cell>
        </row>
        <row r="582">
          <cell r="A582">
            <v>35907</v>
          </cell>
          <cell r="B582">
            <v>26218</v>
          </cell>
          <cell r="C582">
            <v>7464</v>
          </cell>
          <cell r="D582">
            <v>600</v>
          </cell>
          <cell r="E582">
            <v>619.66999999999996</v>
          </cell>
        </row>
        <row r="583">
          <cell r="A583">
            <v>35908</v>
          </cell>
          <cell r="B583">
            <v>24545</v>
          </cell>
          <cell r="C583">
            <v>5523</v>
          </cell>
          <cell r="D583">
            <v>615</v>
          </cell>
          <cell r="E583">
            <v>628.24</v>
          </cell>
        </row>
        <row r="584">
          <cell r="A584">
            <v>35909</v>
          </cell>
          <cell r="B584">
            <v>25676</v>
          </cell>
          <cell r="C584">
            <v>4347</v>
          </cell>
          <cell r="D584">
            <v>617</v>
          </cell>
          <cell r="E584">
            <v>635.11</v>
          </cell>
        </row>
        <row r="585">
          <cell r="A585">
            <v>35912</v>
          </cell>
          <cell r="B585">
            <v>27394</v>
          </cell>
          <cell r="C585">
            <v>6700</v>
          </cell>
          <cell r="D585">
            <v>608.9</v>
          </cell>
          <cell r="E585">
            <v>620.79</v>
          </cell>
        </row>
        <row r="586">
          <cell r="A586">
            <v>35914</v>
          </cell>
          <cell r="B586">
            <v>25485</v>
          </cell>
          <cell r="C586">
            <v>4865</v>
          </cell>
          <cell r="D586">
            <v>618.9</v>
          </cell>
          <cell r="E586">
            <v>622.83000000000004</v>
          </cell>
        </row>
        <row r="587">
          <cell r="A587">
            <v>35915</v>
          </cell>
          <cell r="B587">
            <v>14527</v>
          </cell>
          <cell r="C587">
            <v>4449</v>
          </cell>
          <cell r="D587">
            <v>622.29999999999995</v>
          </cell>
          <cell r="E587">
            <v>625.97</v>
          </cell>
        </row>
        <row r="588">
          <cell r="A588">
            <v>35919</v>
          </cell>
          <cell r="B588">
            <v>15326</v>
          </cell>
          <cell r="C588">
            <v>2354</v>
          </cell>
          <cell r="D588">
            <v>601</v>
          </cell>
          <cell r="E588">
            <v>627.42999999999995</v>
          </cell>
        </row>
        <row r="589">
          <cell r="A589">
            <v>35920</v>
          </cell>
          <cell r="B589">
            <v>15897</v>
          </cell>
          <cell r="C589">
            <v>2528</v>
          </cell>
          <cell r="D589">
            <v>577.20000000000005</v>
          </cell>
          <cell r="E589">
            <v>608.4</v>
          </cell>
        </row>
        <row r="590">
          <cell r="A590">
            <v>35921</v>
          </cell>
          <cell r="B590">
            <v>16800</v>
          </cell>
          <cell r="C590">
            <v>3219</v>
          </cell>
          <cell r="D590">
            <v>551</v>
          </cell>
          <cell r="E590">
            <v>584.62</v>
          </cell>
        </row>
        <row r="591">
          <cell r="A591">
            <v>35922</v>
          </cell>
          <cell r="B591">
            <v>20610</v>
          </cell>
          <cell r="C591">
            <v>7449</v>
          </cell>
          <cell r="D591">
            <v>573</v>
          </cell>
          <cell r="E591">
            <v>586.83000000000004</v>
          </cell>
        </row>
        <row r="592">
          <cell r="A592">
            <v>35923</v>
          </cell>
          <cell r="B592">
            <v>18728</v>
          </cell>
          <cell r="C592">
            <v>2546</v>
          </cell>
          <cell r="D592">
            <v>561</v>
          </cell>
          <cell r="E592">
            <v>580.04999999999995</v>
          </cell>
        </row>
        <row r="593">
          <cell r="A593">
            <v>35927</v>
          </cell>
          <cell r="B593">
            <v>17595</v>
          </cell>
          <cell r="C593">
            <v>2069</v>
          </cell>
          <cell r="D593">
            <v>542</v>
          </cell>
          <cell r="E593">
            <v>569.16999999999996</v>
          </cell>
        </row>
        <row r="594">
          <cell r="A594">
            <v>35928</v>
          </cell>
          <cell r="B594">
            <v>18729</v>
          </cell>
          <cell r="C594">
            <v>3705</v>
          </cell>
          <cell r="D594">
            <v>525.1</v>
          </cell>
          <cell r="E594">
            <v>548.33000000000004</v>
          </cell>
        </row>
        <row r="595">
          <cell r="A595">
            <v>35929</v>
          </cell>
          <cell r="B595">
            <v>20702</v>
          </cell>
          <cell r="C595">
            <v>5021</v>
          </cell>
          <cell r="D595">
            <v>550</v>
          </cell>
          <cell r="E595">
            <v>560.5</v>
          </cell>
        </row>
        <row r="596">
          <cell r="A596">
            <v>35930</v>
          </cell>
          <cell r="B596">
            <v>23246</v>
          </cell>
          <cell r="C596">
            <v>5222</v>
          </cell>
          <cell r="D596">
            <v>556.9</v>
          </cell>
          <cell r="E596">
            <v>566.85</v>
          </cell>
        </row>
        <row r="597">
          <cell r="A597">
            <v>35933</v>
          </cell>
          <cell r="B597">
            <v>22293</v>
          </cell>
          <cell r="C597">
            <v>4369</v>
          </cell>
          <cell r="D597">
            <v>539.29999999999995</v>
          </cell>
          <cell r="E597">
            <v>549.99</v>
          </cell>
        </row>
        <row r="598">
          <cell r="A598">
            <v>35934</v>
          </cell>
          <cell r="B598">
            <v>24523</v>
          </cell>
          <cell r="C598">
            <v>6637</v>
          </cell>
          <cell r="D598">
            <v>551</v>
          </cell>
          <cell r="E598">
            <v>554.41999999999996</v>
          </cell>
        </row>
        <row r="599">
          <cell r="A599">
            <v>35935</v>
          </cell>
          <cell r="B599">
            <v>25329</v>
          </cell>
          <cell r="C599">
            <v>5054</v>
          </cell>
          <cell r="D599">
            <v>566.4</v>
          </cell>
          <cell r="E599">
            <v>569.19000000000005</v>
          </cell>
        </row>
        <row r="600">
          <cell r="A600">
            <v>35936</v>
          </cell>
          <cell r="B600">
            <v>28435</v>
          </cell>
          <cell r="C600">
            <v>7165</v>
          </cell>
          <cell r="D600">
            <v>591</v>
          </cell>
          <cell r="E600">
            <v>593.62</v>
          </cell>
        </row>
        <row r="601">
          <cell r="A601">
            <v>35937</v>
          </cell>
          <cell r="B601">
            <v>27669</v>
          </cell>
          <cell r="C601">
            <v>4581</v>
          </cell>
          <cell r="D601">
            <v>564</v>
          </cell>
          <cell r="E601">
            <v>577.23</v>
          </cell>
        </row>
        <row r="602">
          <cell r="A602">
            <v>35940</v>
          </cell>
          <cell r="B602">
            <v>28491</v>
          </cell>
          <cell r="C602">
            <v>3593</v>
          </cell>
          <cell r="D602">
            <v>562.9</v>
          </cell>
          <cell r="E602">
            <v>570.54999999999995</v>
          </cell>
        </row>
        <row r="603">
          <cell r="A603">
            <v>35941</v>
          </cell>
          <cell r="B603">
            <v>28107</v>
          </cell>
          <cell r="C603">
            <v>4896</v>
          </cell>
          <cell r="D603">
            <v>553.79999999999995</v>
          </cell>
          <cell r="E603">
            <v>561.28</v>
          </cell>
        </row>
        <row r="604">
          <cell r="A604">
            <v>35942</v>
          </cell>
          <cell r="B604">
            <v>29857</v>
          </cell>
          <cell r="C604">
            <v>4454</v>
          </cell>
          <cell r="D604">
            <v>546.9</v>
          </cell>
          <cell r="E604">
            <v>552.28</v>
          </cell>
        </row>
        <row r="605">
          <cell r="A605">
            <v>35943</v>
          </cell>
          <cell r="B605">
            <v>28422</v>
          </cell>
          <cell r="C605">
            <v>4709</v>
          </cell>
          <cell r="D605">
            <v>543.5</v>
          </cell>
          <cell r="E605">
            <v>544.74</v>
          </cell>
        </row>
        <row r="606">
          <cell r="A606">
            <v>35944</v>
          </cell>
          <cell r="B606">
            <v>15973</v>
          </cell>
          <cell r="C606">
            <v>4034</v>
          </cell>
          <cell r="D606">
            <v>539.5</v>
          </cell>
          <cell r="E606">
            <v>538.24</v>
          </cell>
        </row>
        <row r="607">
          <cell r="A607">
            <v>35947</v>
          </cell>
          <cell r="B607">
            <v>16957</v>
          </cell>
          <cell r="C607">
            <v>2279</v>
          </cell>
          <cell r="D607">
            <v>509</v>
          </cell>
          <cell r="E607">
            <v>518</v>
          </cell>
        </row>
        <row r="608">
          <cell r="A608">
            <v>35948</v>
          </cell>
          <cell r="B608">
            <v>16919</v>
          </cell>
          <cell r="C608">
            <v>2668</v>
          </cell>
          <cell r="D608">
            <v>514.5</v>
          </cell>
          <cell r="E608">
            <v>520.61</v>
          </cell>
        </row>
        <row r="609">
          <cell r="A609">
            <v>35949</v>
          </cell>
          <cell r="B609">
            <v>17506</v>
          </cell>
          <cell r="C609">
            <v>2926</v>
          </cell>
          <cell r="D609">
            <v>528.9</v>
          </cell>
          <cell r="E609">
            <v>526.36</v>
          </cell>
        </row>
        <row r="610">
          <cell r="A610">
            <v>35950</v>
          </cell>
          <cell r="B610">
            <v>19964</v>
          </cell>
          <cell r="C610">
            <v>4924</v>
          </cell>
          <cell r="D610">
            <v>509.8</v>
          </cell>
          <cell r="E610">
            <v>518.61</v>
          </cell>
        </row>
        <row r="611">
          <cell r="A611">
            <v>35951</v>
          </cell>
          <cell r="B611">
            <v>20827</v>
          </cell>
          <cell r="C611">
            <v>3691</v>
          </cell>
          <cell r="D611">
            <v>499.5</v>
          </cell>
          <cell r="E611">
            <v>505.05</v>
          </cell>
        </row>
        <row r="612">
          <cell r="A612">
            <v>35954</v>
          </cell>
          <cell r="B612">
            <v>21109</v>
          </cell>
          <cell r="C612">
            <v>2936</v>
          </cell>
          <cell r="D612">
            <v>493</v>
          </cell>
          <cell r="E612">
            <v>497.79</v>
          </cell>
        </row>
        <row r="613">
          <cell r="A613">
            <v>35955</v>
          </cell>
          <cell r="B613">
            <v>19304</v>
          </cell>
          <cell r="C613">
            <v>2399</v>
          </cell>
          <cell r="D613">
            <v>508.2</v>
          </cell>
          <cell r="E613">
            <v>505.64</v>
          </cell>
        </row>
        <row r="614">
          <cell r="A614">
            <v>35956</v>
          </cell>
          <cell r="B614">
            <v>20689</v>
          </cell>
          <cell r="C614">
            <v>3198</v>
          </cell>
          <cell r="D614">
            <v>488.1</v>
          </cell>
          <cell r="E614">
            <v>489.86</v>
          </cell>
        </row>
        <row r="615">
          <cell r="A615">
            <v>35957</v>
          </cell>
          <cell r="B615">
            <v>22421</v>
          </cell>
          <cell r="C615">
            <v>4102</v>
          </cell>
          <cell r="D615">
            <v>481</v>
          </cell>
          <cell r="E615">
            <v>483</v>
          </cell>
        </row>
        <row r="616">
          <cell r="A616">
            <v>35958</v>
          </cell>
          <cell r="B616">
            <v>21396</v>
          </cell>
          <cell r="C616">
            <v>3641</v>
          </cell>
          <cell r="D616">
            <v>473.5</v>
          </cell>
          <cell r="E616">
            <v>472.37</v>
          </cell>
        </row>
        <row r="617">
          <cell r="A617">
            <v>35961</v>
          </cell>
          <cell r="B617">
            <v>22644</v>
          </cell>
          <cell r="C617">
            <v>2652</v>
          </cell>
          <cell r="D617">
            <v>446</v>
          </cell>
          <cell r="E617">
            <v>452.24</v>
          </cell>
        </row>
        <row r="618">
          <cell r="A618">
            <v>35962</v>
          </cell>
          <cell r="B618">
            <v>24485</v>
          </cell>
          <cell r="C618">
            <v>4290</v>
          </cell>
          <cell r="D618">
            <v>436.5</v>
          </cell>
          <cell r="E618">
            <v>435.84</v>
          </cell>
        </row>
        <row r="619">
          <cell r="A619">
            <v>35963</v>
          </cell>
          <cell r="B619">
            <v>25898</v>
          </cell>
          <cell r="C619">
            <v>6674</v>
          </cell>
          <cell r="D619">
            <v>450</v>
          </cell>
          <cell r="E619">
            <v>448</v>
          </cell>
        </row>
        <row r="620">
          <cell r="A620">
            <v>35964</v>
          </cell>
          <cell r="B620">
            <v>29431</v>
          </cell>
          <cell r="C620">
            <v>8532</v>
          </cell>
          <cell r="D620">
            <v>470.1</v>
          </cell>
          <cell r="E620">
            <v>471.82</v>
          </cell>
        </row>
        <row r="621">
          <cell r="A621">
            <v>35965</v>
          </cell>
          <cell r="B621">
            <v>31861</v>
          </cell>
          <cell r="C621">
            <v>8557</v>
          </cell>
          <cell r="D621">
            <v>465.5</v>
          </cell>
          <cell r="E621">
            <v>467.61</v>
          </cell>
        </row>
        <row r="622">
          <cell r="A622">
            <v>35968</v>
          </cell>
          <cell r="B622">
            <v>27768</v>
          </cell>
          <cell r="C622">
            <v>4247</v>
          </cell>
          <cell r="D622">
            <v>441</v>
          </cell>
          <cell r="E622">
            <v>457.61</v>
          </cell>
        </row>
        <row r="623">
          <cell r="A623">
            <v>35969</v>
          </cell>
          <cell r="B623">
            <v>25154</v>
          </cell>
          <cell r="C623">
            <v>3673</v>
          </cell>
          <cell r="D623">
            <v>453</v>
          </cell>
          <cell r="E623">
            <v>457.25</v>
          </cell>
        </row>
        <row r="624">
          <cell r="A624">
            <v>35970</v>
          </cell>
          <cell r="B624">
            <v>28400</v>
          </cell>
          <cell r="C624">
            <v>7044</v>
          </cell>
          <cell r="D624">
            <v>458</v>
          </cell>
          <cell r="E624">
            <v>455.37</v>
          </cell>
        </row>
        <row r="625">
          <cell r="A625">
            <v>35971</v>
          </cell>
          <cell r="B625">
            <v>32570</v>
          </cell>
          <cell r="C625">
            <v>6187</v>
          </cell>
          <cell r="D625">
            <v>454</v>
          </cell>
          <cell r="E625">
            <v>448.42</v>
          </cell>
        </row>
        <row r="626">
          <cell r="A626">
            <v>35972</v>
          </cell>
          <cell r="B626">
            <v>33243</v>
          </cell>
          <cell r="C626">
            <v>2479</v>
          </cell>
          <cell r="D626">
            <v>447.7</v>
          </cell>
          <cell r="E626">
            <v>445.67</v>
          </cell>
        </row>
        <row r="627">
          <cell r="A627">
            <v>35975</v>
          </cell>
          <cell r="B627">
            <v>32215</v>
          </cell>
          <cell r="C627">
            <v>4163</v>
          </cell>
          <cell r="D627">
            <v>446.1</v>
          </cell>
          <cell r="E627">
            <v>450.77</v>
          </cell>
        </row>
        <row r="628">
          <cell r="A628">
            <v>35976</v>
          </cell>
          <cell r="B628">
            <v>18442</v>
          </cell>
          <cell r="C628">
            <v>3588</v>
          </cell>
          <cell r="D628">
            <v>455.9</v>
          </cell>
          <cell r="E628">
            <v>455.64</v>
          </cell>
        </row>
        <row r="629">
          <cell r="A629">
            <v>35977</v>
          </cell>
          <cell r="B629">
            <v>19181</v>
          </cell>
          <cell r="C629">
            <v>2566</v>
          </cell>
          <cell r="D629">
            <v>482.5</v>
          </cell>
          <cell r="E629">
            <v>471.23</v>
          </cell>
        </row>
        <row r="630">
          <cell r="A630">
            <v>35978</v>
          </cell>
          <cell r="B630">
            <v>20906</v>
          </cell>
          <cell r="C630">
            <v>3802</v>
          </cell>
          <cell r="D630">
            <v>479.9</v>
          </cell>
          <cell r="E630">
            <v>478.2</v>
          </cell>
        </row>
        <row r="631">
          <cell r="A631">
            <v>35979</v>
          </cell>
          <cell r="B631">
            <v>21704</v>
          </cell>
          <cell r="C631">
            <v>2922</v>
          </cell>
          <cell r="D631">
            <v>474</v>
          </cell>
          <cell r="E631">
            <v>473.78</v>
          </cell>
        </row>
        <row r="632">
          <cell r="A632">
            <v>35983</v>
          </cell>
          <cell r="B632">
            <v>21517</v>
          </cell>
          <cell r="C632">
            <v>1182</v>
          </cell>
          <cell r="D632">
            <v>470.5</v>
          </cell>
          <cell r="E632">
            <v>467.55</v>
          </cell>
        </row>
        <row r="633">
          <cell r="A633">
            <v>35984</v>
          </cell>
          <cell r="B633">
            <v>20368</v>
          </cell>
          <cell r="C633">
            <v>2742</v>
          </cell>
          <cell r="D633">
            <v>456.2</v>
          </cell>
          <cell r="E633">
            <v>455.28</v>
          </cell>
        </row>
        <row r="634">
          <cell r="A634">
            <v>35985</v>
          </cell>
          <cell r="B634">
            <v>21401</v>
          </cell>
          <cell r="C634">
            <v>3009</v>
          </cell>
          <cell r="D634">
            <v>441.5</v>
          </cell>
          <cell r="E634">
            <v>447.89</v>
          </cell>
        </row>
        <row r="635">
          <cell r="A635">
            <v>35986</v>
          </cell>
          <cell r="B635">
            <v>22734</v>
          </cell>
          <cell r="C635">
            <v>3063</v>
          </cell>
          <cell r="D635">
            <v>423</v>
          </cell>
          <cell r="E635">
            <v>428.62</v>
          </cell>
        </row>
        <row r="636">
          <cell r="A636">
            <v>35989</v>
          </cell>
          <cell r="B636">
            <v>23776</v>
          </cell>
          <cell r="C636">
            <v>7150</v>
          </cell>
          <cell r="D636">
            <v>431</v>
          </cell>
          <cell r="E636">
            <v>421.31</v>
          </cell>
        </row>
        <row r="637">
          <cell r="A637">
            <v>35990</v>
          </cell>
          <cell r="B637">
            <v>24646</v>
          </cell>
          <cell r="C637">
            <v>3042</v>
          </cell>
          <cell r="D637">
            <v>424.1</v>
          </cell>
          <cell r="E637">
            <v>420.33</v>
          </cell>
        </row>
        <row r="638">
          <cell r="A638">
            <v>35991</v>
          </cell>
          <cell r="B638">
            <v>25425</v>
          </cell>
          <cell r="C638">
            <v>3922</v>
          </cell>
          <cell r="D638">
            <v>442.5</v>
          </cell>
          <cell r="E638">
            <v>433.54</v>
          </cell>
        </row>
        <row r="639">
          <cell r="A639">
            <v>35992</v>
          </cell>
          <cell r="B639">
            <v>25948</v>
          </cell>
          <cell r="C639">
            <v>4663</v>
          </cell>
          <cell r="D639">
            <v>433.8</v>
          </cell>
          <cell r="E639">
            <v>429.99</v>
          </cell>
        </row>
        <row r="640">
          <cell r="A640">
            <v>35993</v>
          </cell>
          <cell r="B640">
            <v>27860</v>
          </cell>
          <cell r="C640">
            <v>6206</v>
          </cell>
          <cell r="D640">
            <v>447</v>
          </cell>
          <cell r="E640">
            <v>445.31</v>
          </cell>
        </row>
        <row r="641">
          <cell r="A641">
            <v>35996</v>
          </cell>
          <cell r="B641">
            <v>25929</v>
          </cell>
          <cell r="C641">
            <v>4023</v>
          </cell>
          <cell r="D641">
            <v>442.1</v>
          </cell>
          <cell r="E641">
            <v>445.28</v>
          </cell>
        </row>
        <row r="642">
          <cell r="A642">
            <v>35997</v>
          </cell>
          <cell r="B642">
            <v>27840</v>
          </cell>
          <cell r="C642">
            <v>6649</v>
          </cell>
          <cell r="D642">
            <v>438.2</v>
          </cell>
          <cell r="E642">
            <v>437.82</v>
          </cell>
        </row>
        <row r="643">
          <cell r="A643">
            <v>35998</v>
          </cell>
          <cell r="B643">
            <v>24511</v>
          </cell>
          <cell r="C643">
            <v>5114</v>
          </cell>
          <cell r="D643">
            <v>414.5</v>
          </cell>
          <cell r="E643">
            <v>421.91</v>
          </cell>
        </row>
        <row r="644">
          <cell r="A644">
            <v>35999</v>
          </cell>
          <cell r="B644">
            <v>27483</v>
          </cell>
          <cell r="C644">
            <v>6742</v>
          </cell>
          <cell r="D644">
            <v>415.5</v>
          </cell>
          <cell r="E644">
            <v>415.4</v>
          </cell>
        </row>
        <row r="645">
          <cell r="A645">
            <v>36000</v>
          </cell>
          <cell r="B645">
            <v>30508</v>
          </cell>
          <cell r="C645">
            <v>6958</v>
          </cell>
          <cell r="D645">
            <v>422</v>
          </cell>
          <cell r="E645">
            <v>418.4</v>
          </cell>
        </row>
        <row r="646">
          <cell r="A646">
            <v>36003</v>
          </cell>
          <cell r="B646">
            <v>28275</v>
          </cell>
          <cell r="C646">
            <v>3454</v>
          </cell>
          <cell r="D646">
            <v>405.8</v>
          </cell>
          <cell r="E646">
            <v>408.04</v>
          </cell>
        </row>
        <row r="647">
          <cell r="A647">
            <v>36004</v>
          </cell>
          <cell r="B647">
            <v>29869</v>
          </cell>
          <cell r="C647">
            <v>3819</v>
          </cell>
          <cell r="D647">
            <v>396</v>
          </cell>
          <cell r="E647">
            <v>403.98</v>
          </cell>
        </row>
        <row r="648">
          <cell r="A648">
            <v>36005</v>
          </cell>
          <cell r="B648">
            <v>30710</v>
          </cell>
          <cell r="C648">
            <v>4177</v>
          </cell>
          <cell r="D648">
            <v>380</v>
          </cell>
          <cell r="E648">
            <v>385.97</v>
          </cell>
        </row>
        <row r="649">
          <cell r="A649">
            <v>36006</v>
          </cell>
          <cell r="B649">
            <v>28330</v>
          </cell>
          <cell r="C649">
            <v>3631</v>
          </cell>
          <cell r="D649">
            <v>390</v>
          </cell>
          <cell r="E649">
            <v>389.53</v>
          </cell>
        </row>
        <row r="650">
          <cell r="A650">
            <v>36007</v>
          </cell>
          <cell r="B650">
            <v>16446</v>
          </cell>
          <cell r="C650">
            <v>4270</v>
          </cell>
          <cell r="D650">
            <v>401.9</v>
          </cell>
          <cell r="E650">
            <v>402.65</v>
          </cell>
        </row>
        <row r="651">
          <cell r="A651">
            <v>36010</v>
          </cell>
          <cell r="B651">
            <v>17304</v>
          </cell>
          <cell r="C651">
            <v>2423</v>
          </cell>
          <cell r="D651">
            <v>384.6</v>
          </cell>
          <cell r="E651">
            <v>386.27</v>
          </cell>
        </row>
        <row r="652">
          <cell r="A652">
            <v>36011</v>
          </cell>
          <cell r="B652">
            <v>17833</v>
          </cell>
          <cell r="C652">
            <v>2240</v>
          </cell>
          <cell r="D652">
            <v>390.5</v>
          </cell>
          <cell r="E652">
            <v>386.44</v>
          </cell>
        </row>
        <row r="653">
          <cell r="A653">
            <v>36012</v>
          </cell>
          <cell r="B653">
            <v>18564</v>
          </cell>
          <cell r="C653">
            <v>2911</v>
          </cell>
          <cell r="D653">
            <v>379.8</v>
          </cell>
          <cell r="E653">
            <v>380.29</v>
          </cell>
        </row>
        <row r="654">
          <cell r="A654">
            <v>36013</v>
          </cell>
          <cell r="B654">
            <v>18976</v>
          </cell>
          <cell r="C654">
            <v>2314</v>
          </cell>
          <cell r="D654">
            <v>373.8</v>
          </cell>
          <cell r="E654">
            <v>374.78</v>
          </cell>
        </row>
        <row r="655">
          <cell r="A655">
            <v>36014</v>
          </cell>
          <cell r="B655">
            <v>19621</v>
          </cell>
          <cell r="C655">
            <v>3541</v>
          </cell>
          <cell r="D655">
            <v>355.4</v>
          </cell>
          <cell r="E655">
            <v>364.05</v>
          </cell>
        </row>
        <row r="656">
          <cell r="A656">
            <v>36017</v>
          </cell>
          <cell r="B656">
            <v>19835</v>
          </cell>
          <cell r="C656">
            <v>1448</v>
          </cell>
          <cell r="D656">
            <v>346.6</v>
          </cell>
          <cell r="E656">
            <v>353.28</v>
          </cell>
        </row>
        <row r="657">
          <cell r="A657">
            <v>36018</v>
          </cell>
          <cell r="B657">
            <v>21070</v>
          </cell>
          <cell r="C657">
            <v>4404</v>
          </cell>
          <cell r="D657">
            <v>331.7</v>
          </cell>
          <cell r="E657">
            <v>334.7</v>
          </cell>
        </row>
        <row r="658">
          <cell r="A658">
            <v>36019</v>
          </cell>
          <cell r="B658">
            <v>23355</v>
          </cell>
          <cell r="C658">
            <v>4574</v>
          </cell>
          <cell r="D658">
            <v>340.5</v>
          </cell>
          <cell r="E658">
            <v>342.19</v>
          </cell>
        </row>
        <row r="659">
          <cell r="A659">
            <v>36020</v>
          </cell>
          <cell r="B659">
            <v>21701</v>
          </cell>
          <cell r="C659">
            <v>4229</v>
          </cell>
          <cell r="D659">
            <v>318.60000000000002</v>
          </cell>
          <cell r="E659">
            <v>326.73</v>
          </cell>
        </row>
        <row r="660">
          <cell r="A660">
            <v>36021</v>
          </cell>
          <cell r="B660">
            <v>21289</v>
          </cell>
          <cell r="C660">
            <v>3458</v>
          </cell>
          <cell r="D660">
            <v>320.89999999999998</v>
          </cell>
          <cell r="E660">
            <v>327.98</v>
          </cell>
        </row>
        <row r="661">
          <cell r="A661">
            <v>36024</v>
          </cell>
          <cell r="B661">
            <v>22112</v>
          </cell>
          <cell r="C661">
            <v>2972</v>
          </cell>
          <cell r="D661">
            <v>309.5</v>
          </cell>
          <cell r="E661">
            <v>316.24</v>
          </cell>
        </row>
        <row r="662">
          <cell r="A662">
            <v>36025</v>
          </cell>
          <cell r="B662">
            <v>23863</v>
          </cell>
          <cell r="C662">
            <v>4018</v>
          </cell>
          <cell r="D662">
            <v>317</v>
          </cell>
          <cell r="E662">
            <v>315.66000000000003</v>
          </cell>
        </row>
        <row r="663">
          <cell r="A663">
            <v>36026</v>
          </cell>
          <cell r="B663">
            <v>25081</v>
          </cell>
          <cell r="C663">
            <v>6889</v>
          </cell>
          <cell r="D663">
            <v>340.5</v>
          </cell>
          <cell r="E663">
            <v>343.47</v>
          </cell>
        </row>
        <row r="664">
          <cell r="A664">
            <v>36027</v>
          </cell>
          <cell r="B664">
            <v>28112</v>
          </cell>
          <cell r="C664">
            <v>9013</v>
          </cell>
          <cell r="D664">
            <v>353.6</v>
          </cell>
          <cell r="E664">
            <v>351.04</v>
          </cell>
        </row>
        <row r="665">
          <cell r="A665">
            <v>36028</v>
          </cell>
          <cell r="B665">
            <v>30064</v>
          </cell>
          <cell r="C665">
            <v>7398</v>
          </cell>
          <cell r="D665">
            <v>321.5</v>
          </cell>
          <cell r="E665">
            <v>324.06</v>
          </cell>
        </row>
        <row r="666">
          <cell r="A666">
            <v>36031</v>
          </cell>
          <cell r="B666">
            <v>32362</v>
          </cell>
          <cell r="C666">
            <v>6613</v>
          </cell>
          <cell r="D666">
            <v>322</v>
          </cell>
          <cell r="E666">
            <v>317.2</v>
          </cell>
        </row>
        <row r="667">
          <cell r="A667">
            <v>36032</v>
          </cell>
          <cell r="B667">
            <v>30814</v>
          </cell>
          <cell r="C667">
            <v>6458</v>
          </cell>
          <cell r="D667">
            <v>332.9</v>
          </cell>
          <cell r="E667">
            <v>324.17</v>
          </cell>
        </row>
        <row r="668">
          <cell r="A668">
            <v>36033</v>
          </cell>
          <cell r="B668">
            <v>29254</v>
          </cell>
          <cell r="C668">
            <v>6534</v>
          </cell>
          <cell r="D668">
            <v>329</v>
          </cell>
          <cell r="E668">
            <v>324.49</v>
          </cell>
        </row>
        <row r="669">
          <cell r="A669">
            <v>36034</v>
          </cell>
          <cell r="B669">
            <v>30713</v>
          </cell>
          <cell r="C669">
            <v>6475</v>
          </cell>
          <cell r="D669">
            <v>311.5</v>
          </cell>
          <cell r="E669">
            <v>313.51</v>
          </cell>
        </row>
        <row r="670">
          <cell r="A670">
            <v>36035</v>
          </cell>
          <cell r="B670">
            <v>14293</v>
          </cell>
          <cell r="C670">
            <v>5015</v>
          </cell>
          <cell r="D670">
            <v>303.5</v>
          </cell>
          <cell r="E670">
            <v>302.91000000000003</v>
          </cell>
        </row>
        <row r="671">
          <cell r="A671">
            <v>36039</v>
          </cell>
          <cell r="B671">
            <v>16151</v>
          </cell>
          <cell r="C671">
            <v>6549</v>
          </cell>
          <cell r="D671">
            <v>274.89999999999998</v>
          </cell>
          <cell r="E671">
            <v>262.7</v>
          </cell>
        </row>
        <row r="672">
          <cell r="A672">
            <v>36040</v>
          </cell>
          <cell r="B672">
            <v>18052</v>
          </cell>
          <cell r="C672">
            <v>6966</v>
          </cell>
          <cell r="D672">
            <v>289</v>
          </cell>
          <cell r="E672">
            <v>294.58999999999997</v>
          </cell>
        </row>
        <row r="673">
          <cell r="A673">
            <v>36041</v>
          </cell>
          <cell r="B673">
            <v>20377</v>
          </cell>
          <cell r="C673">
            <v>10171</v>
          </cell>
          <cell r="D673">
            <v>343.6</v>
          </cell>
          <cell r="E673">
            <v>313.07</v>
          </cell>
        </row>
        <row r="674">
          <cell r="A674">
            <v>36042</v>
          </cell>
          <cell r="B674">
            <v>14489</v>
          </cell>
          <cell r="C674">
            <v>6865</v>
          </cell>
          <cell r="D674">
            <v>394</v>
          </cell>
          <cell r="E674">
            <v>363.44</v>
          </cell>
        </row>
        <row r="675">
          <cell r="A675">
            <v>36045</v>
          </cell>
          <cell r="B675">
            <v>18329</v>
          </cell>
          <cell r="C675">
            <v>11238</v>
          </cell>
          <cell r="D675">
            <v>525.4</v>
          </cell>
          <cell r="E675">
            <v>445.06</v>
          </cell>
        </row>
        <row r="676">
          <cell r="A676">
            <v>36046</v>
          </cell>
          <cell r="B676">
            <v>18823</v>
          </cell>
          <cell r="C676">
            <v>7896</v>
          </cell>
          <cell r="D676">
            <v>356.3</v>
          </cell>
          <cell r="E676">
            <v>349.56</v>
          </cell>
        </row>
        <row r="677">
          <cell r="A677">
            <v>36047</v>
          </cell>
          <cell r="B677">
            <v>14951</v>
          </cell>
          <cell r="C677">
            <v>5113</v>
          </cell>
          <cell r="D677">
            <v>393</v>
          </cell>
          <cell r="E677">
            <v>389.65</v>
          </cell>
        </row>
        <row r="678">
          <cell r="A678">
            <v>36048</v>
          </cell>
          <cell r="B678">
            <v>12888</v>
          </cell>
          <cell r="C678">
            <v>2701</v>
          </cell>
          <cell r="D678">
            <v>399</v>
          </cell>
          <cell r="E678">
            <v>380.2</v>
          </cell>
        </row>
        <row r="679">
          <cell r="A679">
            <v>36049</v>
          </cell>
          <cell r="B679">
            <v>9970</v>
          </cell>
          <cell r="C679">
            <v>2154</v>
          </cell>
          <cell r="D679">
            <v>355</v>
          </cell>
          <cell r="E679">
            <v>368.53</v>
          </cell>
        </row>
        <row r="680">
          <cell r="A680">
            <v>36052</v>
          </cell>
          <cell r="B680">
            <v>10340</v>
          </cell>
          <cell r="C680">
            <v>3014</v>
          </cell>
          <cell r="D680">
            <v>400</v>
          </cell>
          <cell r="E680">
            <v>393.24</v>
          </cell>
        </row>
        <row r="681">
          <cell r="A681">
            <v>36053</v>
          </cell>
          <cell r="B681">
            <v>9529</v>
          </cell>
          <cell r="C681">
            <v>3070</v>
          </cell>
          <cell r="D681">
            <v>387.1</v>
          </cell>
          <cell r="E681">
            <v>389.08</v>
          </cell>
        </row>
        <row r="682">
          <cell r="A682">
            <v>36054</v>
          </cell>
          <cell r="B682">
            <v>9140</v>
          </cell>
          <cell r="C682">
            <v>1686</v>
          </cell>
          <cell r="D682">
            <v>401.1</v>
          </cell>
          <cell r="E682">
            <v>394.04</v>
          </cell>
        </row>
        <row r="683">
          <cell r="A683">
            <v>36055</v>
          </cell>
          <cell r="B683">
            <v>7439</v>
          </cell>
          <cell r="C683">
            <v>1213</v>
          </cell>
          <cell r="D683">
            <v>388.3</v>
          </cell>
          <cell r="E683">
            <v>386.55</v>
          </cell>
        </row>
        <row r="684">
          <cell r="A684">
            <v>36056</v>
          </cell>
          <cell r="B684">
            <v>7432</v>
          </cell>
          <cell r="C684">
            <v>1486</v>
          </cell>
          <cell r="D684">
            <v>401</v>
          </cell>
          <cell r="E684">
            <v>393.3</v>
          </cell>
        </row>
        <row r="685">
          <cell r="A685">
            <v>36059</v>
          </cell>
          <cell r="B685">
            <v>7551</v>
          </cell>
          <cell r="C685">
            <v>1109</v>
          </cell>
          <cell r="D685">
            <v>380.5</v>
          </cell>
          <cell r="E685">
            <v>378.32</v>
          </cell>
        </row>
        <row r="686">
          <cell r="A686">
            <v>36060</v>
          </cell>
          <cell r="B686">
            <v>6967</v>
          </cell>
          <cell r="C686">
            <v>524</v>
          </cell>
          <cell r="D686">
            <v>396.9</v>
          </cell>
          <cell r="E686">
            <v>385.45</v>
          </cell>
        </row>
        <row r="687">
          <cell r="A687">
            <v>36061</v>
          </cell>
          <cell r="B687">
            <v>7029</v>
          </cell>
          <cell r="C687">
            <v>641</v>
          </cell>
          <cell r="D687">
            <v>385.8</v>
          </cell>
          <cell r="E687">
            <v>376.26</v>
          </cell>
        </row>
        <row r="688">
          <cell r="A688">
            <v>36062</v>
          </cell>
          <cell r="B688">
            <v>3814</v>
          </cell>
          <cell r="C688">
            <v>757</v>
          </cell>
          <cell r="D688">
            <v>396.7</v>
          </cell>
          <cell r="E688">
            <v>387.46</v>
          </cell>
        </row>
        <row r="689">
          <cell r="A689">
            <v>36063</v>
          </cell>
          <cell r="B689">
            <v>3815</v>
          </cell>
          <cell r="C689">
            <v>799</v>
          </cell>
          <cell r="D689">
            <v>389.5</v>
          </cell>
          <cell r="E689">
            <v>387.27</v>
          </cell>
        </row>
        <row r="690">
          <cell r="A690">
            <v>36067</v>
          </cell>
          <cell r="B690">
            <v>3534</v>
          </cell>
          <cell r="C690">
            <v>728</v>
          </cell>
          <cell r="D690">
            <v>380.5</v>
          </cell>
          <cell r="E690">
            <v>377.52</v>
          </cell>
        </row>
        <row r="691">
          <cell r="A691">
            <v>36068</v>
          </cell>
          <cell r="B691">
            <v>681</v>
          </cell>
          <cell r="C691">
            <v>668</v>
          </cell>
          <cell r="D691">
            <v>374</v>
          </cell>
          <cell r="E691">
            <v>373.52</v>
          </cell>
        </row>
        <row r="692">
          <cell r="A692">
            <v>36069</v>
          </cell>
          <cell r="B692">
            <v>940</v>
          </cell>
          <cell r="C692">
            <v>594</v>
          </cell>
          <cell r="D692">
            <v>379.9</v>
          </cell>
          <cell r="E692">
            <v>367.64</v>
          </cell>
        </row>
        <row r="693">
          <cell r="A693">
            <v>36070</v>
          </cell>
          <cell r="B693">
            <v>1075</v>
          </cell>
          <cell r="C693">
            <v>615</v>
          </cell>
          <cell r="D693">
            <v>375</v>
          </cell>
          <cell r="E693">
            <v>363.06</v>
          </cell>
        </row>
        <row r="694">
          <cell r="A694">
            <v>36073</v>
          </cell>
          <cell r="B694">
            <v>1051</v>
          </cell>
          <cell r="C694">
            <v>377</v>
          </cell>
          <cell r="D694">
            <v>374.9</v>
          </cell>
          <cell r="E694">
            <v>360.1</v>
          </cell>
        </row>
        <row r="695">
          <cell r="A695">
            <v>36074</v>
          </cell>
          <cell r="B695">
            <v>1184</v>
          </cell>
          <cell r="C695">
            <v>936</v>
          </cell>
          <cell r="D695">
            <v>391.7</v>
          </cell>
          <cell r="E695">
            <v>374.45</v>
          </cell>
        </row>
        <row r="696">
          <cell r="A696">
            <v>36075</v>
          </cell>
          <cell r="B696">
            <v>1221</v>
          </cell>
          <cell r="C696">
            <v>1050</v>
          </cell>
          <cell r="D696">
            <v>385.8</v>
          </cell>
          <cell r="E696">
            <v>370.9</v>
          </cell>
        </row>
        <row r="697">
          <cell r="A697">
            <v>36076</v>
          </cell>
          <cell r="B697">
            <v>1255</v>
          </cell>
          <cell r="C697">
            <v>445</v>
          </cell>
          <cell r="D697">
            <v>388.9</v>
          </cell>
          <cell r="E697">
            <v>372.99</v>
          </cell>
        </row>
        <row r="698">
          <cell r="A698">
            <v>36077</v>
          </cell>
          <cell r="B698">
            <v>1313</v>
          </cell>
          <cell r="C698">
            <v>316</v>
          </cell>
          <cell r="D698">
            <v>388.5</v>
          </cell>
          <cell r="E698">
            <v>372.22</v>
          </cell>
        </row>
        <row r="699">
          <cell r="A699">
            <v>36080</v>
          </cell>
          <cell r="B699">
            <v>1376</v>
          </cell>
          <cell r="C699">
            <v>903</v>
          </cell>
          <cell r="D699">
            <v>406.1</v>
          </cell>
          <cell r="E699">
            <v>389.5</v>
          </cell>
        </row>
        <row r="700">
          <cell r="A700">
            <v>36081</v>
          </cell>
          <cell r="B700">
            <v>1405</v>
          </cell>
          <cell r="C700">
            <v>953</v>
          </cell>
          <cell r="D700">
            <v>396.5</v>
          </cell>
          <cell r="E700">
            <v>385.04</v>
          </cell>
        </row>
        <row r="701">
          <cell r="A701">
            <v>36082</v>
          </cell>
          <cell r="B701">
            <v>1474</v>
          </cell>
          <cell r="C701">
            <v>400</v>
          </cell>
          <cell r="D701">
            <v>399</v>
          </cell>
          <cell r="E701">
            <v>384.22</v>
          </cell>
        </row>
        <row r="702">
          <cell r="A702">
            <v>36083</v>
          </cell>
          <cell r="B702">
            <v>1608</v>
          </cell>
          <cell r="C702">
            <v>494</v>
          </cell>
          <cell r="D702">
            <v>408</v>
          </cell>
          <cell r="E702">
            <v>393.25</v>
          </cell>
        </row>
        <row r="703">
          <cell r="A703">
            <v>36084</v>
          </cell>
          <cell r="B703">
            <v>1722</v>
          </cell>
          <cell r="C703">
            <v>1459</v>
          </cell>
          <cell r="D703">
            <v>415.5</v>
          </cell>
          <cell r="E703">
            <v>396.26</v>
          </cell>
        </row>
        <row r="704">
          <cell r="A704">
            <v>36088</v>
          </cell>
          <cell r="B704">
            <v>1827</v>
          </cell>
          <cell r="C704">
            <v>1081</v>
          </cell>
          <cell r="D704">
            <v>434.5</v>
          </cell>
          <cell r="E704">
            <v>422.97</v>
          </cell>
        </row>
        <row r="705">
          <cell r="A705">
            <v>36089</v>
          </cell>
          <cell r="B705">
            <v>2158</v>
          </cell>
          <cell r="C705">
            <v>1622</v>
          </cell>
          <cell r="D705">
            <v>433.1</v>
          </cell>
          <cell r="E705">
            <v>424.37</v>
          </cell>
        </row>
        <row r="706">
          <cell r="A706">
            <v>36090</v>
          </cell>
          <cell r="B706">
            <v>2211</v>
          </cell>
          <cell r="C706">
            <v>938</v>
          </cell>
          <cell r="D706">
            <v>428.5</v>
          </cell>
          <cell r="E706">
            <v>421.56</v>
          </cell>
        </row>
        <row r="707">
          <cell r="A707">
            <v>36091</v>
          </cell>
          <cell r="B707">
            <v>2221</v>
          </cell>
          <cell r="C707">
            <v>1049</v>
          </cell>
          <cell r="D707">
            <v>419</v>
          </cell>
          <cell r="E707">
            <v>419.72</v>
          </cell>
        </row>
        <row r="708">
          <cell r="A708">
            <v>36094</v>
          </cell>
          <cell r="B708">
            <v>2106</v>
          </cell>
          <cell r="C708">
            <v>954</v>
          </cell>
          <cell r="D708">
            <v>419.5</v>
          </cell>
          <cell r="E708">
            <v>419.11</v>
          </cell>
        </row>
        <row r="709">
          <cell r="A709">
            <v>36095</v>
          </cell>
          <cell r="B709">
            <v>2147</v>
          </cell>
          <cell r="C709">
            <v>695</v>
          </cell>
          <cell r="D709">
            <v>417.1</v>
          </cell>
          <cell r="E709">
            <v>415.96</v>
          </cell>
        </row>
        <row r="710">
          <cell r="A710">
            <v>36096</v>
          </cell>
          <cell r="B710">
            <v>2261</v>
          </cell>
          <cell r="C710">
            <v>532</v>
          </cell>
          <cell r="D710">
            <v>412.8</v>
          </cell>
          <cell r="E710">
            <v>410.49</v>
          </cell>
        </row>
        <row r="711">
          <cell r="A711">
            <v>36097</v>
          </cell>
          <cell r="B711">
            <v>2147</v>
          </cell>
          <cell r="C711">
            <v>685</v>
          </cell>
          <cell r="D711">
            <v>404.8</v>
          </cell>
          <cell r="E711">
            <v>406.35</v>
          </cell>
        </row>
        <row r="712">
          <cell r="A712">
            <v>36098</v>
          </cell>
          <cell r="B712">
            <v>1240</v>
          </cell>
          <cell r="C712">
            <v>795</v>
          </cell>
          <cell r="D712">
            <v>406.2</v>
          </cell>
          <cell r="E712">
            <v>405.33</v>
          </cell>
        </row>
        <row r="713">
          <cell r="A713">
            <v>36101</v>
          </cell>
          <cell r="B713">
            <v>1416</v>
          </cell>
          <cell r="C713">
            <v>812</v>
          </cell>
          <cell r="D713">
            <v>434</v>
          </cell>
          <cell r="E713">
            <v>419.78</v>
          </cell>
        </row>
        <row r="714">
          <cell r="A714">
            <v>36102</v>
          </cell>
          <cell r="B714">
            <v>1635</v>
          </cell>
          <cell r="C714">
            <v>1468</v>
          </cell>
          <cell r="D714">
            <v>438.5</v>
          </cell>
          <cell r="E714">
            <v>421.91</v>
          </cell>
        </row>
        <row r="715">
          <cell r="A715">
            <v>36103</v>
          </cell>
          <cell r="B715">
            <v>1835</v>
          </cell>
          <cell r="C715">
            <v>1045</v>
          </cell>
          <cell r="D715">
            <v>454.8</v>
          </cell>
          <cell r="E715">
            <v>431.7</v>
          </cell>
        </row>
        <row r="716">
          <cell r="A716">
            <v>36104</v>
          </cell>
          <cell r="B716">
            <v>2174</v>
          </cell>
          <cell r="C716">
            <v>1419</v>
          </cell>
          <cell r="D716">
            <v>446</v>
          </cell>
          <cell r="E716">
            <v>438.66</v>
          </cell>
        </row>
        <row r="717">
          <cell r="A717">
            <v>36105</v>
          </cell>
          <cell r="B717">
            <v>1953</v>
          </cell>
          <cell r="C717">
            <v>1220</v>
          </cell>
          <cell r="D717">
            <v>466</v>
          </cell>
          <cell r="E717">
            <v>453.29</v>
          </cell>
        </row>
        <row r="718">
          <cell r="A718">
            <v>36108</v>
          </cell>
          <cell r="B718">
            <v>2182</v>
          </cell>
          <cell r="C718">
            <v>1246</v>
          </cell>
          <cell r="D718">
            <v>472.5</v>
          </cell>
          <cell r="E718">
            <v>465.69</v>
          </cell>
        </row>
        <row r="719">
          <cell r="A719">
            <v>36109</v>
          </cell>
          <cell r="B719">
            <v>2172</v>
          </cell>
          <cell r="C719">
            <v>1272</v>
          </cell>
          <cell r="D719">
            <v>474.1</v>
          </cell>
          <cell r="E719">
            <v>467.54</v>
          </cell>
        </row>
        <row r="720">
          <cell r="A720">
            <v>36110</v>
          </cell>
          <cell r="B720">
            <v>2476</v>
          </cell>
          <cell r="C720">
            <v>1567</v>
          </cell>
          <cell r="D720">
            <v>480</v>
          </cell>
          <cell r="E720">
            <v>476.12</v>
          </cell>
        </row>
        <row r="721">
          <cell r="A721">
            <v>36111</v>
          </cell>
          <cell r="B721">
            <v>2374</v>
          </cell>
          <cell r="C721">
            <v>1542</v>
          </cell>
          <cell r="D721">
            <v>465</v>
          </cell>
          <cell r="E721">
            <v>460.77</v>
          </cell>
        </row>
        <row r="722">
          <cell r="A722">
            <v>36112</v>
          </cell>
          <cell r="B722">
            <v>2441</v>
          </cell>
          <cell r="C722">
            <v>1401</v>
          </cell>
          <cell r="D722">
            <v>479.4</v>
          </cell>
          <cell r="E722">
            <v>465.08</v>
          </cell>
        </row>
        <row r="723">
          <cell r="A723">
            <v>36115</v>
          </cell>
          <cell r="B723">
            <v>2625</v>
          </cell>
          <cell r="C723">
            <v>1243</v>
          </cell>
          <cell r="D723">
            <v>479.5</v>
          </cell>
          <cell r="E723">
            <v>462.02</v>
          </cell>
        </row>
        <row r="724">
          <cell r="A724">
            <v>36116</v>
          </cell>
          <cell r="B724">
            <v>2528</v>
          </cell>
          <cell r="C724">
            <v>913</v>
          </cell>
          <cell r="D724">
            <v>478.5</v>
          </cell>
          <cell r="E724">
            <v>464.12</v>
          </cell>
        </row>
        <row r="725">
          <cell r="A725">
            <v>36117</v>
          </cell>
          <cell r="B725">
            <v>2428</v>
          </cell>
          <cell r="C725">
            <v>638</v>
          </cell>
          <cell r="D725">
            <v>473.2</v>
          </cell>
          <cell r="E725">
            <v>458.34</v>
          </cell>
        </row>
        <row r="726">
          <cell r="A726">
            <v>36118</v>
          </cell>
          <cell r="B726">
            <v>2538</v>
          </cell>
          <cell r="C726">
            <v>628</v>
          </cell>
          <cell r="D726">
            <v>474.5</v>
          </cell>
          <cell r="E726">
            <v>458.58</v>
          </cell>
        </row>
        <row r="727">
          <cell r="A727">
            <v>36119</v>
          </cell>
          <cell r="B727">
            <v>2533</v>
          </cell>
          <cell r="C727">
            <v>639</v>
          </cell>
          <cell r="D727">
            <v>470.5</v>
          </cell>
          <cell r="E727">
            <v>461.56</v>
          </cell>
        </row>
        <row r="728">
          <cell r="A728">
            <v>36122</v>
          </cell>
          <cell r="B728">
            <v>2544</v>
          </cell>
          <cell r="C728">
            <v>945</v>
          </cell>
          <cell r="D728">
            <v>484</v>
          </cell>
          <cell r="E728">
            <v>477.17</v>
          </cell>
        </row>
        <row r="729">
          <cell r="A729">
            <v>36123</v>
          </cell>
          <cell r="B729">
            <v>2613</v>
          </cell>
          <cell r="C729">
            <v>1354</v>
          </cell>
          <cell r="D729">
            <v>496.8</v>
          </cell>
          <cell r="E729">
            <v>489.66</v>
          </cell>
        </row>
        <row r="730">
          <cell r="A730">
            <v>36124</v>
          </cell>
          <cell r="B730">
            <v>2536</v>
          </cell>
          <cell r="C730">
            <v>1474</v>
          </cell>
          <cell r="D730">
            <v>509.5</v>
          </cell>
          <cell r="E730">
            <v>502.15</v>
          </cell>
        </row>
        <row r="731">
          <cell r="A731">
            <v>36125</v>
          </cell>
          <cell r="B731">
            <v>2536</v>
          </cell>
          <cell r="C731">
            <v>1731</v>
          </cell>
          <cell r="D731">
            <v>501.5</v>
          </cell>
          <cell r="E731">
            <v>498.69</v>
          </cell>
        </row>
        <row r="732">
          <cell r="A732">
            <v>36126</v>
          </cell>
          <cell r="B732">
            <v>2722</v>
          </cell>
          <cell r="C732">
            <v>1279</v>
          </cell>
          <cell r="D732">
            <v>502</v>
          </cell>
          <cell r="E732">
            <v>498.08</v>
          </cell>
        </row>
        <row r="733">
          <cell r="A733">
            <v>36129</v>
          </cell>
          <cell r="B733">
            <v>2237</v>
          </cell>
          <cell r="C733">
            <v>1648</v>
          </cell>
          <cell r="D733">
            <v>505</v>
          </cell>
          <cell r="E733">
            <v>501.47</v>
          </cell>
        </row>
        <row r="734">
          <cell r="A734">
            <v>36130</v>
          </cell>
          <cell r="B734">
            <v>1974</v>
          </cell>
          <cell r="C734">
            <v>1521</v>
          </cell>
          <cell r="D734">
            <v>535.29999999999995</v>
          </cell>
          <cell r="E734">
            <v>518.75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95"/>
      <sheetName val="Jan96"/>
      <sheetName val="Feb96"/>
      <sheetName val="Mar96"/>
      <sheetName val="Apr96"/>
      <sheetName val="May96"/>
      <sheetName val="Sheet1"/>
      <sheetName val="General"/>
      <sheetName val="June96"/>
      <sheetName val="July 96"/>
      <sheetName val="Aug96"/>
      <sheetName val="Sept 96"/>
      <sheetName val="Oct 96 "/>
      <sheetName val="Nov'96"/>
      <sheetName val="Dec'96"/>
      <sheetName val="Jan'97"/>
      <sheetName val="Feb '97"/>
      <sheetName val="Mar '97"/>
      <sheetName val="Apr '97"/>
      <sheetName val="May '97"/>
      <sheetName val="June '97"/>
      <sheetName val="July'97"/>
      <sheetName val="Aug '97"/>
      <sheetName val="Sep '97"/>
      <sheetName val="Oct '97"/>
      <sheetName val="Nov'97"/>
      <sheetName val="Dec'97"/>
      <sheetName val="Jan'98"/>
      <sheetName val="Feb'98 "/>
      <sheetName val="Mar'98"/>
      <sheetName val="Apr'98"/>
      <sheetName val="May'98 "/>
      <sheetName val="June'98 "/>
      <sheetName val="July'98"/>
      <sheetName val="Aug'98 "/>
      <sheetName val="Sep'98"/>
      <sheetName val="Oct'98"/>
      <sheetName val="Nov'98"/>
      <sheetName val="Dec'98 "/>
      <sheetName val="Jan'99  "/>
      <sheetName val="Feb'99  "/>
      <sheetName val="Mar'99 "/>
      <sheetName val="Apr'99 "/>
      <sheetName val="May'99 "/>
      <sheetName val="June'99 "/>
      <sheetName val="July'99"/>
      <sheetName val="Aug'99 "/>
      <sheetName val="Sep'99  "/>
      <sheetName val="Oct'99"/>
      <sheetName val="Nov'99 "/>
      <sheetName val="Dec'99"/>
      <sheetName val="Jan'2000"/>
      <sheetName val="Feb'2000 "/>
      <sheetName val="Mar'2000"/>
      <sheetName val="Apr'2000"/>
      <sheetName val="May'2000"/>
      <sheetName val="Jun'2000"/>
      <sheetName val="Jul'2000"/>
      <sheetName val="Aug'2000"/>
      <sheetName val="Sep'2000"/>
      <sheetName val="Oct'2000"/>
      <sheetName val="Nov'2000"/>
      <sheetName val="FKLI-Dec'2000"/>
      <sheetName val="OKLI-Dec'2000"/>
      <sheetName val="FKLI-Jan'01"/>
      <sheetName val="OKLI-Jan'01"/>
      <sheetName val="FKLI-Feb'01"/>
      <sheetName val="OKLI-Feb'01"/>
      <sheetName val="FKLI-Mar'01"/>
      <sheetName val="OKLI-Mar'01"/>
      <sheetName val="FKLI-Apr'01"/>
      <sheetName val="OKLI-Apr'01"/>
      <sheetName val="FKLI-May'01"/>
      <sheetName val="OKLI-May'01"/>
      <sheetName val="FKLI-Jun'01"/>
      <sheetName val="OKLI-Jun'01"/>
      <sheetName val="FKLI-July'01"/>
      <sheetName val="OKLI-July'01"/>
      <sheetName val="CPO-July'01"/>
      <sheetName val="KLIBOR-July'01"/>
      <sheetName val="Ex^Total-July'01"/>
      <sheetName val="FKLI-Aug'01"/>
      <sheetName val="OKLI-Aug'01"/>
      <sheetName val="CPO-Aug'01"/>
      <sheetName val="KLIBOR-Aug'01"/>
      <sheetName val="Ex^Total-Aug'01"/>
      <sheetName val="FKLI-Sept'01"/>
      <sheetName val="OKLI-Sept'01"/>
      <sheetName val="CPO-Sept'01"/>
      <sheetName val="KLIBOR-Sept'01"/>
      <sheetName val="Ex^Total-Sept'01"/>
      <sheetName val="FKLI-Oct'01"/>
      <sheetName val="OKLI-Oct'01"/>
      <sheetName val="CPO-Oct'01"/>
      <sheetName val="KLIBOR-Oct'01"/>
      <sheetName val="Ex^Total-Oct'01"/>
      <sheetName val="FKLI-Nov'01"/>
      <sheetName val="OKLI-Nov'01"/>
      <sheetName val="CPO-Nov'01"/>
      <sheetName val="KLIBOR-Nov'01"/>
      <sheetName val="Ex^Total-Nov'01"/>
      <sheetName val="FKLI-Dec'01"/>
      <sheetName val="OKLI-Dec'01"/>
      <sheetName val="CPO-Dec'01"/>
      <sheetName val="KLIBOR-Dec'01"/>
      <sheetName val="Ex^Total-Dec'01"/>
      <sheetName val="FKLI-Jan'02"/>
      <sheetName val="OKLI-Jan'02"/>
      <sheetName val="CPO-Jan'02"/>
      <sheetName val="KLIBOR-Jan'02"/>
      <sheetName val="Ex^Total-Jan'02"/>
      <sheetName val="FKLI-Feb'02"/>
      <sheetName val="OKLI-Feb'02"/>
      <sheetName val="CPO-Feb'02"/>
      <sheetName val="KLIBOR-Feb'02"/>
      <sheetName val="Ex^Total-Feb'02"/>
      <sheetName val="FKLI-Mar'02"/>
      <sheetName val="OKLI-Mar'02"/>
      <sheetName val="CPO-Mar'02"/>
      <sheetName val="KLIBOR-Mar'02"/>
      <sheetName val="FMG5-Mar'02"/>
      <sheetName val="Ex^Total-Mar'02"/>
      <sheetName val="FKLI-Apr'02"/>
      <sheetName val="OKLI-Apr'02"/>
      <sheetName val="CPO-Apr'02"/>
      <sheetName val="KLIBOR-Apr'02"/>
      <sheetName val="FMG5-Apr'02"/>
      <sheetName val="Ex^Total-Apr'02"/>
      <sheetName val="FKLI-May'02"/>
      <sheetName val="OKLI-May'02"/>
      <sheetName val="CPO-May'02"/>
      <sheetName val="KLIBOR-May'02"/>
      <sheetName val="FMG5-May'02"/>
      <sheetName val="Ex^Total-May'02"/>
      <sheetName val="FKLI-Jun'02"/>
      <sheetName val="OKLI-Jun'02"/>
      <sheetName val="CPO-Jun'02"/>
      <sheetName val="KLIBOR-Jun'02"/>
      <sheetName val="FMG5-Jun'02"/>
      <sheetName val="Ex^Total-Jun'02"/>
      <sheetName val="FKLI-July'02"/>
      <sheetName val="OKLI-July'02"/>
      <sheetName val="CPO-July'02"/>
      <sheetName val="KLIBOR-July'02"/>
      <sheetName val="FMG5-July'02"/>
      <sheetName val="Ex^Total-July'02"/>
      <sheetName val="FKLI-Aug'02"/>
      <sheetName val="OKLI-Aug'02"/>
      <sheetName val="CPO-Aug'02"/>
      <sheetName val="KLIBOR-Aug'02"/>
      <sheetName val="FMG5-Aug'02"/>
      <sheetName val="Ex^Total-Aug'02"/>
      <sheetName val="Highlights-Aug'02"/>
      <sheetName val="FKLI-Sept'02"/>
      <sheetName val="OKLI-Sept'02"/>
      <sheetName val="CPO-Sept'02"/>
      <sheetName val="KLIBOR-Sept'02"/>
      <sheetName val="FMG5-Sept'02"/>
      <sheetName val="Ex^Total-Sept'02"/>
      <sheetName val="Highlights-Sept'02"/>
      <sheetName val="FKLI-Oct'02"/>
      <sheetName val="OKLI-Oct'02"/>
      <sheetName val="CPO-Oct'02"/>
      <sheetName val="KLIBOR-Oct'02"/>
      <sheetName val="FMG5-Oct'02"/>
      <sheetName val="Ex^Total-Oct'02"/>
      <sheetName val="Highlights-Oct'02"/>
      <sheetName val="FKLI-Nov'02"/>
      <sheetName val="OKLI-Nov'02"/>
      <sheetName val="CPO-Nov'02"/>
      <sheetName val="KLIBOR-Nov'02"/>
      <sheetName val="FMG5-Nov'02"/>
      <sheetName val="Ex^Total-Nov'02"/>
      <sheetName val="Highlights-Nov'02"/>
      <sheetName val="FKLI-Dec'02"/>
      <sheetName val="OKLI-Dec'02"/>
      <sheetName val="CPO-Dec'02 "/>
      <sheetName val="KLIBOR-Dec'02"/>
      <sheetName val="FMG5-Dec'02"/>
      <sheetName val="Ex^Total-Dec'02"/>
      <sheetName val="Highlights-Dec'02"/>
      <sheetName val="FKLI-Jan'03"/>
      <sheetName val="OKLI-Jan'03"/>
      <sheetName val="CPO-Jan'03"/>
      <sheetName val="KLIBOR-Jan'03"/>
      <sheetName val="FMG5-Jan'03"/>
      <sheetName val="Ex^Total-Jan'03"/>
      <sheetName val="Highlights-Jan'03"/>
      <sheetName val="FKLI-Feb'03 "/>
      <sheetName val="OKLI-Feb'03 "/>
      <sheetName val="KLIBOR-Feb'03 "/>
      <sheetName val="FMG5-Feb'03 "/>
      <sheetName val="Ex^Total-Feb'03 "/>
      <sheetName val="Highlights-Feb'03 "/>
      <sheetName val="FKLI-Mar'03 "/>
      <sheetName val="OKLI-Mar'03 "/>
      <sheetName val="CPO-Mar'03 "/>
      <sheetName val="KLIBOR-Mar'03 "/>
      <sheetName val="FMG5-Mar'03 "/>
      <sheetName val="Ex^Total-Mar'03 "/>
      <sheetName val="Highlights-Mar'03 "/>
      <sheetName val="FKLI-Apr'03 "/>
      <sheetName val="OKLI-Apr'03 "/>
      <sheetName val="CPO-Apr'03 "/>
      <sheetName val="KLIBOR-Apr'03 "/>
      <sheetName val="FMG5-Apr'03 "/>
      <sheetName val="Ex^Total-Apr'03 "/>
      <sheetName val="Highlights-Apr'03 "/>
      <sheetName val="FKLI-May'03 "/>
      <sheetName val="OKLI-May'03  "/>
      <sheetName val="CPO-May'03  "/>
      <sheetName val="KLIBOR-May'03 "/>
      <sheetName val="FMG5-May'03 "/>
      <sheetName val="Ex^Total-May'03 "/>
      <sheetName val="Highlights-May'03"/>
      <sheetName val="FKLI-June'03"/>
      <sheetName val="OKLI-June'03"/>
      <sheetName val="CPO-June'03"/>
      <sheetName val="KLIBOR-June'03"/>
      <sheetName val="FMG5-June'03"/>
      <sheetName val="Ex^Total-June'03"/>
      <sheetName val="Highlights-June'03"/>
      <sheetName val="FKLI-July'03 "/>
      <sheetName val="OKLI-July'03"/>
      <sheetName val="CPO-July'03"/>
      <sheetName val="KLIBOR-July'03 "/>
      <sheetName val="FMG5-July'03"/>
      <sheetName val="Ex^Total-July'03"/>
      <sheetName val="Highlights-July'03"/>
      <sheetName val="FKLI-Aug'03 "/>
      <sheetName val="OKLI-Aug'03 "/>
      <sheetName val="CPO-Aug'03 "/>
      <sheetName val="KLIBOR-Aug'03 "/>
      <sheetName val="FMG5-Aug'03 "/>
      <sheetName val="Ex^Total-Aug'03 "/>
      <sheetName val="Highlights-Aug'03 "/>
      <sheetName val="FKLI-Sept'03"/>
      <sheetName val="OKLI-Sept'03"/>
      <sheetName val="CPO-Sept'03"/>
      <sheetName val="KLIBOR-Sept'03"/>
      <sheetName val="FMG5-Sept'03"/>
      <sheetName val="FMG3-Sept'03"/>
      <sheetName val="FMGA-Sept'03"/>
      <sheetName val="Ex^Total-Sept'03"/>
      <sheetName val="Highlights-Sept'03"/>
      <sheetName val="FKLI-Oct'03 "/>
      <sheetName val="OKLI-Oct'03"/>
      <sheetName val="CPO-Oct'03"/>
      <sheetName val="KLIBOR-Oct'03"/>
      <sheetName val="FMG5-Oct'03"/>
      <sheetName val="FMG3-Oct'03 "/>
      <sheetName val="FMGA-Oct'03"/>
      <sheetName val="Ex^Total-Oct'03"/>
      <sheetName val="Highlights-Oct'03 "/>
      <sheetName val="FKLI-Nov'03"/>
      <sheetName val="OKLI-Nov'03"/>
      <sheetName val="CPO-Nov'03"/>
      <sheetName val="KLIBOR-Nov'03"/>
      <sheetName val="FMG5-Nov'03"/>
      <sheetName val="FMG3-Nov'03"/>
      <sheetName val="FMGA-Nov'03"/>
      <sheetName val="Ex^Total-Nov'03"/>
      <sheetName val="Highlights-Nov'03"/>
      <sheetName val="FKLI-Dec'03 "/>
      <sheetName val="OKLI-Dec'03 "/>
      <sheetName val="CPO-Dec'03 "/>
      <sheetName val="KLIBOR-Dec'03 "/>
      <sheetName val="FMG5-Dec'03 "/>
      <sheetName val="FMG3-Dec'03 "/>
      <sheetName val="FMGA-Dec'03 "/>
      <sheetName val="Ex^Total-Dec'03 "/>
      <sheetName val="Highlights-Dec'03 "/>
      <sheetName val="FKLI-Jan'04"/>
      <sheetName val="OKLI-Jan'04"/>
      <sheetName val="CPO-Jan'04"/>
      <sheetName val="KLIBOR-Jan'04"/>
      <sheetName val="FMG5-Jan'04"/>
      <sheetName val="FMG3-Jan'04"/>
      <sheetName val="FMGA-Jan'04"/>
      <sheetName val="Ex^Total-Jan'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>
        <row r="27">
          <cell r="B27">
            <v>2825</v>
          </cell>
          <cell r="I27">
            <v>0</v>
          </cell>
          <cell r="J27">
            <v>0</v>
          </cell>
        </row>
      </sheetData>
      <sheetData sheetId="275" refreshError="1">
        <row r="27">
          <cell r="B27">
            <v>0</v>
          </cell>
          <cell r="C27">
            <v>0</v>
          </cell>
        </row>
      </sheetData>
      <sheetData sheetId="276" refreshError="1">
        <row r="27">
          <cell r="B27">
            <v>1310</v>
          </cell>
          <cell r="C27">
            <v>0</v>
          </cell>
          <cell r="D27">
            <v>0</v>
          </cell>
          <cell r="E27">
            <v>0</v>
          </cell>
        </row>
      </sheetData>
      <sheetData sheetId="277" refreshError="1">
        <row r="27">
          <cell r="B27">
            <v>1120</v>
          </cell>
          <cell r="C27">
            <v>0</v>
          </cell>
          <cell r="D27">
            <v>0</v>
          </cell>
          <cell r="E27">
            <v>0</v>
          </cell>
        </row>
      </sheetData>
      <sheetData sheetId="278" refreshError="1"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</sheetData>
      <sheetData sheetId="27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LI"/>
      <sheetName val="OKLI"/>
      <sheetName val="FKLI 5d-Volatility"/>
      <sheetName val="FCPO"/>
      <sheetName val="FCPO 5d-Volatility"/>
      <sheetName val="FKB3"/>
      <sheetName val="FKB3 5d-Volatility"/>
      <sheetName val="FMG5"/>
      <sheetName val="FMG3"/>
      <sheetName val="FMGA"/>
      <sheetName val="Ex_Total"/>
    </sheetNames>
    <sheetDataSet>
      <sheetData sheetId="0">
        <row r="1">
          <cell r="B1" t="str">
            <v>KLSE CI</v>
          </cell>
          <cell r="C1" t="str">
            <v>FKLI</v>
          </cell>
          <cell r="D1" t="str">
            <v>Volume</v>
          </cell>
          <cell r="E1" t="str">
            <v>Open Position</v>
          </cell>
        </row>
        <row r="1353">
          <cell r="A1353">
            <v>37055</v>
          </cell>
          <cell r="B1353">
            <v>598.72</v>
          </cell>
          <cell r="C1353">
            <v>588</v>
          </cell>
          <cell r="D1353">
            <v>1244</v>
          </cell>
          <cell r="E1353">
            <v>2723</v>
          </cell>
        </row>
        <row r="1354">
          <cell r="A1354">
            <v>37056</v>
          </cell>
          <cell r="B1354">
            <v>600.86</v>
          </cell>
          <cell r="C1354">
            <v>587.6</v>
          </cell>
          <cell r="D1354">
            <v>1505</v>
          </cell>
          <cell r="E1354">
            <v>2635</v>
          </cell>
        </row>
        <row r="1355">
          <cell r="A1355">
            <v>37057</v>
          </cell>
          <cell r="B1355">
            <v>589.41999999999996</v>
          </cell>
          <cell r="C1355">
            <v>580</v>
          </cell>
          <cell r="D1355">
            <v>1057</v>
          </cell>
          <cell r="E1355">
            <v>2748</v>
          </cell>
        </row>
        <row r="1356">
          <cell r="A1356">
            <v>37060</v>
          </cell>
          <cell r="B1356">
            <v>584.82000000000005</v>
          </cell>
          <cell r="C1356">
            <v>582.6</v>
          </cell>
          <cell r="D1356">
            <v>668</v>
          </cell>
          <cell r="E1356">
            <v>2721</v>
          </cell>
        </row>
        <row r="1357">
          <cell r="A1357">
            <v>37061</v>
          </cell>
          <cell r="B1357">
            <v>589.92999999999995</v>
          </cell>
          <cell r="C1357">
            <v>591.5</v>
          </cell>
          <cell r="D1357">
            <v>1101</v>
          </cell>
          <cell r="E1357">
            <v>2852</v>
          </cell>
        </row>
        <row r="1358">
          <cell r="A1358">
            <v>37062</v>
          </cell>
          <cell r="B1358">
            <v>586.11</v>
          </cell>
          <cell r="C1358">
            <v>582.5</v>
          </cell>
          <cell r="D1358">
            <v>768</v>
          </cell>
          <cell r="E1358">
            <v>2836</v>
          </cell>
        </row>
        <row r="1359">
          <cell r="A1359">
            <v>37063</v>
          </cell>
          <cell r="B1359">
            <v>592</v>
          </cell>
          <cell r="C1359">
            <v>587</v>
          </cell>
          <cell r="D1359">
            <v>642</v>
          </cell>
          <cell r="E1359">
            <v>2873</v>
          </cell>
        </row>
        <row r="1360">
          <cell r="A1360">
            <v>37064</v>
          </cell>
          <cell r="B1360">
            <v>587.89</v>
          </cell>
          <cell r="C1360">
            <v>585</v>
          </cell>
          <cell r="D1360">
            <v>353</v>
          </cell>
          <cell r="E1360">
            <v>2869</v>
          </cell>
        </row>
        <row r="1361">
          <cell r="A1361">
            <v>37067</v>
          </cell>
          <cell r="B1361">
            <v>590.42999999999995</v>
          </cell>
          <cell r="C1361">
            <v>588</v>
          </cell>
          <cell r="D1361">
            <v>347</v>
          </cell>
          <cell r="E1361">
            <v>2871</v>
          </cell>
        </row>
        <row r="1362">
          <cell r="A1362">
            <v>37068</v>
          </cell>
          <cell r="B1362">
            <v>595.24</v>
          </cell>
          <cell r="C1362">
            <v>594.4</v>
          </cell>
          <cell r="D1362">
            <v>1620</v>
          </cell>
          <cell r="E1362">
            <v>2951</v>
          </cell>
        </row>
        <row r="1363">
          <cell r="A1363">
            <v>37069</v>
          </cell>
          <cell r="B1363">
            <v>590.65</v>
          </cell>
          <cell r="C1363">
            <v>588.70000000000005</v>
          </cell>
          <cell r="D1363">
            <v>1317</v>
          </cell>
          <cell r="E1363">
            <v>2857</v>
          </cell>
        </row>
        <row r="1364">
          <cell r="A1364">
            <v>37070</v>
          </cell>
          <cell r="B1364">
            <v>586.96</v>
          </cell>
          <cell r="C1364">
            <v>583.29999999999995</v>
          </cell>
          <cell r="D1364">
            <v>1528</v>
          </cell>
          <cell r="E1364">
            <v>2992</v>
          </cell>
        </row>
        <row r="1365">
          <cell r="A1365">
            <v>37071</v>
          </cell>
          <cell r="B1365">
            <v>592.99</v>
          </cell>
          <cell r="C1365">
            <v>593.1</v>
          </cell>
          <cell r="D1365">
            <v>1703</v>
          </cell>
          <cell r="E1365">
            <v>1854</v>
          </cell>
        </row>
        <row r="1366">
          <cell r="A1366">
            <v>37074</v>
          </cell>
          <cell r="B1366">
            <v>586.25</v>
          </cell>
          <cell r="C1366">
            <v>589.70000000000005</v>
          </cell>
          <cell r="D1366">
            <v>864</v>
          </cell>
          <cell r="E1366">
            <v>2002</v>
          </cell>
        </row>
        <row r="1367">
          <cell r="A1367">
            <v>37075</v>
          </cell>
          <cell r="B1367">
            <v>591.17999999999995</v>
          </cell>
          <cell r="C1367">
            <v>595.29999999999995</v>
          </cell>
          <cell r="D1367">
            <v>612</v>
          </cell>
          <cell r="E1367">
            <v>2056</v>
          </cell>
        </row>
        <row r="1368">
          <cell r="A1368">
            <v>37076</v>
          </cell>
          <cell r="B1368">
            <v>598.14</v>
          </cell>
          <cell r="C1368">
            <v>605</v>
          </cell>
          <cell r="D1368">
            <v>1302</v>
          </cell>
          <cell r="E1368">
            <v>2087</v>
          </cell>
        </row>
        <row r="1369">
          <cell r="A1369">
            <v>37077</v>
          </cell>
          <cell r="B1369">
            <v>617.14</v>
          </cell>
          <cell r="C1369">
            <v>621.5</v>
          </cell>
          <cell r="D1369">
            <v>1863</v>
          </cell>
          <cell r="E1369">
            <v>2054</v>
          </cell>
        </row>
        <row r="1370">
          <cell r="A1370">
            <v>37078</v>
          </cell>
          <cell r="B1370">
            <v>626.80999999999995</v>
          </cell>
          <cell r="C1370">
            <v>618.4</v>
          </cell>
          <cell r="D1370">
            <v>2156</v>
          </cell>
          <cell r="E1370">
            <v>2175</v>
          </cell>
        </row>
        <row r="1371">
          <cell r="A1371">
            <v>37081</v>
          </cell>
          <cell r="B1371">
            <v>627.70000000000005</v>
          </cell>
          <cell r="C1371">
            <v>618.4</v>
          </cell>
          <cell r="D1371">
            <v>928</v>
          </cell>
          <cell r="E1371">
            <v>2166</v>
          </cell>
        </row>
        <row r="1372">
          <cell r="A1372">
            <v>37082</v>
          </cell>
          <cell r="B1372">
            <v>626.23</v>
          </cell>
          <cell r="C1372">
            <v>623.79999999999995</v>
          </cell>
          <cell r="D1372">
            <v>847</v>
          </cell>
          <cell r="E1372">
            <v>2221</v>
          </cell>
        </row>
        <row r="1373">
          <cell r="A1373">
            <v>37083</v>
          </cell>
          <cell r="B1373">
            <v>618.01</v>
          </cell>
          <cell r="C1373">
            <v>614</v>
          </cell>
          <cell r="D1373">
            <v>1185</v>
          </cell>
          <cell r="E1373">
            <v>2273</v>
          </cell>
        </row>
        <row r="1374">
          <cell r="A1374">
            <v>37084</v>
          </cell>
          <cell r="B1374">
            <v>609.83000000000004</v>
          </cell>
          <cell r="C1374">
            <v>615.70000000000005</v>
          </cell>
          <cell r="D1374">
            <v>680</v>
          </cell>
          <cell r="E1374">
            <v>2356</v>
          </cell>
        </row>
        <row r="1375">
          <cell r="A1375">
            <v>37085</v>
          </cell>
          <cell r="B1375">
            <v>621.03</v>
          </cell>
          <cell r="C1375">
            <v>621.5</v>
          </cell>
          <cell r="D1375">
            <v>978</v>
          </cell>
          <cell r="E1375">
            <v>2371</v>
          </cell>
        </row>
        <row r="1376">
          <cell r="A1376">
            <v>37088</v>
          </cell>
          <cell r="B1376">
            <v>631.1</v>
          </cell>
          <cell r="C1376">
            <v>630.5</v>
          </cell>
          <cell r="D1376">
            <v>986</v>
          </cell>
          <cell r="E1376">
            <v>2361</v>
          </cell>
        </row>
        <row r="1377">
          <cell r="A1377">
            <v>37089</v>
          </cell>
          <cell r="B1377">
            <v>637.4</v>
          </cell>
          <cell r="C1377">
            <v>635</v>
          </cell>
          <cell r="D1377">
            <v>899</v>
          </cell>
          <cell r="E1377">
            <v>2404</v>
          </cell>
        </row>
        <row r="1378">
          <cell r="A1378">
            <v>37090</v>
          </cell>
          <cell r="B1378">
            <v>644.79999999999995</v>
          </cell>
          <cell r="C1378">
            <v>644.79999999999995</v>
          </cell>
          <cell r="D1378">
            <v>1153</v>
          </cell>
          <cell r="E1378">
            <v>2326</v>
          </cell>
        </row>
        <row r="1379">
          <cell r="A1379">
            <v>37091</v>
          </cell>
          <cell r="B1379">
            <v>649.49</v>
          </cell>
          <cell r="C1379">
            <v>646.5</v>
          </cell>
          <cell r="D1379">
            <v>1943</v>
          </cell>
          <cell r="E1379">
            <v>2313</v>
          </cell>
        </row>
        <row r="1380">
          <cell r="A1380">
            <v>37092</v>
          </cell>
          <cell r="B1380">
            <v>648.78</v>
          </cell>
          <cell r="C1380">
            <v>648.5</v>
          </cell>
          <cell r="D1380">
            <v>1078</v>
          </cell>
          <cell r="E1380">
            <v>2352</v>
          </cell>
        </row>
        <row r="1381">
          <cell r="A1381">
            <v>37095</v>
          </cell>
          <cell r="B1381">
            <v>637.33000000000004</v>
          </cell>
          <cell r="C1381">
            <v>642</v>
          </cell>
          <cell r="D1381">
            <v>1275</v>
          </cell>
          <cell r="E1381">
            <v>2439</v>
          </cell>
        </row>
        <row r="1382">
          <cell r="A1382">
            <v>37096</v>
          </cell>
          <cell r="B1382">
            <v>636.59</v>
          </cell>
          <cell r="C1382">
            <v>646.5</v>
          </cell>
          <cell r="D1382">
            <v>1878</v>
          </cell>
          <cell r="E1382">
            <v>2671</v>
          </cell>
        </row>
        <row r="1383">
          <cell r="A1383">
            <v>37097</v>
          </cell>
          <cell r="B1383">
            <v>643.77</v>
          </cell>
          <cell r="C1383">
            <v>650.79999999999995</v>
          </cell>
          <cell r="D1383">
            <v>1797</v>
          </cell>
          <cell r="E1383">
            <v>2799</v>
          </cell>
        </row>
        <row r="1384">
          <cell r="A1384">
            <v>37098</v>
          </cell>
          <cell r="B1384">
            <v>642.79</v>
          </cell>
          <cell r="C1384">
            <v>647</v>
          </cell>
          <cell r="D1384">
            <v>1413</v>
          </cell>
          <cell r="E1384">
            <v>2900</v>
          </cell>
        </row>
        <row r="1385">
          <cell r="A1385">
            <v>37099</v>
          </cell>
          <cell r="B1385">
            <v>646.33000000000004</v>
          </cell>
          <cell r="C1385">
            <v>651.5</v>
          </cell>
          <cell r="D1385">
            <v>1003</v>
          </cell>
          <cell r="E1385">
            <v>2853</v>
          </cell>
        </row>
        <row r="1386">
          <cell r="A1386">
            <v>37102</v>
          </cell>
          <cell r="B1386">
            <v>657.51</v>
          </cell>
          <cell r="C1386">
            <v>659.5</v>
          </cell>
          <cell r="D1386">
            <v>1866</v>
          </cell>
          <cell r="E1386">
            <v>2722</v>
          </cell>
        </row>
        <row r="1387">
          <cell r="A1387">
            <v>37103</v>
          </cell>
          <cell r="B1387">
            <v>659.4</v>
          </cell>
          <cell r="C1387">
            <v>658.7</v>
          </cell>
          <cell r="D1387">
            <v>1781</v>
          </cell>
          <cell r="E1387">
            <v>2053</v>
          </cell>
        </row>
        <row r="1388">
          <cell r="A1388">
            <v>37104</v>
          </cell>
          <cell r="B1388">
            <v>662.96</v>
          </cell>
          <cell r="C1388">
            <v>676.5</v>
          </cell>
          <cell r="D1388">
            <v>1049</v>
          </cell>
          <cell r="E1388">
            <v>2055</v>
          </cell>
        </row>
        <row r="1389">
          <cell r="A1389">
            <v>37105</v>
          </cell>
          <cell r="B1389">
            <v>661.65</v>
          </cell>
          <cell r="C1389">
            <v>673.5</v>
          </cell>
          <cell r="D1389">
            <v>1116</v>
          </cell>
          <cell r="E1389">
            <v>2183</v>
          </cell>
        </row>
        <row r="1390">
          <cell r="A1390">
            <v>37106</v>
          </cell>
          <cell r="B1390">
            <v>659.25</v>
          </cell>
          <cell r="C1390">
            <v>671.2</v>
          </cell>
          <cell r="D1390">
            <v>791</v>
          </cell>
          <cell r="E1390">
            <v>2274</v>
          </cell>
        </row>
        <row r="1391">
          <cell r="A1391">
            <v>37109</v>
          </cell>
          <cell r="B1391">
            <v>654.02</v>
          </cell>
          <cell r="C1391">
            <v>666</v>
          </cell>
          <cell r="D1391">
            <v>665</v>
          </cell>
          <cell r="E1391">
            <v>2373</v>
          </cell>
        </row>
        <row r="1392">
          <cell r="A1392">
            <v>37110</v>
          </cell>
          <cell r="B1392">
            <v>657.65</v>
          </cell>
          <cell r="C1392">
            <v>667.2</v>
          </cell>
          <cell r="D1392">
            <v>826</v>
          </cell>
          <cell r="E1392">
            <v>2488</v>
          </cell>
        </row>
        <row r="1393">
          <cell r="A1393">
            <v>37111</v>
          </cell>
          <cell r="B1393">
            <v>656.82</v>
          </cell>
          <cell r="C1393">
            <v>667.2</v>
          </cell>
          <cell r="D1393">
            <v>677</v>
          </cell>
          <cell r="E1393">
            <v>2468</v>
          </cell>
        </row>
        <row r="1394">
          <cell r="A1394">
            <v>37112</v>
          </cell>
          <cell r="B1394">
            <v>652.09</v>
          </cell>
          <cell r="C1394">
            <v>653.9</v>
          </cell>
          <cell r="D1394">
            <v>780</v>
          </cell>
          <cell r="E1394">
            <v>2544</v>
          </cell>
        </row>
        <row r="1395">
          <cell r="A1395">
            <v>37113</v>
          </cell>
          <cell r="B1395">
            <v>648.05999999999995</v>
          </cell>
          <cell r="C1395">
            <v>653.1</v>
          </cell>
          <cell r="D1395">
            <v>890</v>
          </cell>
          <cell r="E1395">
            <v>2627</v>
          </cell>
        </row>
        <row r="1396">
          <cell r="A1396">
            <v>37116</v>
          </cell>
          <cell r="B1396">
            <v>648.32000000000005</v>
          </cell>
          <cell r="C1396">
            <v>648</v>
          </cell>
          <cell r="D1396">
            <v>626</v>
          </cell>
          <cell r="E1396">
            <v>2616</v>
          </cell>
        </row>
        <row r="1397">
          <cell r="A1397">
            <v>37117</v>
          </cell>
          <cell r="B1397">
            <v>657.72</v>
          </cell>
          <cell r="C1397">
            <v>667.5</v>
          </cell>
          <cell r="D1397">
            <v>1358</v>
          </cell>
          <cell r="E1397">
            <v>2466</v>
          </cell>
        </row>
        <row r="1398">
          <cell r="A1398">
            <v>37118</v>
          </cell>
          <cell r="B1398">
            <v>656.26</v>
          </cell>
          <cell r="C1398">
            <v>660.9</v>
          </cell>
          <cell r="D1398">
            <v>1344</v>
          </cell>
          <cell r="E1398">
            <v>2467</v>
          </cell>
        </row>
        <row r="1399">
          <cell r="A1399">
            <v>37119</v>
          </cell>
          <cell r="B1399">
            <v>655.15</v>
          </cell>
          <cell r="C1399">
            <v>658</v>
          </cell>
          <cell r="D1399">
            <v>694</v>
          </cell>
          <cell r="E1399">
            <v>2485</v>
          </cell>
        </row>
        <row r="1400">
          <cell r="A1400">
            <v>37120</v>
          </cell>
          <cell r="B1400">
            <v>655.76</v>
          </cell>
          <cell r="C1400">
            <v>661.8</v>
          </cell>
          <cell r="D1400">
            <v>573</v>
          </cell>
          <cell r="E1400">
            <v>2467</v>
          </cell>
        </row>
        <row r="1401">
          <cell r="A1401">
            <v>37123</v>
          </cell>
          <cell r="B1401">
            <v>654.41999999999996</v>
          </cell>
          <cell r="C1401">
            <v>660.5</v>
          </cell>
          <cell r="D1401">
            <v>362</v>
          </cell>
          <cell r="E1401">
            <v>2486</v>
          </cell>
        </row>
        <row r="1402">
          <cell r="A1402">
            <v>37124</v>
          </cell>
          <cell r="B1402">
            <v>653.77</v>
          </cell>
          <cell r="C1402">
            <v>659.3</v>
          </cell>
          <cell r="D1402">
            <v>286</v>
          </cell>
          <cell r="E1402">
            <v>2482</v>
          </cell>
        </row>
        <row r="1403">
          <cell r="A1403">
            <v>37125</v>
          </cell>
          <cell r="B1403">
            <v>657.11</v>
          </cell>
          <cell r="C1403">
            <v>666</v>
          </cell>
          <cell r="D1403">
            <v>835</v>
          </cell>
          <cell r="E1403">
            <v>2605</v>
          </cell>
        </row>
        <row r="1404">
          <cell r="A1404">
            <v>37126</v>
          </cell>
          <cell r="B1404">
            <v>669.86</v>
          </cell>
          <cell r="C1404">
            <v>672</v>
          </cell>
          <cell r="D1404">
            <v>1223</v>
          </cell>
          <cell r="E1404">
            <v>2480</v>
          </cell>
        </row>
        <row r="1405">
          <cell r="A1405">
            <v>37127</v>
          </cell>
          <cell r="B1405">
            <v>682.87</v>
          </cell>
          <cell r="C1405">
            <v>685.5</v>
          </cell>
          <cell r="D1405">
            <v>1974</v>
          </cell>
          <cell r="E1405">
            <v>2363</v>
          </cell>
        </row>
        <row r="1406">
          <cell r="A1406">
            <v>37130</v>
          </cell>
          <cell r="B1406">
            <v>694.22</v>
          </cell>
          <cell r="C1406">
            <v>692.8</v>
          </cell>
          <cell r="D1406">
            <v>1721</v>
          </cell>
          <cell r="E1406">
            <v>2401</v>
          </cell>
        </row>
        <row r="1407">
          <cell r="A1407">
            <v>37131</v>
          </cell>
          <cell r="B1407">
            <v>691.47</v>
          </cell>
          <cell r="C1407">
            <v>687.5</v>
          </cell>
          <cell r="D1407">
            <v>1447</v>
          </cell>
          <cell r="E1407">
            <v>2514</v>
          </cell>
        </row>
        <row r="1408">
          <cell r="A1408">
            <v>37132</v>
          </cell>
          <cell r="B1408">
            <v>689.05</v>
          </cell>
          <cell r="C1408">
            <v>687.8</v>
          </cell>
          <cell r="D1408">
            <v>1469</v>
          </cell>
          <cell r="E1408">
            <v>2519</v>
          </cell>
        </row>
        <row r="1409">
          <cell r="A1409">
            <v>37133</v>
          </cell>
          <cell r="B1409">
            <v>687.16</v>
          </cell>
          <cell r="C1409">
            <v>685.5</v>
          </cell>
          <cell r="D1409">
            <v>1011</v>
          </cell>
          <cell r="E1409">
            <v>1741</v>
          </cell>
        </row>
        <row r="1410">
          <cell r="A1410">
            <v>37137</v>
          </cell>
          <cell r="B1410">
            <v>690.45</v>
          </cell>
          <cell r="C1410">
            <v>700.6</v>
          </cell>
          <cell r="D1410">
            <v>970</v>
          </cell>
          <cell r="E1410">
            <v>1995</v>
          </cell>
        </row>
        <row r="1411">
          <cell r="A1411">
            <v>37138</v>
          </cell>
          <cell r="B1411">
            <v>687.73</v>
          </cell>
          <cell r="C1411">
            <v>696</v>
          </cell>
          <cell r="D1411">
            <v>1002</v>
          </cell>
          <cell r="E1411">
            <v>2000</v>
          </cell>
        </row>
        <row r="1412">
          <cell r="A1412">
            <v>37139</v>
          </cell>
          <cell r="B1412">
            <v>688.9</v>
          </cell>
          <cell r="C1412">
            <v>695.5</v>
          </cell>
          <cell r="D1412">
            <v>676</v>
          </cell>
          <cell r="E1412">
            <v>2061</v>
          </cell>
        </row>
        <row r="1413">
          <cell r="A1413">
            <v>37140</v>
          </cell>
          <cell r="B1413">
            <v>688</v>
          </cell>
          <cell r="C1413">
            <v>693</v>
          </cell>
          <cell r="D1413">
            <v>441</v>
          </cell>
          <cell r="E1413">
            <v>2133</v>
          </cell>
        </row>
        <row r="1414">
          <cell r="A1414">
            <v>37141</v>
          </cell>
          <cell r="B1414">
            <v>696.65</v>
          </cell>
          <cell r="C1414">
            <v>707</v>
          </cell>
          <cell r="D1414">
            <v>1558</v>
          </cell>
          <cell r="E1414">
            <v>2170</v>
          </cell>
        </row>
        <row r="1415">
          <cell r="A1415">
            <v>37144</v>
          </cell>
          <cell r="B1415">
            <v>695.28</v>
          </cell>
          <cell r="C1415">
            <v>707.9</v>
          </cell>
          <cell r="D1415">
            <v>849</v>
          </cell>
          <cell r="E1415">
            <v>2218</v>
          </cell>
        </row>
        <row r="1416">
          <cell r="A1416">
            <v>37145</v>
          </cell>
          <cell r="B1416">
            <v>690.54</v>
          </cell>
          <cell r="C1416">
            <v>701</v>
          </cell>
          <cell r="D1416">
            <v>607</v>
          </cell>
          <cell r="E1416">
            <v>2246</v>
          </cell>
        </row>
        <row r="1417">
          <cell r="A1417">
            <v>37147</v>
          </cell>
          <cell r="B1417">
            <v>664.52</v>
          </cell>
          <cell r="C1417">
            <v>672.6</v>
          </cell>
          <cell r="D1417">
            <v>1988</v>
          </cell>
          <cell r="E1417">
            <v>2285</v>
          </cell>
        </row>
        <row r="1418">
          <cell r="A1418">
            <v>37148</v>
          </cell>
          <cell r="B1418">
            <v>644.53</v>
          </cell>
          <cell r="C1418">
            <v>645.6</v>
          </cell>
          <cell r="D1418">
            <v>2140</v>
          </cell>
          <cell r="E1418">
            <v>2224</v>
          </cell>
        </row>
        <row r="1419">
          <cell r="A1419">
            <v>37151</v>
          </cell>
          <cell r="B1419">
            <v>609</v>
          </cell>
          <cell r="C1419">
            <v>612</v>
          </cell>
          <cell r="D1419">
            <v>2133</v>
          </cell>
          <cell r="E1419">
            <v>2641</v>
          </cell>
        </row>
        <row r="1420">
          <cell r="A1420">
            <v>37152</v>
          </cell>
          <cell r="B1420">
            <v>607.64</v>
          </cell>
          <cell r="C1420">
            <v>601.9</v>
          </cell>
          <cell r="D1420">
            <v>2488</v>
          </cell>
          <cell r="E1420">
            <v>2386</v>
          </cell>
        </row>
        <row r="1421">
          <cell r="A1421">
            <v>37153</v>
          </cell>
          <cell r="B1421">
            <v>633.52</v>
          </cell>
          <cell r="C1421">
            <v>627.9</v>
          </cell>
          <cell r="D1421">
            <v>1859</v>
          </cell>
          <cell r="E1421">
            <v>2633</v>
          </cell>
        </row>
        <row r="1422">
          <cell r="A1422">
            <v>37154</v>
          </cell>
          <cell r="B1422">
            <v>629.74</v>
          </cell>
          <cell r="C1422">
            <v>622.5</v>
          </cell>
          <cell r="D1422">
            <v>1457</v>
          </cell>
          <cell r="E1422">
            <v>2631</v>
          </cell>
        </row>
        <row r="1423">
          <cell r="A1423">
            <v>37155</v>
          </cell>
          <cell r="B1423">
            <v>607.91</v>
          </cell>
          <cell r="C1423">
            <v>601.1</v>
          </cell>
          <cell r="D1423">
            <v>1654</v>
          </cell>
          <cell r="E1423">
            <v>2634</v>
          </cell>
        </row>
        <row r="1424">
          <cell r="A1424">
            <v>37158</v>
          </cell>
          <cell r="B1424">
            <v>605.44000000000005</v>
          </cell>
          <cell r="C1424">
            <v>612</v>
          </cell>
          <cell r="D1424">
            <v>2302</v>
          </cell>
          <cell r="E1424">
            <v>2898</v>
          </cell>
        </row>
        <row r="1425">
          <cell r="A1425">
            <v>37159</v>
          </cell>
          <cell r="B1425">
            <v>605.95000000000005</v>
          </cell>
          <cell r="C1425">
            <v>603.6</v>
          </cell>
          <cell r="D1425">
            <v>2384</v>
          </cell>
          <cell r="E1425">
            <v>3138</v>
          </cell>
        </row>
        <row r="1426">
          <cell r="A1426">
            <v>37160</v>
          </cell>
          <cell r="B1426">
            <v>602.51</v>
          </cell>
          <cell r="C1426">
            <v>604.5</v>
          </cell>
          <cell r="D1426">
            <v>1761</v>
          </cell>
          <cell r="E1426">
            <v>3534</v>
          </cell>
        </row>
        <row r="1427">
          <cell r="A1427">
            <v>37161</v>
          </cell>
          <cell r="B1427">
            <v>612.64</v>
          </cell>
          <cell r="C1427">
            <v>613.5</v>
          </cell>
          <cell r="D1427">
            <v>1215</v>
          </cell>
          <cell r="E1427">
            <v>3511</v>
          </cell>
        </row>
        <row r="1428">
          <cell r="A1428">
            <v>37162</v>
          </cell>
          <cell r="B1428">
            <v>615.34</v>
          </cell>
          <cell r="C1428">
            <v>614.70000000000005</v>
          </cell>
          <cell r="D1428">
            <v>1456</v>
          </cell>
          <cell r="E1428">
            <v>1870</v>
          </cell>
        </row>
        <row r="1429">
          <cell r="A1429">
            <v>37165</v>
          </cell>
          <cell r="B1429">
            <v>613.95000000000005</v>
          </cell>
          <cell r="C1429">
            <v>608.1</v>
          </cell>
          <cell r="D1429">
            <v>504</v>
          </cell>
          <cell r="E1429">
            <v>1947</v>
          </cell>
        </row>
        <row r="1430">
          <cell r="A1430">
            <v>37166</v>
          </cell>
          <cell r="B1430">
            <v>616.74</v>
          </cell>
          <cell r="C1430">
            <v>612.5</v>
          </cell>
          <cell r="D1430">
            <v>605</v>
          </cell>
          <cell r="E1430">
            <v>2012</v>
          </cell>
        </row>
        <row r="1431">
          <cell r="A1431">
            <v>37167</v>
          </cell>
          <cell r="B1431">
            <v>610.5</v>
          </cell>
          <cell r="C1431">
            <v>610.5</v>
          </cell>
          <cell r="D1431">
            <v>724</v>
          </cell>
          <cell r="E1431">
            <v>2021</v>
          </cell>
        </row>
        <row r="1432">
          <cell r="A1432">
            <v>37168</v>
          </cell>
          <cell r="B1432">
            <v>611.04999999999995</v>
          </cell>
          <cell r="C1432">
            <v>613.70000000000005</v>
          </cell>
          <cell r="D1432">
            <v>1055</v>
          </cell>
          <cell r="E1432">
            <v>2075</v>
          </cell>
        </row>
        <row r="1433">
          <cell r="A1433">
            <v>37169</v>
          </cell>
          <cell r="B1433">
            <v>609</v>
          </cell>
          <cell r="C1433">
            <v>612.5</v>
          </cell>
          <cell r="D1433">
            <v>678</v>
          </cell>
          <cell r="E1433">
            <v>2173</v>
          </cell>
        </row>
        <row r="1434">
          <cell r="A1434">
            <v>37172</v>
          </cell>
          <cell r="B1434">
            <v>599.77</v>
          </cell>
          <cell r="C1434">
            <v>591.79999999999995</v>
          </cell>
          <cell r="D1434">
            <v>1547</v>
          </cell>
          <cell r="E1434">
            <v>2280</v>
          </cell>
        </row>
        <row r="1435">
          <cell r="A1435">
            <v>37173</v>
          </cell>
          <cell r="B1435">
            <v>609.66</v>
          </cell>
          <cell r="C1435">
            <v>606.70000000000005</v>
          </cell>
          <cell r="D1435">
            <v>1067</v>
          </cell>
          <cell r="E1435">
            <v>2355</v>
          </cell>
        </row>
        <row r="1436">
          <cell r="A1436">
            <v>37174</v>
          </cell>
          <cell r="B1436">
            <v>603.9</v>
          </cell>
          <cell r="C1436">
            <v>601.5</v>
          </cell>
          <cell r="D1436">
            <v>1069</v>
          </cell>
          <cell r="E1436">
            <v>2503</v>
          </cell>
        </row>
        <row r="1437">
          <cell r="A1437">
            <v>37175</v>
          </cell>
          <cell r="B1437">
            <v>609.39</v>
          </cell>
          <cell r="C1437">
            <v>609</v>
          </cell>
          <cell r="D1437">
            <v>976</v>
          </cell>
          <cell r="E1437">
            <v>2467</v>
          </cell>
        </row>
        <row r="1438">
          <cell r="A1438">
            <v>37176</v>
          </cell>
          <cell r="B1438">
            <v>611.32000000000005</v>
          </cell>
          <cell r="C1438">
            <v>606.6</v>
          </cell>
          <cell r="D1438">
            <v>835</v>
          </cell>
          <cell r="E1438">
            <v>2405</v>
          </cell>
        </row>
        <row r="1439">
          <cell r="A1439">
            <v>37179</v>
          </cell>
          <cell r="B1439">
            <v>618.9</v>
          </cell>
          <cell r="C1439">
            <v>614</v>
          </cell>
          <cell r="D1439">
            <v>572</v>
          </cell>
          <cell r="E1439">
            <v>2440</v>
          </cell>
        </row>
        <row r="1440">
          <cell r="A1440">
            <v>37180</v>
          </cell>
          <cell r="B1440">
            <v>616.85</v>
          </cell>
          <cell r="C1440">
            <v>615.6</v>
          </cell>
          <cell r="D1440">
            <v>1112</v>
          </cell>
          <cell r="E1440">
            <v>2465</v>
          </cell>
        </row>
        <row r="1441">
          <cell r="A1441">
            <v>37181</v>
          </cell>
          <cell r="B1441">
            <v>621.58000000000004</v>
          </cell>
          <cell r="C1441">
            <v>623</v>
          </cell>
          <cell r="D1441">
            <v>587</v>
          </cell>
          <cell r="E1441">
            <v>2533</v>
          </cell>
        </row>
        <row r="1442">
          <cell r="A1442">
            <v>37182</v>
          </cell>
          <cell r="B1442">
            <v>620.77</v>
          </cell>
          <cell r="C1442">
            <v>616.20000000000005</v>
          </cell>
          <cell r="D1442">
            <v>557</v>
          </cell>
          <cell r="E1442">
            <v>2552</v>
          </cell>
        </row>
        <row r="1443">
          <cell r="A1443">
            <v>37183</v>
          </cell>
          <cell r="B1443">
            <v>615.02</v>
          </cell>
          <cell r="C1443">
            <v>609.1</v>
          </cell>
          <cell r="D1443">
            <v>1024</v>
          </cell>
          <cell r="E1443">
            <v>2660</v>
          </cell>
        </row>
        <row r="1444">
          <cell r="A1444">
            <v>37186</v>
          </cell>
          <cell r="B1444">
            <v>609.09</v>
          </cell>
          <cell r="C1444">
            <v>605.20000000000005</v>
          </cell>
          <cell r="D1444">
            <v>468</v>
          </cell>
          <cell r="E1444">
            <v>2579</v>
          </cell>
        </row>
        <row r="1445">
          <cell r="A1445">
            <v>37187</v>
          </cell>
          <cell r="B1445">
            <v>613.62</v>
          </cell>
          <cell r="C1445">
            <v>611</v>
          </cell>
          <cell r="D1445">
            <v>624</v>
          </cell>
          <cell r="E1445">
            <v>2514</v>
          </cell>
        </row>
        <row r="1446">
          <cell r="A1446">
            <v>37188</v>
          </cell>
          <cell r="B1446">
            <v>616.4</v>
          </cell>
          <cell r="C1446">
            <v>614.6</v>
          </cell>
          <cell r="D1446">
            <v>687</v>
          </cell>
          <cell r="E1446">
            <v>2539</v>
          </cell>
        </row>
        <row r="1447">
          <cell r="A1447">
            <v>37189</v>
          </cell>
          <cell r="B1447">
            <v>615.11</v>
          </cell>
          <cell r="C1447">
            <v>612.6</v>
          </cell>
          <cell r="D1447">
            <v>665</v>
          </cell>
          <cell r="E1447">
            <v>2561</v>
          </cell>
        </row>
        <row r="1448">
          <cell r="A1448">
            <v>37190</v>
          </cell>
          <cell r="B1448">
            <v>612.41</v>
          </cell>
          <cell r="C1448">
            <v>611</v>
          </cell>
          <cell r="D1448">
            <v>1312</v>
          </cell>
          <cell r="E1448">
            <v>2729</v>
          </cell>
        </row>
        <row r="1449">
          <cell r="A1449">
            <v>37193</v>
          </cell>
          <cell r="B1449">
            <v>605.79999999999995</v>
          </cell>
          <cell r="C1449">
            <v>607</v>
          </cell>
          <cell r="D1449">
            <v>1136</v>
          </cell>
          <cell r="E1449">
            <v>3016</v>
          </cell>
        </row>
        <row r="1450">
          <cell r="A1450">
            <v>37194</v>
          </cell>
          <cell r="B1450">
            <v>603.19000000000005</v>
          </cell>
          <cell r="C1450">
            <v>605.29999999999995</v>
          </cell>
          <cell r="D1450">
            <v>1193</v>
          </cell>
          <cell r="E1450">
            <v>3342</v>
          </cell>
        </row>
        <row r="1451">
          <cell r="A1451">
            <v>37195</v>
          </cell>
          <cell r="B1451">
            <v>600.07000000000005</v>
          </cell>
          <cell r="C1451">
            <v>599.1</v>
          </cell>
          <cell r="D1451">
            <v>942</v>
          </cell>
          <cell r="E1451">
            <v>1831</v>
          </cell>
        </row>
        <row r="1452">
          <cell r="A1452">
            <v>37196</v>
          </cell>
          <cell r="B1452">
            <v>596.02</v>
          </cell>
          <cell r="C1452">
            <v>602</v>
          </cell>
          <cell r="D1452">
            <v>487</v>
          </cell>
          <cell r="E1452">
            <v>1944</v>
          </cell>
        </row>
        <row r="1453">
          <cell r="A1453">
            <v>37197</v>
          </cell>
          <cell r="B1453">
            <v>596.65</v>
          </cell>
          <cell r="C1453">
            <v>602.29999999999995</v>
          </cell>
          <cell r="D1453">
            <v>949</v>
          </cell>
          <cell r="E1453">
            <v>2105</v>
          </cell>
        </row>
        <row r="1454">
          <cell r="A1454">
            <v>37200</v>
          </cell>
          <cell r="B1454">
            <v>592.85</v>
          </cell>
          <cell r="C1454">
            <v>598.6</v>
          </cell>
          <cell r="D1454">
            <v>669</v>
          </cell>
          <cell r="E1454">
            <v>2070</v>
          </cell>
        </row>
        <row r="1455">
          <cell r="A1455">
            <v>37201</v>
          </cell>
          <cell r="B1455">
            <v>592.75</v>
          </cell>
          <cell r="C1455">
            <v>598.79999999999995</v>
          </cell>
          <cell r="D1455">
            <v>368</v>
          </cell>
          <cell r="E1455">
            <v>2123</v>
          </cell>
        </row>
        <row r="1456">
          <cell r="A1456">
            <v>37202</v>
          </cell>
          <cell r="B1456">
            <v>592.26</v>
          </cell>
          <cell r="C1456">
            <v>597.5</v>
          </cell>
          <cell r="D1456">
            <v>414</v>
          </cell>
          <cell r="E1456">
            <v>2152</v>
          </cell>
        </row>
        <row r="1457">
          <cell r="A1457">
            <v>37203</v>
          </cell>
          <cell r="B1457">
            <v>598.57000000000005</v>
          </cell>
          <cell r="C1457">
            <v>605.20000000000005</v>
          </cell>
          <cell r="D1457">
            <v>802</v>
          </cell>
          <cell r="E1457">
            <v>2267</v>
          </cell>
        </row>
        <row r="1458">
          <cell r="A1458">
            <v>37204</v>
          </cell>
          <cell r="B1458">
            <v>599.45000000000005</v>
          </cell>
          <cell r="C1458">
            <v>604.4</v>
          </cell>
          <cell r="D1458">
            <v>689</v>
          </cell>
          <cell r="E1458">
            <v>2219</v>
          </cell>
        </row>
        <row r="1459">
          <cell r="A1459">
            <v>37207</v>
          </cell>
          <cell r="B1459">
            <v>603.67999999999995</v>
          </cell>
          <cell r="C1459">
            <v>609</v>
          </cell>
          <cell r="D1459">
            <v>366</v>
          </cell>
          <cell r="E1459">
            <v>2231</v>
          </cell>
        </row>
        <row r="1460">
          <cell r="A1460">
            <v>37208</v>
          </cell>
          <cell r="B1460">
            <v>612.72</v>
          </cell>
          <cell r="C1460">
            <v>614.4</v>
          </cell>
          <cell r="D1460">
            <v>855</v>
          </cell>
          <cell r="E1460">
            <v>2151</v>
          </cell>
        </row>
        <row r="1461">
          <cell r="A1461">
            <v>37210</v>
          </cell>
          <cell r="B1461">
            <v>632.5</v>
          </cell>
          <cell r="C1461">
            <v>639.5</v>
          </cell>
          <cell r="D1461">
            <v>1966</v>
          </cell>
          <cell r="E1461">
            <v>2423</v>
          </cell>
        </row>
        <row r="1462">
          <cell r="A1462">
            <v>37211</v>
          </cell>
          <cell r="B1462">
            <v>635.30999999999995</v>
          </cell>
          <cell r="C1462">
            <v>639.20000000000005</v>
          </cell>
          <cell r="D1462">
            <v>1417</v>
          </cell>
          <cell r="E1462">
            <v>2473</v>
          </cell>
        </row>
        <row r="1463">
          <cell r="A1463">
            <v>37214</v>
          </cell>
          <cell r="B1463">
            <v>628.14</v>
          </cell>
          <cell r="C1463">
            <v>637.4</v>
          </cell>
          <cell r="D1463">
            <v>1024</v>
          </cell>
          <cell r="E1463">
            <v>2503</v>
          </cell>
        </row>
        <row r="1464">
          <cell r="A1464">
            <v>37215</v>
          </cell>
          <cell r="B1464">
            <v>625.38</v>
          </cell>
          <cell r="C1464">
            <v>633.6</v>
          </cell>
          <cell r="D1464">
            <v>1543</v>
          </cell>
          <cell r="E1464">
            <v>2601</v>
          </cell>
        </row>
        <row r="1465">
          <cell r="A1465">
            <v>37216</v>
          </cell>
          <cell r="B1465">
            <v>632.91</v>
          </cell>
          <cell r="C1465">
            <v>642</v>
          </cell>
          <cell r="D1465">
            <v>1692</v>
          </cell>
          <cell r="E1465">
            <v>2791</v>
          </cell>
        </row>
        <row r="1466">
          <cell r="A1466">
            <v>37218</v>
          </cell>
          <cell r="B1466">
            <v>639.53</v>
          </cell>
          <cell r="C1466">
            <v>649</v>
          </cell>
          <cell r="D1466">
            <v>1459</v>
          </cell>
          <cell r="E1466">
            <v>2834</v>
          </cell>
        </row>
        <row r="1467">
          <cell r="A1467">
            <v>37221</v>
          </cell>
          <cell r="B1467">
            <v>640.48</v>
          </cell>
          <cell r="C1467">
            <v>645.5</v>
          </cell>
          <cell r="D1467">
            <v>1579</v>
          </cell>
          <cell r="E1467">
            <v>2937</v>
          </cell>
        </row>
        <row r="1468">
          <cell r="A1468">
            <v>37222</v>
          </cell>
          <cell r="B1468">
            <v>638.35</v>
          </cell>
          <cell r="C1468">
            <v>639</v>
          </cell>
          <cell r="D1468">
            <v>1405</v>
          </cell>
          <cell r="E1468">
            <v>3292</v>
          </cell>
        </row>
        <row r="1469">
          <cell r="A1469">
            <v>37223</v>
          </cell>
          <cell r="B1469">
            <v>641.05999999999995</v>
          </cell>
          <cell r="C1469">
            <v>642</v>
          </cell>
          <cell r="D1469">
            <v>1741</v>
          </cell>
          <cell r="E1469">
            <v>3602</v>
          </cell>
        </row>
        <row r="1470">
          <cell r="A1470">
            <v>37224</v>
          </cell>
          <cell r="B1470">
            <v>641.95000000000005</v>
          </cell>
          <cell r="C1470">
            <v>639.4</v>
          </cell>
          <cell r="D1470">
            <v>1813</v>
          </cell>
          <cell r="E1470">
            <v>4178</v>
          </cell>
        </row>
        <row r="1471">
          <cell r="A1471">
            <v>37225</v>
          </cell>
          <cell r="B1471">
            <v>638.02</v>
          </cell>
          <cell r="C1471">
            <v>638.5</v>
          </cell>
          <cell r="D1471">
            <v>1859</v>
          </cell>
          <cell r="E1471">
            <v>2552</v>
          </cell>
        </row>
        <row r="1472">
          <cell r="A1472">
            <v>37228</v>
          </cell>
          <cell r="B1472">
            <v>643.35</v>
          </cell>
          <cell r="C1472">
            <v>646.70000000000005</v>
          </cell>
          <cell r="D1472">
            <v>460</v>
          </cell>
          <cell r="E1472">
            <v>2593</v>
          </cell>
        </row>
        <row r="1473">
          <cell r="A1473">
            <v>37229</v>
          </cell>
          <cell r="B1473">
            <v>647.51</v>
          </cell>
          <cell r="C1473">
            <v>656.8</v>
          </cell>
          <cell r="D1473">
            <v>751</v>
          </cell>
          <cell r="E1473">
            <v>2601</v>
          </cell>
        </row>
        <row r="1474">
          <cell r="A1474">
            <v>37230</v>
          </cell>
          <cell r="B1474">
            <v>653.01</v>
          </cell>
          <cell r="C1474">
            <v>663</v>
          </cell>
          <cell r="D1474">
            <v>1287</v>
          </cell>
          <cell r="E1474">
            <v>2659</v>
          </cell>
        </row>
        <row r="1475">
          <cell r="A1475">
            <v>37231</v>
          </cell>
          <cell r="B1475">
            <v>656.38</v>
          </cell>
          <cell r="C1475">
            <v>666.5</v>
          </cell>
          <cell r="D1475">
            <v>1351</v>
          </cell>
          <cell r="E1475">
            <v>2849</v>
          </cell>
        </row>
        <row r="1476">
          <cell r="A1476">
            <v>37232</v>
          </cell>
          <cell r="B1476">
            <v>661.52</v>
          </cell>
          <cell r="C1476">
            <v>673</v>
          </cell>
          <cell r="D1476">
            <v>1172</v>
          </cell>
          <cell r="E1476">
            <v>2969</v>
          </cell>
        </row>
        <row r="1477">
          <cell r="A1477">
            <v>37235</v>
          </cell>
          <cell r="B1477">
            <v>667.11</v>
          </cell>
          <cell r="C1477">
            <v>672.1</v>
          </cell>
          <cell r="D1477">
            <v>767</v>
          </cell>
          <cell r="E1477">
            <v>3104</v>
          </cell>
        </row>
        <row r="1478">
          <cell r="A1478">
            <v>37236</v>
          </cell>
          <cell r="B1478">
            <v>668.09</v>
          </cell>
          <cell r="C1478">
            <v>671.8</v>
          </cell>
          <cell r="D1478">
            <v>603</v>
          </cell>
          <cell r="E1478">
            <v>3131</v>
          </cell>
        </row>
        <row r="1479">
          <cell r="A1479">
            <v>37237</v>
          </cell>
          <cell r="B1479">
            <v>669.22</v>
          </cell>
          <cell r="C1479">
            <v>671.5</v>
          </cell>
          <cell r="D1479">
            <v>774</v>
          </cell>
          <cell r="E1479">
            <v>3159</v>
          </cell>
        </row>
        <row r="1480">
          <cell r="A1480">
            <v>37238</v>
          </cell>
          <cell r="B1480">
            <v>662.01</v>
          </cell>
          <cell r="C1480">
            <v>661</v>
          </cell>
          <cell r="D1480">
            <v>1414</v>
          </cell>
          <cell r="E1480">
            <v>2779</v>
          </cell>
        </row>
        <row r="1481">
          <cell r="A1481">
            <v>37239</v>
          </cell>
          <cell r="B1481">
            <v>664.12</v>
          </cell>
          <cell r="C1481">
            <v>669.7</v>
          </cell>
          <cell r="D1481">
            <v>1038</v>
          </cell>
          <cell r="E1481">
            <v>2768</v>
          </cell>
        </row>
        <row r="1482">
          <cell r="A1482">
            <v>37245</v>
          </cell>
          <cell r="B1482">
            <v>662.45</v>
          </cell>
          <cell r="C1482">
            <v>670</v>
          </cell>
          <cell r="D1482">
            <v>1585</v>
          </cell>
          <cell r="E1482">
            <v>3090</v>
          </cell>
        </row>
        <row r="1483">
          <cell r="A1483">
            <v>37246</v>
          </cell>
          <cell r="B1483">
            <v>665.05</v>
          </cell>
          <cell r="C1483">
            <v>666.5</v>
          </cell>
          <cell r="D1483">
            <v>917</v>
          </cell>
          <cell r="E1483">
            <v>2747</v>
          </cell>
        </row>
        <row r="1484">
          <cell r="A1484">
            <v>37249</v>
          </cell>
          <cell r="B1484">
            <v>669.58</v>
          </cell>
          <cell r="C1484">
            <v>672</v>
          </cell>
          <cell r="D1484">
            <v>1118</v>
          </cell>
          <cell r="E1484">
            <v>2824</v>
          </cell>
        </row>
        <row r="1485">
          <cell r="A1485">
            <v>37251</v>
          </cell>
          <cell r="B1485">
            <v>679.3</v>
          </cell>
          <cell r="C1485">
            <v>684.5</v>
          </cell>
          <cell r="D1485">
            <v>1013</v>
          </cell>
          <cell r="E1485">
            <v>2879</v>
          </cell>
        </row>
        <row r="1486">
          <cell r="A1486">
            <v>37252</v>
          </cell>
          <cell r="B1486">
            <v>687.72</v>
          </cell>
          <cell r="C1486">
            <v>688.8</v>
          </cell>
          <cell r="D1486">
            <v>554</v>
          </cell>
          <cell r="E1486">
            <v>2723</v>
          </cell>
        </row>
        <row r="1487">
          <cell r="A1487">
            <v>37253</v>
          </cell>
          <cell r="B1487">
            <v>691.64</v>
          </cell>
          <cell r="C1487">
            <v>688.5</v>
          </cell>
          <cell r="D1487">
            <v>891</v>
          </cell>
          <cell r="E1487">
            <v>2716</v>
          </cell>
        </row>
        <row r="1488">
          <cell r="A1488">
            <v>37256</v>
          </cell>
          <cell r="B1488">
            <v>696.09</v>
          </cell>
          <cell r="C1488">
            <v>691.2</v>
          </cell>
          <cell r="D1488">
            <v>1413</v>
          </cell>
          <cell r="E1488">
            <v>2164</v>
          </cell>
        </row>
        <row r="1489">
          <cell r="A1489">
            <v>37258</v>
          </cell>
          <cell r="B1489">
            <v>682.83</v>
          </cell>
          <cell r="C1489">
            <v>695</v>
          </cell>
          <cell r="D1489">
            <v>613</v>
          </cell>
          <cell r="E1489">
            <v>2335</v>
          </cell>
        </row>
        <row r="1490">
          <cell r="A1490">
            <v>37259</v>
          </cell>
          <cell r="B1490">
            <v>683.48</v>
          </cell>
          <cell r="C1490">
            <v>698.5</v>
          </cell>
          <cell r="D1490">
            <v>777</v>
          </cell>
          <cell r="E1490">
            <v>2506</v>
          </cell>
        </row>
        <row r="1491">
          <cell r="A1491">
            <v>37260</v>
          </cell>
          <cell r="B1491">
            <v>693.47</v>
          </cell>
          <cell r="C1491">
            <v>707.7</v>
          </cell>
          <cell r="D1491">
            <v>946</v>
          </cell>
          <cell r="E1491">
            <v>2628</v>
          </cell>
        </row>
        <row r="1492">
          <cell r="A1492">
            <v>37263</v>
          </cell>
          <cell r="B1492">
            <v>697.11</v>
          </cell>
          <cell r="C1492">
            <v>704.2</v>
          </cell>
          <cell r="D1492">
            <v>680</v>
          </cell>
          <cell r="E1492">
            <v>2725</v>
          </cell>
        </row>
        <row r="1493">
          <cell r="A1493">
            <v>37264</v>
          </cell>
          <cell r="B1493">
            <v>692.21</v>
          </cell>
          <cell r="C1493">
            <v>707</v>
          </cell>
          <cell r="D1493">
            <v>593</v>
          </cell>
          <cell r="E1493">
            <v>2778</v>
          </cell>
        </row>
        <row r="1494">
          <cell r="A1494">
            <v>37265</v>
          </cell>
          <cell r="B1494">
            <v>700.47</v>
          </cell>
          <cell r="C1494">
            <v>714.61</v>
          </cell>
          <cell r="D1494">
            <v>675</v>
          </cell>
          <cell r="E1494">
            <v>2813</v>
          </cell>
        </row>
        <row r="1495">
          <cell r="A1495">
            <v>37266</v>
          </cell>
          <cell r="B1495">
            <v>704.99</v>
          </cell>
          <cell r="C1495">
            <v>715.2</v>
          </cell>
          <cell r="D1495">
            <v>694</v>
          </cell>
          <cell r="E1495">
            <v>2861</v>
          </cell>
        </row>
        <row r="1496">
          <cell r="A1496">
            <v>37267</v>
          </cell>
          <cell r="B1496">
            <v>703.04</v>
          </cell>
          <cell r="C1496">
            <v>712.5</v>
          </cell>
          <cell r="D1496">
            <v>1333</v>
          </cell>
          <cell r="E1496">
            <v>2840</v>
          </cell>
        </row>
        <row r="1497">
          <cell r="A1497">
            <v>37270</v>
          </cell>
          <cell r="B1497">
            <v>698.45</v>
          </cell>
          <cell r="C1497">
            <v>712.4</v>
          </cell>
          <cell r="D1497">
            <v>789</v>
          </cell>
          <cell r="E1497">
            <v>2783</v>
          </cell>
        </row>
        <row r="1498">
          <cell r="A1498">
            <v>37271</v>
          </cell>
          <cell r="B1498">
            <v>700.47</v>
          </cell>
          <cell r="C1498">
            <v>715.5</v>
          </cell>
          <cell r="D1498">
            <v>901</v>
          </cell>
          <cell r="E1498">
            <v>2701</v>
          </cell>
        </row>
        <row r="1499">
          <cell r="A1499">
            <v>37272</v>
          </cell>
          <cell r="B1499">
            <v>700.62</v>
          </cell>
          <cell r="C1499">
            <v>712.3</v>
          </cell>
          <cell r="D1499">
            <v>604</v>
          </cell>
          <cell r="E1499">
            <v>2813</v>
          </cell>
        </row>
        <row r="1500">
          <cell r="A1500">
            <v>37273</v>
          </cell>
          <cell r="B1500">
            <v>697.87</v>
          </cell>
          <cell r="C1500">
            <v>713.5</v>
          </cell>
          <cell r="D1500">
            <v>823</v>
          </cell>
          <cell r="E1500">
            <v>2906</v>
          </cell>
        </row>
        <row r="1501">
          <cell r="A1501">
            <v>37274</v>
          </cell>
          <cell r="B1501">
            <v>698.53</v>
          </cell>
          <cell r="C1501">
            <v>707.5</v>
          </cell>
          <cell r="D1501">
            <v>608</v>
          </cell>
          <cell r="E1501">
            <v>2948</v>
          </cell>
        </row>
        <row r="1502">
          <cell r="A1502">
            <v>37277</v>
          </cell>
          <cell r="B1502">
            <v>695.94</v>
          </cell>
          <cell r="C1502">
            <v>706</v>
          </cell>
          <cell r="D1502">
            <v>392</v>
          </cell>
          <cell r="E1502">
            <v>2971</v>
          </cell>
        </row>
        <row r="1503">
          <cell r="A1503">
            <v>37278</v>
          </cell>
          <cell r="B1503">
            <v>690.23</v>
          </cell>
          <cell r="C1503">
            <v>698.2</v>
          </cell>
          <cell r="D1503">
            <v>759</v>
          </cell>
          <cell r="E1503">
            <v>2932</v>
          </cell>
        </row>
        <row r="1504">
          <cell r="A1504">
            <v>37279</v>
          </cell>
          <cell r="B1504">
            <v>688.56</v>
          </cell>
          <cell r="C1504">
            <v>694.9</v>
          </cell>
          <cell r="D1504">
            <v>1214</v>
          </cell>
          <cell r="E1504">
            <v>2959</v>
          </cell>
        </row>
        <row r="1505">
          <cell r="A1505">
            <v>37280</v>
          </cell>
          <cell r="B1505">
            <v>685.95</v>
          </cell>
          <cell r="C1505">
            <v>692.7</v>
          </cell>
          <cell r="D1505">
            <v>1305</v>
          </cell>
          <cell r="E1505">
            <v>2990</v>
          </cell>
        </row>
        <row r="1506">
          <cell r="A1506">
            <v>37281</v>
          </cell>
          <cell r="B1506">
            <v>693.58</v>
          </cell>
          <cell r="C1506">
            <v>703</v>
          </cell>
          <cell r="D1506">
            <v>1153</v>
          </cell>
          <cell r="E1506">
            <v>3020</v>
          </cell>
        </row>
        <row r="1507">
          <cell r="A1507">
            <v>37284</v>
          </cell>
          <cell r="B1507">
            <v>705.61</v>
          </cell>
          <cell r="C1507">
            <v>714.5</v>
          </cell>
          <cell r="D1507">
            <v>1558</v>
          </cell>
          <cell r="E1507">
            <v>3246</v>
          </cell>
        </row>
        <row r="1508">
          <cell r="A1508">
            <v>37285</v>
          </cell>
          <cell r="B1508">
            <v>706.32</v>
          </cell>
          <cell r="C1508">
            <v>705.9</v>
          </cell>
          <cell r="D1508">
            <v>1434</v>
          </cell>
          <cell r="E1508">
            <v>3254</v>
          </cell>
        </row>
        <row r="1509">
          <cell r="A1509">
            <v>37286</v>
          </cell>
          <cell r="B1509">
            <v>710</v>
          </cell>
          <cell r="C1509">
            <v>713</v>
          </cell>
          <cell r="D1509">
            <v>1025</v>
          </cell>
          <cell r="E1509">
            <v>3105</v>
          </cell>
        </row>
        <row r="1510">
          <cell r="A1510">
            <v>37287</v>
          </cell>
          <cell r="B1510">
            <v>718.82</v>
          </cell>
          <cell r="C1510">
            <v>715.5</v>
          </cell>
          <cell r="D1510">
            <v>1160</v>
          </cell>
          <cell r="E1510">
            <v>2490</v>
          </cell>
        </row>
        <row r="1511">
          <cell r="A1511">
            <v>37291</v>
          </cell>
          <cell r="B1511">
            <v>723.54</v>
          </cell>
          <cell r="C1511">
            <v>732.9</v>
          </cell>
          <cell r="D1511">
            <v>677</v>
          </cell>
          <cell r="E1511">
            <v>2642</v>
          </cell>
        </row>
        <row r="1512">
          <cell r="A1512">
            <v>37292</v>
          </cell>
          <cell r="B1512">
            <v>720.33</v>
          </cell>
          <cell r="C1512">
            <v>732.6</v>
          </cell>
          <cell r="D1512">
            <v>912</v>
          </cell>
          <cell r="E1512">
            <v>2764</v>
          </cell>
        </row>
        <row r="1513">
          <cell r="A1513">
            <v>37293</v>
          </cell>
          <cell r="B1513">
            <v>715.22</v>
          </cell>
          <cell r="C1513">
            <v>731.5</v>
          </cell>
          <cell r="D1513">
            <v>575</v>
          </cell>
          <cell r="E1513">
            <v>2834</v>
          </cell>
        </row>
        <row r="1514">
          <cell r="A1514">
            <v>37294</v>
          </cell>
          <cell r="B1514">
            <v>707.68</v>
          </cell>
          <cell r="C1514">
            <v>725.4</v>
          </cell>
          <cell r="D1514">
            <v>1144</v>
          </cell>
          <cell r="E1514">
            <v>3113</v>
          </cell>
        </row>
        <row r="1515">
          <cell r="A1515">
            <v>37295</v>
          </cell>
          <cell r="B1515">
            <v>710.92</v>
          </cell>
          <cell r="C1515">
            <v>727.7</v>
          </cell>
          <cell r="D1515">
            <v>650</v>
          </cell>
          <cell r="E1515">
            <v>3147</v>
          </cell>
        </row>
        <row r="1516">
          <cell r="A1516">
            <v>37301</v>
          </cell>
          <cell r="B1516">
            <v>714.81</v>
          </cell>
          <cell r="C1516">
            <v>734</v>
          </cell>
          <cell r="D1516">
            <v>505</v>
          </cell>
          <cell r="E1516">
            <v>3179</v>
          </cell>
        </row>
        <row r="1517">
          <cell r="A1517">
            <v>37302</v>
          </cell>
          <cell r="B1517">
            <v>721.58</v>
          </cell>
          <cell r="C1517">
            <v>734.9</v>
          </cell>
          <cell r="D1517">
            <v>867</v>
          </cell>
          <cell r="E1517">
            <v>3409</v>
          </cell>
        </row>
        <row r="1518">
          <cell r="A1518">
            <v>37305</v>
          </cell>
          <cell r="B1518">
            <v>721.13</v>
          </cell>
          <cell r="C1518">
            <v>732.5</v>
          </cell>
          <cell r="D1518">
            <v>459</v>
          </cell>
          <cell r="E1518">
            <v>3304</v>
          </cell>
        </row>
        <row r="1519">
          <cell r="A1519">
            <v>37306</v>
          </cell>
          <cell r="B1519">
            <v>729.73</v>
          </cell>
          <cell r="C1519">
            <v>732.5</v>
          </cell>
          <cell r="D1519">
            <v>793</v>
          </cell>
          <cell r="E1519">
            <v>3341</v>
          </cell>
        </row>
        <row r="1520">
          <cell r="A1520">
            <v>37307</v>
          </cell>
          <cell r="B1520">
            <v>722.79</v>
          </cell>
          <cell r="C1520">
            <v>729.6</v>
          </cell>
          <cell r="D1520">
            <v>571</v>
          </cell>
          <cell r="E1520">
            <v>3424</v>
          </cell>
        </row>
        <row r="1521">
          <cell r="A1521">
            <v>37308</v>
          </cell>
          <cell r="B1521">
            <v>717.39</v>
          </cell>
          <cell r="C1521">
            <v>724</v>
          </cell>
          <cell r="D1521">
            <v>844</v>
          </cell>
          <cell r="E1521">
            <v>3458</v>
          </cell>
        </row>
        <row r="1522">
          <cell r="A1522">
            <v>37309</v>
          </cell>
          <cell r="B1522">
            <v>710.61</v>
          </cell>
          <cell r="C1522">
            <v>712.9</v>
          </cell>
          <cell r="D1522">
            <v>1617</v>
          </cell>
          <cell r="E1522">
            <v>3413</v>
          </cell>
        </row>
        <row r="1523">
          <cell r="A1523">
            <v>37312</v>
          </cell>
          <cell r="B1523">
            <v>701.31</v>
          </cell>
          <cell r="C1523">
            <v>707.4</v>
          </cell>
          <cell r="D1523">
            <v>1391</v>
          </cell>
          <cell r="E1523">
            <v>3389</v>
          </cell>
        </row>
        <row r="1524">
          <cell r="A1524">
            <v>37313</v>
          </cell>
          <cell r="B1524">
            <v>701.9</v>
          </cell>
          <cell r="C1524">
            <v>707.2</v>
          </cell>
          <cell r="D1524">
            <v>1917</v>
          </cell>
          <cell r="E1524">
            <v>3914</v>
          </cell>
        </row>
        <row r="1525">
          <cell r="A1525">
            <v>37314</v>
          </cell>
          <cell r="B1525">
            <v>703.92</v>
          </cell>
          <cell r="C1525">
            <v>708.5</v>
          </cell>
          <cell r="D1525">
            <v>2444</v>
          </cell>
          <cell r="E1525">
            <v>3701</v>
          </cell>
        </row>
        <row r="1526">
          <cell r="A1526">
            <v>37315</v>
          </cell>
          <cell r="B1526">
            <v>708.91</v>
          </cell>
          <cell r="C1526">
            <v>708.7</v>
          </cell>
          <cell r="D1526">
            <v>954</v>
          </cell>
          <cell r="E1526">
            <v>2696</v>
          </cell>
        </row>
        <row r="1527">
          <cell r="A1527">
            <v>37316</v>
          </cell>
          <cell r="B1527">
            <v>717.57</v>
          </cell>
          <cell r="C1527">
            <v>728.9</v>
          </cell>
          <cell r="D1527">
            <v>625</v>
          </cell>
          <cell r="E1527">
            <v>2729</v>
          </cell>
        </row>
        <row r="1528">
          <cell r="A1528">
            <v>37319</v>
          </cell>
          <cell r="B1528">
            <v>724.9</v>
          </cell>
          <cell r="C1528">
            <v>735.2</v>
          </cell>
          <cell r="D1528">
            <v>894</v>
          </cell>
          <cell r="E1528">
            <v>2830</v>
          </cell>
        </row>
        <row r="1529">
          <cell r="A1529">
            <v>37320</v>
          </cell>
          <cell r="B1529">
            <v>736.69</v>
          </cell>
          <cell r="C1529">
            <v>736.5</v>
          </cell>
          <cell r="D1529">
            <v>1179</v>
          </cell>
          <cell r="E1529">
            <v>2742</v>
          </cell>
        </row>
        <row r="1530">
          <cell r="A1530">
            <v>37321</v>
          </cell>
          <cell r="B1530">
            <v>737.05</v>
          </cell>
          <cell r="C1530">
            <v>738.8</v>
          </cell>
          <cell r="D1530">
            <v>767</v>
          </cell>
          <cell r="E1530">
            <v>2718</v>
          </cell>
        </row>
        <row r="1531">
          <cell r="A1531">
            <v>37322</v>
          </cell>
          <cell r="B1531">
            <v>741.72</v>
          </cell>
          <cell r="C1531">
            <v>748.9</v>
          </cell>
          <cell r="D1531">
            <v>890</v>
          </cell>
          <cell r="E1531">
            <v>2779</v>
          </cell>
        </row>
        <row r="1532">
          <cell r="A1532">
            <v>37323</v>
          </cell>
          <cell r="B1532">
            <v>747.63</v>
          </cell>
          <cell r="C1532">
            <v>757</v>
          </cell>
          <cell r="D1532">
            <v>832</v>
          </cell>
          <cell r="E1532">
            <v>2717</v>
          </cell>
        </row>
        <row r="1533">
          <cell r="A1533">
            <v>37326</v>
          </cell>
          <cell r="B1533">
            <v>761.01</v>
          </cell>
          <cell r="C1533">
            <v>761.5</v>
          </cell>
          <cell r="D1533">
            <v>1030</v>
          </cell>
          <cell r="E1533">
            <v>2677</v>
          </cell>
        </row>
        <row r="1534">
          <cell r="A1534">
            <v>37327</v>
          </cell>
          <cell r="B1534">
            <v>753.62</v>
          </cell>
          <cell r="C1534">
            <v>751.5</v>
          </cell>
          <cell r="D1534">
            <v>1110</v>
          </cell>
          <cell r="E1534">
            <v>2593</v>
          </cell>
        </row>
        <row r="1535">
          <cell r="A1535">
            <v>37328</v>
          </cell>
          <cell r="B1535">
            <v>754.51</v>
          </cell>
          <cell r="C1535">
            <v>757</v>
          </cell>
          <cell r="D1535">
            <v>790</v>
          </cell>
          <cell r="E1535">
            <v>2623</v>
          </cell>
        </row>
        <row r="1536">
          <cell r="A1536">
            <v>37329</v>
          </cell>
          <cell r="B1536">
            <v>751.64</v>
          </cell>
          <cell r="C1536">
            <v>752.9</v>
          </cell>
          <cell r="D1536">
            <v>725</v>
          </cell>
          <cell r="E1536">
            <v>2579</v>
          </cell>
        </row>
        <row r="1537">
          <cell r="A1537">
            <v>37333</v>
          </cell>
          <cell r="B1537">
            <v>757.44</v>
          </cell>
          <cell r="C1537">
            <v>764</v>
          </cell>
          <cell r="D1537">
            <v>879</v>
          </cell>
          <cell r="E1537">
            <v>2575</v>
          </cell>
        </row>
        <row r="1538">
          <cell r="A1538">
            <v>37334</v>
          </cell>
          <cell r="B1538">
            <v>754.27</v>
          </cell>
          <cell r="C1538">
            <v>759.9</v>
          </cell>
          <cell r="D1538">
            <v>909</v>
          </cell>
          <cell r="E1538">
            <v>2665</v>
          </cell>
        </row>
        <row r="1539">
          <cell r="A1539">
            <v>37335</v>
          </cell>
          <cell r="B1539">
            <v>754.95</v>
          </cell>
          <cell r="C1539">
            <v>758.5</v>
          </cell>
          <cell r="D1539">
            <v>968</v>
          </cell>
          <cell r="E1539">
            <v>2948</v>
          </cell>
        </row>
        <row r="1540">
          <cell r="A1540">
            <v>37336</v>
          </cell>
          <cell r="B1540">
            <v>756.22</v>
          </cell>
          <cell r="C1540">
            <v>761.2</v>
          </cell>
          <cell r="D1540">
            <v>945</v>
          </cell>
          <cell r="E1540">
            <v>3183</v>
          </cell>
        </row>
        <row r="1541">
          <cell r="A1541">
            <v>37337</v>
          </cell>
          <cell r="B1541">
            <v>752.63</v>
          </cell>
          <cell r="C1541">
            <v>756.3</v>
          </cell>
          <cell r="D1541">
            <v>998</v>
          </cell>
          <cell r="E1541">
            <v>2855</v>
          </cell>
        </row>
        <row r="1542">
          <cell r="A1542">
            <v>37340</v>
          </cell>
          <cell r="B1542">
            <v>746.26</v>
          </cell>
          <cell r="C1542">
            <v>745.3</v>
          </cell>
          <cell r="D1542">
            <v>1035</v>
          </cell>
          <cell r="E1542">
            <v>2801</v>
          </cell>
        </row>
        <row r="1543">
          <cell r="A1543">
            <v>37341</v>
          </cell>
          <cell r="B1543">
            <v>751.3</v>
          </cell>
          <cell r="C1543">
            <v>753.1</v>
          </cell>
          <cell r="D1543">
            <v>1655</v>
          </cell>
          <cell r="E1543">
            <v>3180</v>
          </cell>
        </row>
        <row r="1544">
          <cell r="A1544">
            <v>37342</v>
          </cell>
          <cell r="B1544">
            <v>756.51</v>
          </cell>
          <cell r="C1544">
            <v>758</v>
          </cell>
          <cell r="D1544">
            <v>1408</v>
          </cell>
          <cell r="E1544">
            <v>3300</v>
          </cell>
        </row>
        <row r="1545">
          <cell r="A1545">
            <v>37343</v>
          </cell>
          <cell r="B1545">
            <v>755.05</v>
          </cell>
          <cell r="C1545">
            <v>757</v>
          </cell>
          <cell r="D1545">
            <v>1666</v>
          </cell>
          <cell r="E1545">
            <v>3443</v>
          </cell>
        </row>
        <row r="1546">
          <cell r="A1546">
            <v>37344</v>
          </cell>
          <cell r="B1546">
            <v>756.1</v>
          </cell>
          <cell r="C1546">
            <v>756.1</v>
          </cell>
          <cell r="D1546">
            <v>1124</v>
          </cell>
          <cell r="E1546">
            <v>2633</v>
          </cell>
        </row>
        <row r="1547">
          <cell r="A1547">
            <v>37347</v>
          </cell>
          <cell r="B1547">
            <v>757.39</v>
          </cell>
          <cell r="C1547">
            <v>757.5</v>
          </cell>
          <cell r="D1547">
            <v>572</v>
          </cell>
          <cell r="E1547">
            <v>2647</v>
          </cell>
        </row>
        <row r="1548">
          <cell r="A1548">
            <v>37348</v>
          </cell>
          <cell r="B1548">
            <v>755.42</v>
          </cell>
          <cell r="C1548">
            <v>756.2</v>
          </cell>
          <cell r="D1548">
            <v>443</v>
          </cell>
          <cell r="E1548">
            <v>2672</v>
          </cell>
        </row>
        <row r="1549">
          <cell r="A1549">
            <v>37349</v>
          </cell>
          <cell r="B1549">
            <v>755.47</v>
          </cell>
          <cell r="C1549">
            <v>758</v>
          </cell>
          <cell r="D1549">
            <v>1041</v>
          </cell>
          <cell r="E1549">
            <v>2633</v>
          </cell>
        </row>
        <row r="1550">
          <cell r="A1550">
            <v>37350</v>
          </cell>
          <cell r="B1550">
            <v>752.41</v>
          </cell>
          <cell r="C1550">
            <v>756.5</v>
          </cell>
          <cell r="D1550">
            <v>596</v>
          </cell>
          <cell r="E1550">
            <v>2627</v>
          </cell>
        </row>
        <row r="1551">
          <cell r="A1551">
            <v>37351</v>
          </cell>
          <cell r="B1551">
            <v>761.42</v>
          </cell>
          <cell r="C1551">
            <v>772</v>
          </cell>
          <cell r="D1551">
            <v>845</v>
          </cell>
          <cell r="E1551">
            <v>2695</v>
          </cell>
        </row>
        <row r="1552">
          <cell r="A1552">
            <v>37354</v>
          </cell>
          <cell r="B1552">
            <v>772.26</v>
          </cell>
          <cell r="C1552">
            <v>780.5</v>
          </cell>
          <cell r="D1552">
            <v>1181</v>
          </cell>
          <cell r="E1552">
            <v>2847</v>
          </cell>
        </row>
        <row r="1553">
          <cell r="A1553">
            <v>37355</v>
          </cell>
          <cell r="B1553">
            <v>775.88</v>
          </cell>
          <cell r="C1553">
            <v>779.5</v>
          </cell>
          <cell r="D1553">
            <v>1045</v>
          </cell>
          <cell r="E1553">
            <v>2895</v>
          </cell>
        </row>
        <row r="1554">
          <cell r="A1554">
            <v>37356</v>
          </cell>
          <cell r="B1554">
            <v>774.58</v>
          </cell>
          <cell r="C1554">
            <v>773.5</v>
          </cell>
          <cell r="D1554">
            <v>1088</v>
          </cell>
          <cell r="E1554">
            <v>2764</v>
          </cell>
        </row>
        <row r="1555">
          <cell r="A1555">
            <v>37357</v>
          </cell>
          <cell r="B1555">
            <v>774.76</v>
          </cell>
          <cell r="C1555">
            <v>776.7</v>
          </cell>
          <cell r="D1555">
            <v>1005</v>
          </cell>
          <cell r="E1555">
            <v>2879</v>
          </cell>
        </row>
        <row r="1556">
          <cell r="A1556">
            <v>37358</v>
          </cell>
          <cell r="B1556">
            <v>776.21</v>
          </cell>
          <cell r="C1556">
            <v>780.7</v>
          </cell>
          <cell r="D1556">
            <v>968</v>
          </cell>
          <cell r="E1556">
            <v>2861</v>
          </cell>
        </row>
        <row r="1557">
          <cell r="A1557">
            <v>37361</v>
          </cell>
          <cell r="B1557">
            <v>784.54</v>
          </cell>
          <cell r="C1557">
            <v>788</v>
          </cell>
          <cell r="D1557">
            <v>1094</v>
          </cell>
          <cell r="E1557">
            <v>2859</v>
          </cell>
        </row>
        <row r="1558">
          <cell r="A1558">
            <v>37362</v>
          </cell>
          <cell r="B1558">
            <v>782.12</v>
          </cell>
          <cell r="C1558">
            <v>788.5</v>
          </cell>
          <cell r="D1558">
            <v>732</v>
          </cell>
          <cell r="E1558">
            <v>2961</v>
          </cell>
        </row>
        <row r="1559">
          <cell r="A1559">
            <v>37363</v>
          </cell>
          <cell r="B1559">
            <v>792.14</v>
          </cell>
          <cell r="C1559">
            <v>795.5</v>
          </cell>
          <cell r="D1559">
            <v>796</v>
          </cell>
          <cell r="E1559">
            <v>2877</v>
          </cell>
        </row>
        <row r="1560">
          <cell r="A1560">
            <v>37364</v>
          </cell>
          <cell r="B1560">
            <v>787.23</v>
          </cell>
          <cell r="C1560">
            <v>789.5</v>
          </cell>
          <cell r="D1560">
            <v>961</v>
          </cell>
          <cell r="E1560">
            <v>2806</v>
          </cell>
        </row>
        <row r="1561">
          <cell r="A1561">
            <v>37365</v>
          </cell>
          <cell r="B1561">
            <v>798.35</v>
          </cell>
          <cell r="C1561">
            <v>801.1</v>
          </cell>
          <cell r="D1561">
            <v>1043</v>
          </cell>
          <cell r="E1561">
            <v>2882</v>
          </cell>
        </row>
        <row r="1562">
          <cell r="A1562">
            <v>37368</v>
          </cell>
          <cell r="B1562">
            <v>807.3</v>
          </cell>
          <cell r="C1562">
            <v>805</v>
          </cell>
          <cell r="D1562">
            <v>1169</v>
          </cell>
          <cell r="E1562">
            <v>2780</v>
          </cell>
        </row>
        <row r="1563">
          <cell r="A1563">
            <v>37369</v>
          </cell>
          <cell r="B1563">
            <v>808.07</v>
          </cell>
          <cell r="C1563">
            <v>807</v>
          </cell>
          <cell r="D1563">
            <v>1808</v>
          </cell>
          <cell r="E1563">
            <v>2915</v>
          </cell>
        </row>
        <row r="1564">
          <cell r="A1564">
            <v>37370</v>
          </cell>
          <cell r="B1564">
            <v>799.51</v>
          </cell>
          <cell r="C1564">
            <v>802</v>
          </cell>
          <cell r="D1564">
            <v>1346</v>
          </cell>
          <cell r="E1564">
            <v>2756</v>
          </cell>
        </row>
        <row r="1565">
          <cell r="A1565">
            <v>37372</v>
          </cell>
          <cell r="B1565">
            <v>801.37</v>
          </cell>
          <cell r="C1565">
            <v>803.8</v>
          </cell>
          <cell r="D1565">
            <v>1617</v>
          </cell>
          <cell r="E1565">
            <v>2880</v>
          </cell>
        </row>
        <row r="1566">
          <cell r="A1566">
            <v>37375</v>
          </cell>
          <cell r="B1566">
            <v>790.75</v>
          </cell>
          <cell r="C1566">
            <v>793</v>
          </cell>
          <cell r="D1566">
            <v>1616</v>
          </cell>
          <cell r="E1566">
            <v>2907</v>
          </cell>
        </row>
        <row r="1567">
          <cell r="A1567">
            <v>37376</v>
          </cell>
          <cell r="B1567">
            <v>793.99</v>
          </cell>
          <cell r="C1567">
            <v>791.8</v>
          </cell>
          <cell r="D1567">
            <v>1880</v>
          </cell>
          <cell r="E1567">
            <v>2636</v>
          </cell>
        </row>
        <row r="1568">
          <cell r="A1568">
            <v>37378</v>
          </cell>
          <cell r="B1568">
            <v>795.35</v>
          </cell>
          <cell r="C1568">
            <v>798.5</v>
          </cell>
          <cell r="D1568">
            <v>960</v>
          </cell>
          <cell r="E1568">
            <v>2767</v>
          </cell>
        </row>
        <row r="1569">
          <cell r="A1569">
            <v>37379</v>
          </cell>
          <cell r="B1569">
            <v>794.66</v>
          </cell>
          <cell r="C1569">
            <v>806</v>
          </cell>
          <cell r="D1569">
            <v>751</v>
          </cell>
          <cell r="E1569">
            <v>2459</v>
          </cell>
        </row>
        <row r="1570">
          <cell r="A1570">
            <v>37382</v>
          </cell>
          <cell r="B1570">
            <v>795.1</v>
          </cell>
          <cell r="C1570">
            <v>803.5</v>
          </cell>
          <cell r="D1570">
            <v>785</v>
          </cell>
          <cell r="E1570">
            <v>2535</v>
          </cell>
        </row>
        <row r="1571">
          <cell r="A1571">
            <v>37383</v>
          </cell>
          <cell r="B1571">
            <v>789.93</v>
          </cell>
          <cell r="C1571">
            <v>800.3</v>
          </cell>
          <cell r="D1571">
            <v>576</v>
          </cell>
          <cell r="E1571">
            <v>2585</v>
          </cell>
        </row>
        <row r="1572">
          <cell r="A1572">
            <v>37384</v>
          </cell>
          <cell r="B1572">
            <v>794.47</v>
          </cell>
          <cell r="C1572">
            <v>808.8</v>
          </cell>
          <cell r="D1572">
            <v>795</v>
          </cell>
          <cell r="E1572">
            <v>2700</v>
          </cell>
        </row>
        <row r="1573">
          <cell r="A1573">
            <v>37385</v>
          </cell>
          <cell r="B1573">
            <v>794.66</v>
          </cell>
          <cell r="C1573">
            <v>803.5</v>
          </cell>
          <cell r="D1573">
            <v>923</v>
          </cell>
          <cell r="E1573">
            <v>2748</v>
          </cell>
        </row>
        <row r="1574">
          <cell r="A1574">
            <v>37386</v>
          </cell>
          <cell r="B1574">
            <v>788.54</v>
          </cell>
          <cell r="C1574">
            <v>798.9</v>
          </cell>
          <cell r="D1574">
            <v>540</v>
          </cell>
          <cell r="E1574">
            <v>2770</v>
          </cell>
        </row>
        <row r="1575">
          <cell r="A1575">
            <v>37389</v>
          </cell>
          <cell r="B1575">
            <v>786.03</v>
          </cell>
          <cell r="C1575">
            <v>796.1</v>
          </cell>
          <cell r="D1575">
            <v>505</v>
          </cell>
          <cell r="E1575">
            <v>2814</v>
          </cell>
        </row>
        <row r="1576">
          <cell r="A1576">
            <v>37390</v>
          </cell>
          <cell r="B1576">
            <v>785.51</v>
          </cell>
          <cell r="C1576">
            <v>793.5</v>
          </cell>
          <cell r="D1576">
            <v>427</v>
          </cell>
          <cell r="E1576">
            <v>2825</v>
          </cell>
        </row>
        <row r="1577">
          <cell r="A1577">
            <v>37391</v>
          </cell>
          <cell r="B1577">
            <v>786.75</v>
          </cell>
          <cell r="C1577">
            <v>795.1</v>
          </cell>
          <cell r="D1577">
            <v>444</v>
          </cell>
          <cell r="E1577">
            <v>2838</v>
          </cell>
        </row>
        <row r="1578">
          <cell r="A1578">
            <v>37392</v>
          </cell>
          <cell r="B1578">
            <v>786.38</v>
          </cell>
          <cell r="C1578">
            <v>796</v>
          </cell>
          <cell r="D1578">
            <v>192</v>
          </cell>
          <cell r="E1578">
            <v>2832</v>
          </cell>
        </row>
        <row r="1579">
          <cell r="A1579">
            <v>37393</v>
          </cell>
          <cell r="B1579">
            <v>787.85</v>
          </cell>
          <cell r="C1579">
            <v>800.2</v>
          </cell>
          <cell r="D1579">
            <v>581</v>
          </cell>
          <cell r="E1579">
            <v>2949</v>
          </cell>
        </row>
        <row r="1580">
          <cell r="A1580">
            <v>37396</v>
          </cell>
          <cell r="B1580">
            <v>784.56</v>
          </cell>
          <cell r="C1580">
            <v>787</v>
          </cell>
          <cell r="D1580">
            <v>867</v>
          </cell>
          <cell r="E1580">
            <v>2861</v>
          </cell>
        </row>
        <row r="1581">
          <cell r="A1581">
            <v>37397</v>
          </cell>
          <cell r="B1581">
            <v>781.72</v>
          </cell>
          <cell r="C1581">
            <v>783</v>
          </cell>
          <cell r="D1581">
            <v>614</v>
          </cell>
          <cell r="E1581">
            <v>2855</v>
          </cell>
        </row>
        <row r="1582">
          <cell r="A1582">
            <v>37398</v>
          </cell>
          <cell r="B1582">
            <v>772.94</v>
          </cell>
          <cell r="C1582">
            <v>774.4</v>
          </cell>
          <cell r="D1582">
            <v>1047</v>
          </cell>
          <cell r="E1582">
            <v>2854</v>
          </cell>
        </row>
        <row r="1583">
          <cell r="A1583">
            <v>37399</v>
          </cell>
          <cell r="B1583">
            <v>767.59</v>
          </cell>
          <cell r="C1583">
            <v>770.2</v>
          </cell>
          <cell r="D1583">
            <v>1174</v>
          </cell>
          <cell r="E1583">
            <v>2613</v>
          </cell>
        </row>
        <row r="1584">
          <cell r="A1584">
            <v>37400</v>
          </cell>
          <cell r="B1584">
            <v>765.86</v>
          </cell>
          <cell r="C1584">
            <v>771.2</v>
          </cell>
          <cell r="D1584">
            <v>762</v>
          </cell>
          <cell r="E1584">
            <v>2549</v>
          </cell>
        </row>
        <row r="1585">
          <cell r="A1585">
            <v>37404</v>
          </cell>
          <cell r="B1585">
            <v>761.3</v>
          </cell>
          <cell r="C1585">
            <v>763</v>
          </cell>
          <cell r="D1585">
            <v>1607</v>
          </cell>
          <cell r="E1585">
            <v>2922</v>
          </cell>
        </row>
        <row r="1586">
          <cell r="A1586">
            <v>37405</v>
          </cell>
          <cell r="B1586">
            <v>763.14</v>
          </cell>
          <cell r="C1586">
            <v>765.1</v>
          </cell>
          <cell r="D1586">
            <v>1613</v>
          </cell>
          <cell r="E1586">
            <v>2991</v>
          </cell>
        </row>
        <row r="1587">
          <cell r="A1587">
            <v>37406</v>
          </cell>
          <cell r="B1587">
            <v>759.33</v>
          </cell>
          <cell r="C1587">
            <v>761.6</v>
          </cell>
          <cell r="D1587">
            <v>1325</v>
          </cell>
          <cell r="E1587">
            <v>3204</v>
          </cell>
        </row>
        <row r="1588">
          <cell r="A1588">
            <v>37407</v>
          </cell>
          <cell r="B1588">
            <v>741.76</v>
          </cell>
          <cell r="C1588">
            <v>744.8</v>
          </cell>
          <cell r="D1588">
            <v>1828</v>
          </cell>
          <cell r="E1588">
            <v>2172</v>
          </cell>
        </row>
        <row r="1589">
          <cell r="A1589">
            <v>37410</v>
          </cell>
          <cell r="B1589">
            <v>749</v>
          </cell>
          <cell r="C1589">
            <v>757.1</v>
          </cell>
          <cell r="D1589">
            <v>935</v>
          </cell>
          <cell r="E1589">
            <v>2376</v>
          </cell>
        </row>
        <row r="1590">
          <cell r="A1590">
            <v>37411</v>
          </cell>
          <cell r="B1590">
            <v>750.56</v>
          </cell>
          <cell r="C1590">
            <v>753.8</v>
          </cell>
          <cell r="D1590">
            <v>585</v>
          </cell>
          <cell r="E1590">
            <v>2212</v>
          </cell>
        </row>
        <row r="1591">
          <cell r="A1591">
            <v>37412</v>
          </cell>
          <cell r="B1591">
            <v>746.93</v>
          </cell>
          <cell r="C1591">
            <v>751</v>
          </cell>
          <cell r="D1591">
            <v>722</v>
          </cell>
          <cell r="E1591">
            <v>2272</v>
          </cell>
        </row>
        <row r="1592">
          <cell r="A1592">
            <v>37413</v>
          </cell>
          <cell r="B1592">
            <v>752.88</v>
          </cell>
          <cell r="C1592">
            <v>752.5</v>
          </cell>
          <cell r="D1592">
            <v>615</v>
          </cell>
          <cell r="E1592">
            <v>2404</v>
          </cell>
        </row>
        <row r="1593">
          <cell r="A1593">
            <v>37414</v>
          </cell>
          <cell r="B1593">
            <v>755.21</v>
          </cell>
          <cell r="C1593">
            <v>755</v>
          </cell>
          <cell r="D1593">
            <v>680</v>
          </cell>
          <cell r="E1593">
            <v>2468</v>
          </cell>
        </row>
        <row r="1594">
          <cell r="A1594">
            <v>37417</v>
          </cell>
          <cell r="B1594">
            <v>755.23</v>
          </cell>
          <cell r="C1594">
            <v>757</v>
          </cell>
          <cell r="D1594">
            <v>680</v>
          </cell>
          <cell r="E1594">
            <v>2481</v>
          </cell>
        </row>
        <row r="1595">
          <cell r="A1595">
            <v>37418</v>
          </cell>
          <cell r="B1595">
            <v>750.39</v>
          </cell>
          <cell r="C1595">
            <v>750.39</v>
          </cell>
          <cell r="D1595">
            <v>421</v>
          </cell>
          <cell r="E1595">
            <v>2468</v>
          </cell>
        </row>
        <row r="1596">
          <cell r="A1596">
            <v>37419</v>
          </cell>
          <cell r="B1596">
            <v>750.57</v>
          </cell>
          <cell r="C1596">
            <v>751.6</v>
          </cell>
          <cell r="D1596">
            <v>389</v>
          </cell>
          <cell r="E1596">
            <v>2518</v>
          </cell>
        </row>
        <row r="1597">
          <cell r="A1597">
            <v>37420</v>
          </cell>
          <cell r="B1597">
            <v>753.39</v>
          </cell>
          <cell r="C1597">
            <v>752.5</v>
          </cell>
          <cell r="D1597">
            <v>442</v>
          </cell>
          <cell r="E1597">
            <v>2656</v>
          </cell>
        </row>
      </sheetData>
      <sheetData sheetId="1"/>
      <sheetData sheetId="2"/>
      <sheetData sheetId="3">
        <row r="2">
          <cell r="K2" t="str">
            <v>Settlement Price</v>
          </cell>
          <cell r="AL2" t="str">
            <v xml:space="preserve">Volume </v>
          </cell>
          <cell r="AM2" t="str">
            <v>Open Position</v>
          </cell>
        </row>
        <row r="5048">
          <cell r="A5048">
            <v>37055</v>
          </cell>
          <cell r="K5048">
            <v>820</v>
          </cell>
          <cell r="AL5048">
            <v>1946</v>
          </cell>
          <cell r="AM5048">
            <v>9793</v>
          </cell>
        </row>
        <row r="5049">
          <cell r="A5049">
            <v>37056</v>
          </cell>
          <cell r="K5049">
            <v>823</v>
          </cell>
          <cell r="AL5049">
            <v>1385</v>
          </cell>
          <cell r="AM5049">
            <v>10234</v>
          </cell>
        </row>
        <row r="5050">
          <cell r="A5050">
            <v>37057</v>
          </cell>
          <cell r="K5050">
            <v>813</v>
          </cell>
          <cell r="AL5050">
            <v>1188</v>
          </cell>
          <cell r="AM5050">
            <v>9535</v>
          </cell>
        </row>
        <row r="5051">
          <cell r="A5051">
            <v>37060</v>
          </cell>
          <cell r="K5051">
            <v>806</v>
          </cell>
          <cell r="AL5051">
            <v>1366</v>
          </cell>
          <cell r="AM5051">
            <v>9445</v>
          </cell>
        </row>
        <row r="5052">
          <cell r="A5052">
            <v>37061</v>
          </cell>
          <cell r="K5052">
            <v>821</v>
          </cell>
          <cell r="AL5052">
            <v>1339</v>
          </cell>
          <cell r="AM5052">
            <v>9410</v>
          </cell>
        </row>
        <row r="5053">
          <cell r="A5053">
            <v>37062</v>
          </cell>
          <cell r="K5053">
            <v>815</v>
          </cell>
          <cell r="AL5053">
            <v>1152</v>
          </cell>
          <cell r="AM5053">
            <v>9400</v>
          </cell>
        </row>
        <row r="5054">
          <cell r="A5054">
            <v>37063</v>
          </cell>
          <cell r="K5054">
            <v>814</v>
          </cell>
          <cell r="AL5054">
            <v>894</v>
          </cell>
          <cell r="AM5054">
            <v>9607</v>
          </cell>
        </row>
        <row r="5055">
          <cell r="A5055">
            <v>37064</v>
          </cell>
          <cell r="K5055">
            <v>824</v>
          </cell>
          <cell r="AL5055">
            <v>933</v>
          </cell>
          <cell r="AM5055">
            <v>9753</v>
          </cell>
        </row>
        <row r="5056">
          <cell r="A5056">
            <v>37067</v>
          </cell>
          <cell r="K5056">
            <v>831</v>
          </cell>
          <cell r="AL5056">
            <v>817</v>
          </cell>
          <cell r="AM5056">
            <v>9783</v>
          </cell>
        </row>
        <row r="5057">
          <cell r="A5057">
            <v>37068</v>
          </cell>
          <cell r="K5057">
            <v>838</v>
          </cell>
          <cell r="AL5057">
            <v>918</v>
          </cell>
          <cell r="AM5057">
            <v>9881</v>
          </cell>
        </row>
        <row r="5058">
          <cell r="A5058">
            <v>37069</v>
          </cell>
          <cell r="K5058">
            <v>854</v>
          </cell>
          <cell r="AL5058">
            <v>2005</v>
          </cell>
          <cell r="AM5058">
            <v>10023</v>
          </cell>
        </row>
        <row r="5059">
          <cell r="A5059">
            <v>37070</v>
          </cell>
          <cell r="K5059">
            <v>851</v>
          </cell>
          <cell r="AL5059">
            <v>693</v>
          </cell>
          <cell r="AM5059">
            <v>9883</v>
          </cell>
        </row>
        <row r="5060">
          <cell r="A5060">
            <v>37071</v>
          </cell>
          <cell r="K5060">
            <v>865</v>
          </cell>
          <cell r="AL5060">
            <v>1529</v>
          </cell>
          <cell r="AM5060">
            <v>9845</v>
          </cell>
        </row>
        <row r="5061">
          <cell r="A5061">
            <v>37074</v>
          </cell>
          <cell r="K5061">
            <v>873</v>
          </cell>
          <cell r="AL5061">
            <v>2108</v>
          </cell>
          <cell r="AM5061">
            <v>9602</v>
          </cell>
        </row>
        <row r="5062">
          <cell r="A5062">
            <v>37075</v>
          </cell>
          <cell r="K5062">
            <v>869</v>
          </cell>
          <cell r="AL5062">
            <v>2577</v>
          </cell>
          <cell r="AM5062">
            <v>9732</v>
          </cell>
        </row>
        <row r="5063">
          <cell r="A5063">
            <v>37076</v>
          </cell>
          <cell r="K5063">
            <v>884</v>
          </cell>
          <cell r="AL5063">
            <v>1219</v>
          </cell>
          <cell r="AM5063">
            <v>9749</v>
          </cell>
        </row>
        <row r="5064">
          <cell r="A5064">
            <v>37077</v>
          </cell>
          <cell r="K5064">
            <v>902</v>
          </cell>
          <cell r="AL5064">
            <v>2948</v>
          </cell>
          <cell r="AM5064">
            <v>9611</v>
          </cell>
        </row>
        <row r="5065">
          <cell r="A5065">
            <v>37078</v>
          </cell>
          <cell r="K5065">
            <v>916</v>
          </cell>
          <cell r="AL5065">
            <v>2093</v>
          </cell>
          <cell r="AM5065">
            <v>9854</v>
          </cell>
        </row>
        <row r="5066">
          <cell r="A5066">
            <v>37081</v>
          </cell>
          <cell r="K5066">
            <v>920</v>
          </cell>
          <cell r="AL5066">
            <v>1789</v>
          </cell>
          <cell r="AM5066">
            <v>9946</v>
          </cell>
        </row>
        <row r="5067">
          <cell r="A5067">
            <v>37082</v>
          </cell>
          <cell r="K5067">
            <v>959</v>
          </cell>
          <cell r="AL5067">
            <v>2798</v>
          </cell>
          <cell r="AM5067">
            <v>9987</v>
          </cell>
        </row>
        <row r="5068">
          <cell r="A5068">
            <v>37083</v>
          </cell>
          <cell r="K5068">
            <v>976</v>
          </cell>
          <cell r="AL5068">
            <v>2980</v>
          </cell>
          <cell r="AM5068">
            <v>9733</v>
          </cell>
        </row>
        <row r="5069">
          <cell r="A5069">
            <v>37084</v>
          </cell>
          <cell r="K5069">
            <v>1076</v>
          </cell>
          <cell r="AL5069">
            <v>3740</v>
          </cell>
          <cell r="AM5069">
            <v>9776</v>
          </cell>
        </row>
        <row r="5070">
          <cell r="A5070">
            <v>37085</v>
          </cell>
          <cell r="K5070">
            <v>1078</v>
          </cell>
          <cell r="AL5070">
            <v>5219</v>
          </cell>
          <cell r="AM5070">
            <v>9971</v>
          </cell>
        </row>
        <row r="5071">
          <cell r="A5071">
            <v>37088</v>
          </cell>
          <cell r="K5071">
            <v>1114</v>
          </cell>
          <cell r="AL5071">
            <v>2885</v>
          </cell>
          <cell r="AM5071">
            <v>9347</v>
          </cell>
        </row>
        <row r="5072">
          <cell r="A5072">
            <v>37089</v>
          </cell>
          <cell r="K5072">
            <v>1214</v>
          </cell>
          <cell r="AL5072">
            <v>3416</v>
          </cell>
          <cell r="AM5072">
            <v>9542</v>
          </cell>
        </row>
        <row r="5073">
          <cell r="A5073">
            <v>37090</v>
          </cell>
          <cell r="K5073">
            <v>1157</v>
          </cell>
          <cell r="AL5073">
            <v>3099</v>
          </cell>
          <cell r="AM5073">
            <v>9489</v>
          </cell>
        </row>
        <row r="5074">
          <cell r="A5074">
            <v>37091</v>
          </cell>
          <cell r="K5074">
            <v>1188</v>
          </cell>
          <cell r="AL5074">
            <v>2098</v>
          </cell>
          <cell r="AM5074">
            <v>9734</v>
          </cell>
        </row>
        <row r="5075">
          <cell r="A5075">
            <v>37092</v>
          </cell>
          <cell r="K5075">
            <v>1147</v>
          </cell>
          <cell r="AL5075">
            <v>1971</v>
          </cell>
          <cell r="AM5075">
            <v>9700</v>
          </cell>
        </row>
        <row r="5076">
          <cell r="A5076">
            <v>37095</v>
          </cell>
          <cell r="K5076">
            <v>1142</v>
          </cell>
          <cell r="AL5076">
            <v>1925</v>
          </cell>
          <cell r="AM5076">
            <v>10090</v>
          </cell>
        </row>
        <row r="5077">
          <cell r="A5077">
            <v>37096</v>
          </cell>
          <cell r="K5077">
            <v>1156</v>
          </cell>
          <cell r="AL5077">
            <v>1562</v>
          </cell>
          <cell r="AM5077">
            <v>10179</v>
          </cell>
        </row>
        <row r="5078">
          <cell r="A5078">
            <v>37097</v>
          </cell>
          <cell r="K5078">
            <v>1130</v>
          </cell>
          <cell r="AL5078">
            <v>1277</v>
          </cell>
          <cell r="AM5078">
            <v>10092</v>
          </cell>
        </row>
        <row r="5079">
          <cell r="A5079">
            <v>37098</v>
          </cell>
          <cell r="K5079">
            <v>1156</v>
          </cell>
          <cell r="AL5079">
            <v>1593</v>
          </cell>
          <cell r="AM5079">
            <v>10334</v>
          </cell>
        </row>
        <row r="5080">
          <cell r="A5080">
            <v>37099</v>
          </cell>
          <cell r="K5080">
            <v>1190</v>
          </cell>
          <cell r="AL5080">
            <v>2744</v>
          </cell>
          <cell r="AM5080">
            <v>10415</v>
          </cell>
        </row>
        <row r="5081">
          <cell r="A5081">
            <v>37102</v>
          </cell>
          <cell r="K5081">
            <v>1257</v>
          </cell>
          <cell r="AL5081">
            <v>3204</v>
          </cell>
          <cell r="AM5081">
            <v>10905</v>
          </cell>
        </row>
        <row r="5082">
          <cell r="A5082">
            <v>37103</v>
          </cell>
          <cell r="K5082">
            <v>1236</v>
          </cell>
          <cell r="AL5082">
            <v>2685</v>
          </cell>
          <cell r="AM5082">
            <v>11263</v>
          </cell>
        </row>
        <row r="5083">
          <cell r="A5083">
            <v>37104</v>
          </cell>
          <cell r="K5083">
            <v>1268</v>
          </cell>
          <cell r="AL5083">
            <v>3463</v>
          </cell>
          <cell r="AM5083">
            <v>11356</v>
          </cell>
        </row>
        <row r="5084">
          <cell r="A5084">
            <v>37105</v>
          </cell>
          <cell r="K5084">
            <v>1290</v>
          </cell>
          <cell r="AL5084">
            <v>2359</v>
          </cell>
          <cell r="AM5084">
            <v>11460</v>
          </cell>
        </row>
        <row r="5085">
          <cell r="A5085">
            <v>37106</v>
          </cell>
          <cell r="K5085">
            <v>1292</v>
          </cell>
          <cell r="AL5085">
            <v>1776</v>
          </cell>
          <cell r="AM5085">
            <v>11523</v>
          </cell>
        </row>
        <row r="5086">
          <cell r="A5086">
            <v>37109</v>
          </cell>
          <cell r="K5086">
            <v>1271</v>
          </cell>
          <cell r="AL5086">
            <v>3326</v>
          </cell>
          <cell r="AM5086">
            <v>11192</v>
          </cell>
        </row>
        <row r="5087">
          <cell r="A5087">
            <v>37110</v>
          </cell>
          <cell r="K5087">
            <v>1291</v>
          </cell>
          <cell r="AL5087">
            <v>2325</v>
          </cell>
          <cell r="AM5087">
            <v>11262</v>
          </cell>
        </row>
        <row r="5088">
          <cell r="A5088">
            <v>37111</v>
          </cell>
          <cell r="K5088">
            <v>1282</v>
          </cell>
          <cell r="AL5088">
            <v>2002</v>
          </cell>
          <cell r="AM5088">
            <v>11363</v>
          </cell>
        </row>
        <row r="5089">
          <cell r="A5089">
            <v>37112</v>
          </cell>
          <cell r="K5089">
            <v>1255</v>
          </cell>
          <cell r="AL5089">
            <v>2026</v>
          </cell>
          <cell r="AM5089">
            <v>11484</v>
          </cell>
        </row>
        <row r="5090">
          <cell r="A5090">
            <v>37113</v>
          </cell>
          <cell r="K5090">
            <v>1249</v>
          </cell>
          <cell r="AL5090">
            <v>1982</v>
          </cell>
          <cell r="AM5090">
            <v>11483</v>
          </cell>
        </row>
        <row r="5091">
          <cell r="A5091">
            <v>37116</v>
          </cell>
          <cell r="K5091">
            <v>1231</v>
          </cell>
          <cell r="AL5091">
            <v>1836</v>
          </cell>
          <cell r="AM5091">
            <v>11581</v>
          </cell>
        </row>
        <row r="5092">
          <cell r="A5092">
            <v>37117</v>
          </cell>
          <cell r="K5092">
            <v>1263</v>
          </cell>
          <cell r="AL5092">
            <v>2429</v>
          </cell>
          <cell r="AM5092">
            <v>11719</v>
          </cell>
        </row>
        <row r="5093">
          <cell r="A5093">
            <v>1323</v>
          </cell>
          <cell r="K5093">
            <v>1211</v>
          </cell>
          <cell r="AL5093">
            <v>3304</v>
          </cell>
          <cell r="AM5093">
            <v>11332</v>
          </cell>
        </row>
        <row r="5094">
          <cell r="A5094">
            <v>37119</v>
          </cell>
          <cell r="K5094">
            <v>1174</v>
          </cell>
          <cell r="AL5094">
            <v>3064</v>
          </cell>
          <cell r="AM5094">
            <v>10923</v>
          </cell>
        </row>
        <row r="5095">
          <cell r="A5095">
            <v>37120</v>
          </cell>
          <cell r="K5095">
            <v>1186</v>
          </cell>
          <cell r="AL5095">
            <v>3199</v>
          </cell>
          <cell r="AM5095">
            <v>11300</v>
          </cell>
        </row>
        <row r="5096">
          <cell r="A5096">
            <v>37123</v>
          </cell>
          <cell r="K5096">
            <v>1115</v>
          </cell>
          <cell r="AL5096">
            <v>3203</v>
          </cell>
          <cell r="AM5096">
            <v>11284</v>
          </cell>
        </row>
        <row r="5097">
          <cell r="A5097">
            <v>37124</v>
          </cell>
          <cell r="K5097">
            <v>1130</v>
          </cell>
          <cell r="AL5097">
            <v>2814</v>
          </cell>
          <cell r="AM5097">
            <v>11264</v>
          </cell>
        </row>
        <row r="5098">
          <cell r="A5098">
            <v>37125</v>
          </cell>
          <cell r="K5098">
            <v>1121</v>
          </cell>
          <cell r="AL5098">
            <v>2483</v>
          </cell>
          <cell r="AM5098">
            <v>11268</v>
          </cell>
        </row>
        <row r="5099">
          <cell r="A5099">
            <v>37126</v>
          </cell>
          <cell r="K5099">
            <v>1098</v>
          </cell>
          <cell r="AL5099">
            <v>2537</v>
          </cell>
          <cell r="AM5099">
            <v>11582</v>
          </cell>
        </row>
        <row r="5100">
          <cell r="A5100">
            <v>37127</v>
          </cell>
          <cell r="K5100">
            <v>1118</v>
          </cell>
          <cell r="AL5100">
            <v>1296</v>
          </cell>
          <cell r="AM5100">
            <v>11844</v>
          </cell>
        </row>
        <row r="5101">
          <cell r="A5101">
            <v>37130</v>
          </cell>
          <cell r="K5101">
            <v>1096</v>
          </cell>
          <cell r="AL5101">
            <v>2715</v>
          </cell>
          <cell r="AM5101">
            <v>11895</v>
          </cell>
        </row>
        <row r="5102">
          <cell r="A5102">
            <v>37131</v>
          </cell>
          <cell r="K5102">
            <v>1073</v>
          </cell>
          <cell r="AL5102">
            <v>3317</v>
          </cell>
          <cell r="AM5102">
            <v>11699</v>
          </cell>
        </row>
        <row r="5103">
          <cell r="A5103">
            <v>37132</v>
          </cell>
          <cell r="K5103">
            <v>1071</v>
          </cell>
          <cell r="AL5103">
            <v>2493</v>
          </cell>
          <cell r="AM5103">
            <v>11693</v>
          </cell>
        </row>
        <row r="5104">
          <cell r="A5104">
            <v>37133</v>
          </cell>
          <cell r="K5104">
            <v>1069</v>
          </cell>
          <cell r="AL5104">
            <v>1326</v>
          </cell>
          <cell r="AM5104">
            <v>11980</v>
          </cell>
        </row>
        <row r="5105">
          <cell r="A5105">
            <v>37137</v>
          </cell>
          <cell r="K5105">
            <v>1038</v>
          </cell>
          <cell r="AL5105">
            <v>1463</v>
          </cell>
          <cell r="AM5105">
            <v>11960</v>
          </cell>
        </row>
        <row r="5106">
          <cell r="A5106">
            <v>37138</v>
          </cell>
          <cell r="K5106">
            <v>1042</v>
          </cell>
          <cell r="AL5106">
            <v>1777</v>
          </cell>
          <cell r="AM5106">
            <v>12240</v>
          </cell>
        </row>
        <row r="5107">
          <cell r="A5107">
            <v>37139</v>
          </cell>
          <cell r="K5107">
            <v>1061</v>
          </cell>
          <cell r="AL5107">
            <v>1598</v>
          </cell>
          <cell r="AM5107">
            <v>12394</v>
          </cell>
        </row>
        <row r="5108">
          <cell r="A5108">
            <v>37140</v>
          </cell>
          <cell r="K5108">
            <v>1075</v>
          </cell>
          <cell r="AL5108">
            <v>1834</v>
          </cell>
          <cell r="AM5108">
            <v>12276</v>
          </cell>
        </row>
        <row r="5109">
          <cell r="A5109">
            <v>37141</v>
          </cell>
          <cell r="K5109">
            <v>1046</v>
          </cell>
          <cell r="AL5109">
            <v>1588</v>
          </cell>
          <cell r="AM5109">
            <v>12091</v>
          </cell>
        </row>
        <row r="5110">
          <cell r="A5110">
            <v>37144</v>
          </cell>
          <cell r="K5110">
            <v>1012</v>
          </cell>
          <cell r="AL5110">
            <v>1823</v>
          </cell>
          <cell r="AM5110">
            <v>11870</v>
          </cell>
        </row>
        <row r="5111">
          <cell r="A5111">
            <v>37145</v>
          </cell>
          <cell r="K5111">
            <v>1014</v>
          </cell>
          <cell r="AL5111">
            <v>2734</v>
          </cell>
          <cell r="AM5111">
            <v>11733</v>
          </cell>
        </row>
        <row r="5112">
          <cell r="A5112">
            <v>37147</v>
          </cell>
          <cell r="K5112">
            <v>999</v>
          </cell>
          <cell r="AL5112">
            <v>2528</v>
          </cell>
          <cell r="AM5112">
            <v>11513</v>
          </cell>
        </row>
        <row r="5113">
          <cell r="A5113">
            <v>37148</v>
          </cell>
          <cell r="K5113">
            <v>987</v>
          </cell>
          <cell r="AL5113">
            <v>1986</v>
          </cell>
          <cell r="AM5113">
            <v>11475</v>
          </cell>
        </row>
        <row r="5114">
          <cell r="A5114">
            <v>37151</v>
          </cell>
          <cell r="K5114">
            <v>915</v>
          </cell>
          <cell r="AL5114">
            <v>3404</v>
          </cell>
          <cell r="AM5114">
            <v>10992</v>
          </cell>
        </row>
        <row r="5115">
          <cell r="A5115">
            <v>37152</v>
          </cell>
          <cell r="K5115">
            <v>926</v>
          </cell>
          <cell r="AL5115">
            <v>2798</v>
          </cell>
          <cell r="AM5115">
            <v>11329</v>
          </cell>
        </row>
        <row r="5116">
          <cell r="A5116">
            <v>37153</v>
          </cell>
          <cell r="K5116">
            <v>928</v>
          </cell>
          <cell r="AL5116">
            <v>2122</v>
          </cell>
          <cell r="AM5116">
            <v>11699</v>
          </cell>
        </row>
        <row r="5117">
          <cell r="A5117">
            <v>37154</v>
          </cell>
          <cell r="K5117">
            <v>929</v>
          </cell>
          <cell r="AL5117">
            <v>2013</v>
          </cell>
          <cell r="AM5117">
            <v>12074</v>
          </cell>
        </row>
        <row r="5118">
          <cell r="A5118">
            <v>37155</v>
          </cell>
          <cell r="K5118">
            <v>993</v>
          </cell>
          <cell r="AL5118">
            <v>2289</v>
          </cell>
          <cell r="AM5118">
            <v>12278</v>
          </cell>
        </row>
        <row r="5119">
          <cell r="A5119">
            <v>37158</v>
          </cell>
          <cell r="K5119">
            <v>1015</v>
          </cell>
          <cell r="AL5119">
            <v>2782</v>
          </cell>
          <cell r="AM5119">
            <v>12722</v>
          </cell>
        </row>
        <row r="5120">
          <cell r="A5120">
            <v>37159</v>
          </cell>
          <cell r="K5120">
            <v>975</v>
          </cell>
          <cell r="AL5120">
            <v>2247</v>
          </cell>
          <cell r="AM5120">
            <v>12984</v>
          </cell>
        </row>
        <row r="5121">
          <cell r="A5121">
            <v>37160</v>
          </cell>
          <cell r="K5121">
            <v>967</v>
          </cell>
          <cell r="AL5121">
            <v>1700</v>
          </cell>
          <cell r="AM5121">
            <v>13245</v>
          </cell>
        </row>
        <row r="5122">
          <cell r="A5122">
            <v>37161</v>
          </cell>
          <cell r="K5122">
            <v>938</v>
          </cell>
          <cell r="AL5122">
            <v>2109</v>
          </cell>
          <cell r="AM5122">
            <v>13220</v>
          </cell>
        </row>
        <row r="5123">
          <cell r="A5123">
            <v>37162</v>
          </cell>
          <cell r="K5123">
            <v>940</v>
          </cell>
          <cell r="AL5123">
            <v>2411</v>
          </cell>
          <cell r="AM5123">
            <v>13453</v>
          </cell>
        </row>
        <row r="5124">
          <cell r="A5124">
            <v>37165</v>
          </cell>
          <cell r="K5124">
            <v>908</v>
          </cell>
          <cell r="AL5124">
            <v>1593</v>
          </cell>
          <cell r="AM5124">
            <v>13082</v>
          </cell>
        </row>
        <row r="5125">
          <cell r="A5125">
            <v>37166</v>
          </cell>
          <cell r="K5125">
            <v>880</v>
          </cell>
          <cell r="AL5125">
            <v>3061</v>
          </cell>
          <cell r="AM5125">
            <v>12710</v>
          </cell>
        </row>
        <row r="5126">
          <cell r="A5126">
            <v>37167</v>
          </cell>
          <cell r="K5126">
            <v>905</v>
          </cell>
          <cell r="AL5126">
            <v>2893</v>
          </cell>
          <cell r="AM5126">
            <v>12712</v>
          </cell>
        </row>
        <row r="5127">
          <cell r="A5127">
            <v>37168</v>
          </cell>
          <cell r="K5127">
            <v>920</v>
          </cell>
          <cell r="AL5127">
            <v>1822</v>
          </cell>
          <cell r="AM5127">
            <v>11789</v>
          </cell>
        </row>
        <row r="5128">
          <cell r="A5128">
            <v>37169</v>
          </cell>
          <cell r="K5128">
            <v>895</v>
          </cell>
          <cell r="AL5128">
            <v>1641</v>
          </cell>
          <cell r="AM5128">
            <v>11685</v>
          </cell>
        </row>
        <row r="5129">
          <cell r="A5129">
            <v>37172</v>
          </cell>
          <cell r="K5129">
            <v>880</v>
          </cell>
          <cell r="AL5129">
            <v>1911</v>
          </cell>
          <cell r="AM5129">
            <v>11676</v>
          </cell>
        </row>
        <row r="5130">
          <cell r="A5130">
            <v>37173</v>
          </cell>
          <cell r="K5130">
            <v>917</v>
          </cell>
          <cell r="AL5130">
            <v>3280</v>
          </cell>
          <cell r="AM5130">
            <v>11828</v>
          </cell>
        </row>
        <row r="5131">
          <cell r="A5131">
            <v>37174</v>
          </cell>
          <cell r="K5131">
            <v>973</v>
          </cell>
          <cell r="AL5131">
            <v>4299</v>
          </cell>
          <cell r="AM5131">
            <v>11804</v>
          </cell>
        </row>
        <row r="5132">
          <cell r="A5132">
            <v>37175</v>
          </cell>
          <cell r="K5132">
            <v>942</v>
          </cell>
          <cell r="AL5132">
            <v>2358</v>
          </cell>
          <cell r="AM5132">
            <v>12402</v>
          </cell>
        </row>
        <row r="5133">
          <cell r="A5133">
            <v>37176</v>
          </cell>
          <cell r="K5133">
            <v>928</v>
          </cell>
          <cell r="AL5133">
            <v>2487</v>
          </cell>
          <cell r="AM5133">
            <v>12738</v>
          </cell>
        </row>
        <row r="5134">
          <cell r="A5134">
            <v>37179</v>
          </cell>
          <cell r="K5134">
            <v>899</v>
          </cell>
          <cell r="AL5134">
            <v>1407</v>
          </cell>
          <cell r="AM5134">
            <v>12685</v>
          </cell>
        </row>
        <row r="5135">
          <cell r="A5135">
            <v>37180</v>
          </cell>
          <cell r="K5135">
            <v>910</v>
          </cell>
          <cell r="AL5135">
            <v>3013</v>
          </cell>
          <cell r="AM5135">
            <v>12601</v>
          </cell>
        </row>
        <row r="5136">
          <cell r="A5136">
            <v>37181</v>
          </cell>
          <cell r="K5136">
            <v>940</v>
          </cell>
          <cell r="AL5136">
            <v>2071</v>
          </cell>
          <cell r="AM5136">
            <v>12242</v>
          </cell>
        </row>
        <row r="5137">
          <cell r="A5137">
            <v>37182</v>
          </cell>
          <cell r="K5137">
            <v>950</v>
          </cell>
          <cell r="AL5137">
            <v>2286</v>
          </cell>
          <cell r="AM5137">
            <v>12377</v>
          </cell>
        </row>
        <row r="5138">
          <cell r="A5138">
            <v>37183</v>
          </cell>
          <cell r="K5138">
            <v>920</v>
          </cell>
          <cell r="AL5138">
            <v>2231</v>
          </cell>
          <cell r="AM5138">
            <v>12629</v>
          </cell>
        </row>
        <row r="5139">
          <cell r="A5139">
            <v>37186</v>
          </cell>
          <cell r="K5139">
            <v>916</v>
          </cell>
          <cell r="AL5139">
            <v>1622</v>
          </cell>
          <cell r="AM5139">
            <v>12992</v>
          </cell>
        </row>
        <row r="5140">
          <cell r="A5140">
            <v>37187</v>
          </cell>
          <cell r="K5140">
            <v>933</v>
          </cell>
          <cell r="AL5140">
            <v>2060</v>
          </cell>
          <cell r="AM5140">
            <v>13116</v>
          </cell>
        </row>
        <row r="5141">
          <cell r="A5141">
            <v>37188</v>
          </cell>
          <cell r="K5141">
            <v>930</v>
          </cell>
          <cell r="AL5141">
            <v>2039</v>
          </cell>
          <cell r="AM5141">
            <v>13144</v>
          </cell>
        </row>
        <row r="5142">
          <cell r="A5142">
            <v>37189</v>
          </cell>
          <cell r="K5142">
            <v>950</v>
          </cell>
          <cell r="AL5142">
            <v>2640</v>
          </cell>
          <cell r="AM5142">
            <v>13242</v>
          </cell>
        </row>
        <row r="5143">
          <cell r="A5143">
            <v>37190</v>
          </cell>
          <cell r="K5143">
            <v>968</v>
          </cell>
          <cell r="AL5143">
            <v>2016</v>
          </cell>
          <cell r="AM5143">
            <v>13344</v>
          </cell>
        </row>
        <row r="5144">
          <cell r="A5144">
            <v>37193</v>
          </cell>
          <cell r="K5144">
            <v>984</v>
          </cell>
          <cell r="AL5144">
            <v>1986</v>
          </cell>
          <cell r="AM5144">
            <v>13273</v>
          </cell>
        </row>
        <row r="5145">
          <cell r="A5145">
            <v>37194</v>
          </cell>
          <cell r="K5145">
            <v>995</v>
          </cell>
          <cell r="AL5145">
            <v>2391</v>
          </cell>
          <cell r="AM5145">
            <v>13290</v>
          </cell>
        </row>
        <row r="5146">
          <cell r="A5146">
            <v>37195</v>
          </cell>
          <cell r="K5146">
            <v>990</v>
          </cell>
          <cell r="AL5146">
            <v>2484</v>
          </cell>
          <cell r="AM5146">
            <v>13437</v>
          </cell>
        </row>
        <row r="5147">
          <cell r="A5147">
            <v>37196</v>
          </cell>
          <cell r="K5147">
            <v>1006</v>
          </cell>
          <cell r="AL5147">
            <v>2373</v>
          </cell>
          <cell r="AM5147">
            <v>13282</v>
          </cell>
        </row>
        <row r="5148">
          <cell r="A5148">
            <v>37197</v>
          </cell>
          <cell r="K5148">
            <v>1030</v>
          </cell>
          <cell r="AL5148">
            <v>2216</v>
          </cell>
          <cell r="AM5148">
            <v>13214</v>
          </cell>
        </row>
        <row r="5149">
          <cell r="A5149">
            <v>37200</v>
          </cell>
          <cell r="K5149">
            <v>1074</v>
          </cell>
          <cell r="AL5149">
            <v>3400</v>
          </cell>
          <cell r="AM5149">
            <v>13380</v>
          </cell>
        </row>
        <row r="5150">
          <cell r="A5150">
            <v>37201</v>
          </cell>
          <cell r="K5150">
            <v>1086</v>
          </cell>
          <cell r="AL5150">
            <v>2197</v>
          </cell>
          <cell r="AM5150">
            <v>13339</v>
          </cell>
        </row>
        <row r="5151">
          <cell r="A5151">
            <v>37202</v>
          </cell>
          <cell r="K5151">
            <v>1126</v>
          </cell>
          <cell r="AL5151">
            <v>3850</v>
          </cell>
          <cell r="AM5151">
            <v>13150</v>
          </cell>
        </row>
        <row r="5152">
          <cell r="A5152">
            <v>37203</v>
          </cell>
          <cell r="K5152">
            <v>1101</v>
          </cell>
          <cell r="AL5152">
            <v>2906</v>
          </cell>
          <cell r="AM5152">
            <v>12290</v>
          </cell>
        </row>
        <row r="5153">
          <cell r="A5153">
            <v>37204</v>
          </cell>
          <cell r="K5153">
            <v>1120</v>
          </cell>
          <cell r="AL5153">
            <v>2382</v>
          </cell>
          <cell r="AM5153">
            <v>11996</v>
          </cell>
        </row>
        <row r="5154">
          <cell r="A5154">
            <v>37207</v>
          </cell>
          <cell r="K5154">
            <v>1160</v>
          </cell>
          <cell r="AL5154">
            <v>4439</v>
          </cell>
          <cell r="AM5154">
            <v>12495</v>
          </cell>
        </row>
        <row r="5155">
          <cell r="A5155">
            <v>37208</v>
          </cell>
          <cell r="K5155">
            <v>1151</v>
          </cell>
          <cell r="AL5155">
            <v>1434</v>
          </cell>
          <cell r="AM5155">
            <v>12756</v>
          </cell>
        </row>
        <row r="5156">
          <cell r="A5156">
            <v>37210</v>
          </cell>
          <cell r="K5156">
            <v>1106</v>
          </cell>
          <cell r="AL5156">
            <v>3249</v>
          </cell>
          <cell r="AM5156">
            <v>13063</v>
          </cell>
        </row>
        <row r="5157">
          <cell r="A5157">
            <v>37211</v>
          </cell>
          <cell r="K5157">
            <v>1096</v>
          </cell>
          <cell r="AL5157">
            <v>2023</v>
          </cell>
          <cell r="AM5157">
            <v>13158</v>
          </cell>
        </row>
        <row r="5158">
          <cell r="A5158">
            <v>37214</v>
          </cell>
          <cell r="K5158">
            <v>1124</v>
          </cell>
          <cell r="AL5158">
            <v>2040</v>
          </cell>
          <cell r="AM5158">
            <v>13176</v>
          </cell>
        </row>
        <row r="5159">
          <cell r="A5159">
            <v>37215</v>
          </cell>
          <cell r="K5159">
            <v>1143</v>
          </cell>
          <cell r="AL5159">
            <v>3248</v>
          </cell>
          <cell r="AM5159">
            <v>13186</v>
          </cell>
        </row>
        <row r="5160">
          <cell r="A5160">
            <v>37216</v>
          </cell>
          <cell r="K5160">
            <v>1157</v>
          </cell>
          <cell r="AL5160">
            <v>2786</v>
          </cell>
          <cell r="AM5160">
            <v>13098</v>
          </cell>
        </row>
        <row r="5161">
          <cell r="A5161">
            <v>37218</v>
          </cell>
          <cell r="K5161">
            <v>1181</v>
          </cell>
          <cell r="AL5161">
            <v>4035</v>
          </cell>
          <cell r="AM5161">
            <v>13002</v>
          </cell>
        </row>
        <row r="5162">
          <cell r="A5162">
            <v>37221</v>
          </cell>
          <cell r="K5162">
            <v>1143</v>
          </cell>
          <cell r="AL5162">
            <v>2981</v>
          </cell>
          <cell r="AM5162">
            <v>12952</v>
          </cell>
        </row>
        <row r="5163">
          <cell r="A5163">
            <v>37222</v>
          </cell>
          <cell r="K5163">
            <v>1142</v>
          </cell>
          <cell r="AL5163">
            <v>2318</v>
          </cell>
          <cell r="AM5163">
            <v>12948</v>
          </cell>
        </row>
        <row r="5164">
          <cell r="A5164">
            <v>37223</v>
          </cell>
          <cell r="K5164">
            <v>1096</v>
          </cell>
          <cell r="AL5164">
            <v>3424</v>
          </cell>
          <cell r="AM5164">
            <v>12459</v>
          </cell>
        </row>
        <row r="5165">
          <cell r="A5165">
            <v>37224</v>
          </cell>
          <cell r="K5165">
            <v>1103</v>
          </cell>
          <cell r="AL5165">
            <v>2328</v>
          </cell>
          <cell r="AM5165">
            <v>12780</v>
          </cell>
        </row>
        <row r="5166">
          <cell r="A5166">
            <v>37225</v>
          </cell>
          <cell r="K5166">
            <v>1097</v>
          </cell>
          <cell r="AL5166">
            <v>982</v>
          </cell>
          <cell r="AM5166">
            <v>12720</v>
          </cell>
        </row>
        <row r="5167">
          <cell r="A5167">
            <v>37228</v>
          </cell>
          <cell r="K5167">
            <v>1152</v>
          </cell>
          <cell r="AL5167">
            <v>2355</v>
          </cell>
          <cell r="AM5167">
            <v>12121</v>
          </cell>
        </row>
        <row r="5168">
          <cell r="A5168">
            <v>37229</v>
          </cell>
          <cell r="K5168">
            <v>1163</v>
          </cell>
          <cell r="AL5168">
            <v>2186</v>
          </cell>
          <cell r="AM5168">
            <v>12115</v>
          </cell>
        </row>
        <row r="5169">
          <cell r="A5169">
            <v>37230</v>
          </cell>
          <cell r="K5169">
            <v>1142</v>
          </cell>
          <cell r="AL5169">
            <v>1501</v>
          </cell>
          <cell r="AM5169">
            <v>11765</v>
          </cell>
        </row>
        <row r="5170">
          <cell r="A5170">
            <v>37231</v>
          </cell>
          <cell r="K5170">
            <v>1188</v>
          </cell>
          <cell r="AL5170">
            <v>2903</v>
          </cell>
          <cell r="AM5170">
            <v>11465</v>
          </cell>
        </row>
        <row r="5171">
          <cell r="A5171">
            <v>37232</v>
          </cell>
          <cell r="K5171">
            <v>1169</v>
          </cell>
          <cell r="AL5171">
            <v>2876</v>
          </cell>
          <cell r="AM5171">
            <v>11425</v>
          </cell>
        </row>
        <row r="5172">
          <cell r="A5172">
            <v>37235</v>
          </cell>
          <cell r="K5172">
            <v>1181</v>
          </cell>
          <cell r="AL5172">
            <v>1501</v>
          </cell>
          <cell r="AM5172">
            <v>11491</v>
          </cell>
        </row>
        <row r="5173">
          <cell r="A5173">
            <v>37236</v>
          </cell>
          <cell r="K5173">
            <v>1188</v>
          </cell>
          <cell r="AL5173">
            <v>1022</v>
          </cell>
          <cell r="AM5173">
            <v>11463</v>
          </cell>
        </row>
        <row r="5174">
          <cell r="A5174">
            <v>37237</v>
          </cell>
          <cell r="K5174">
            <v>1169</v>
          </cell>
          <cell r="AL5174">
            <v>1140</v>
          </cell>
          <cell r="AM5174">
            <v>10855</v>
          </cell>
        </row>
        <row r="5175">
          <cell r="A5175">
            <v>37238</v>
          </cell>
          <cell r="K5175">
            <v>1170</v>
          </cell>
          <cell r="AL5175">
            <v>526</v>
          </cell>
          <cell r="AM5175">
            <v>10779</v>
          </cell>
        </row>
        <row r="5176">
          <cell r="A5176">
            <v>37239</v>
          </cell>
          <cell r="K5176">
            <v>1182</v>
          </cell>
          <cell r="AL5176">
            <v>812</v>
          </cell>
          <cell r="AM5176">
            <v>10499</v>
          </cell>
        </row>
        <row r="5177">
          <cell r="A5177">
            <v>37245</v>
          </cell>
          <cell r="K5177">
            <v>1160</v>
          </cell>
          <cell r="AL5177">
            <v>1738</v>
          </cell>
          <cell r="AM5177">
            <v>10706</v>
          </cell>
        </row>
        <row r="5178">
          <cell r="A5178">
            <v>37246</v>
          </cell>
          <cell r="K5178">
            <v>1134</v>
          </cell>
          <cell r="AL5178">
            <v>1758</v>
          </cell>
          <cell r="AM5178">
            <v>10611</v>
          </cell>
        </row>
        <row r="5179">
          <cell r="A5179">
            <v>37249</v>
          </cell>
          <cell r="K5179">
            <v>1146</v>
          </cell>
          <cell r="AL5179">
            <v>842</v>
          </cell>
          <cell r="AM5179">
            <v>10584</v>
          </cell>
        </row>
        <row r="5180">
          <cell r="A5180">
            <v>37251</v>
          </cell>
          <cell r="K5180">
            <v>1170</v>
          </cell>
          <cell r="AL5180">
            <v>649</v>
          </cell>
          <cell r="AM5180">
            <v>10438</v>
          </cell>
        </row>
        <row r="5181">
          <cell r="A5181">
            <v>37252</v>
          </cell>
          <cell r="K5181">
            <v>1157</v>
          </cell>
          <cell r="AL5181">
            <v>554</v>
          </cell>
          <cell r="AM5181">
            <v>10355</v>
          </cell>
        </row>
        <row r="5182">
          <cell r="A5182">
            <v>37253</v>
          </cell>
          <cell r="K5182">
            <v>1166</v>
          </cell>
          <cell r="AL5182">
            <v>304</v>
          </cell>
          <cell r="AM5182">
            <v>10353</v>
          </cell>
        </row>
        <row r="5183">
          <cell r="A5183">
            <v>37256</v>
          </cell>
          <cell r="K5183">
            <v>1146</v>
          </cell>
          <cell r="AL5183">
            <v>1381</v>
          </cell>
          <cell r="AM5183">
            <v>10573</v>
          </cell>
        </row>
        <row r="5184">
          <cell r="A5184">
            <v>37258</v>
          </cell>
          <cell r="K5184">
            <v>1160</v>
          </cell>
          <cell r="AL5184">
            <v>1378</v>
          </cell>
          <cell r="AM5184">
            <v>10705</v>
          </cell>
        </row>
        <row r="5185">
          <cell r="A5185">
            <v>37259</v>
          </cell>
          <cell r="K5185">
            <v>1160</v>
          </cell>
          <cell r="AL5185">
            <v>1405</v>
          </cell>
          <cell r="AM5185">
            <v>10708</v>
          </cell>
        </row>
        <row r="5186">
          <cell r="A5186">
            <v>37260</v>
          </cell>
          <cell r="K5186">
            <v>1196</v>
          </cell>
          <cell r="AL5186">
            <v>2398</v>
          </cell>
          <cell r="AM5186">
            <v>10806</v>
          </cell>
        </row>
        <row r="5187">
          <cell r="A5187">
            <v>37263</v>
          </cell>
          <cell r="K5187">
            <v>1234</v>
          </cell>
          <cell r="AL5187">
            <v>3195</v>
          </cell>
          <cell r="AM5187">
            <v>11090</v>
          </cell>
        </row>
        <row r="5188">
          <cell r="A5188">
            <v>37264</v>
          </cell>
          <cell r="K5188">
            <v>1247</v>
          </cell>
          <cell r="AL5188">
            <v>4207</v>
          </cell>
          <cell r="AM5188">
            <v>11718</v>
          </cell>
        </row>
        <row r="5189">
          <cell r="A5189">
            <v>37265</v>
          </cell>
          <cell r="K5189">
            <v>1231</v>
          </cell>
          <cell r="AL5189">
            <v>2377</v>
          </cell>
          <cell r="AM5189">
            <v>11895</v>
          </cell>
        </row>
        <row r="5190">
          <cell r="A5190">
            <v>37266</v>
          </cell>
          <cell r="K5190">
            <v>1218</v>
          </cell>
          <cell r="AL5190">
            <v>3201</v>
          </cell>
          <cell r="AM5190">
            <v>11693</v>
          </cell>
        </row>
        <row r="5191">
          <cell r="A5191">
            <v>37267</v>
          </cell>
          <cell r="K5191">
            <v>1225</v>
          </cell>
          <cell r="AL5191">
            <v>2824</v>
          </cell>
          <cell r="AM5191">
            <v>11138</v>
          </cell>
        </row>
        <row r="5192">
          <cell r="A5192">
            <v>37270</v>
          </cell>
          <cell r="K5192">
            <v>1191</v>
          </cell>
          <cell r="AL5192">
            <v>3726</v>
          </cell>
          <cell r="AM5192">
            <v>11274</v>
          </cell>
        </row>
        <row r="5193">
          <cell r="A5193">
            <v>37271</v>
          </cell>
          <cell r="K5193">
            <v>1186</v>
          </cell>
          <cell r="AL5193">
            <v>3718</v>
          </cell>
          <cell r="AM5193">
            <v>10495</v>
          </cell>
        </row>
        <row r="5194">
          <cell r="A5194">
            <v>37272</v>
          </cell>
          <cell r="K5194">
            <v>1219</v>
          </cell>
          <cell r="AL5194">
            <v>3806</v>
          </cell>
          <cell r="AM5194">
            <v>9974</v>
          </cell>
        </row>
        <row r="5195">
          <cell r="A5195">
            <v>37273</v>
          </cell>
          <cell r="K5195">
            <v>1196</v>
          </cell>
          <cell r="AL5195">
            <v>3162</v>
          </cell>
          <cell r="AM5195">
            <v>10044</v>
          </cell>
        </row>
        <row r="5196">
          <cell r="A5196">
            <v>37274</v>
          </cell>
          <cell r="K5196">
            <v>1197</v>
          </cell>
          <cell r="AL5196">
            <v>3092</v>
          </cell>
          <cell r="AM5196">
            <v>10092</v>
          </cell>
        </row>
        <row r="5197">
          <cell r="A5197">
            <v>37277</v>
          </cell>
          <cell r="K5197">
            <v>1208</v>
          </cell>
          <cell r="AL5197">
            <v>3298</v>
          </cell>
          <cell r="AM5197">
            <v>10353</v>
          </cell>
        </row>
        <row r="5198">
          <cell r="A5198">
            <v>37278</v>
          </cell>
          <cell r="K5198">
            <v>1237</v>
          </cell>
          <cell r="AL5198">
            <v>3847</v>
          </cell>
          <cell r="AM5198">
            <v>10510</v>
          </cell>
        </row>
        <row r="5199">
          <cell r="A5199">
            <v>37279</v>
          </cell>
          <cell r="K5199">
            <v>1218</v>
          </cell>
          <cell r="AL5199">
            <v>3614</v>
          </cell>
          <cell r="AM5199">
            <v>10487</v>
          </cell>
        </row>
        <row r="5200">
          <cell r="A5200">
            <v>37280</v>
          </cell>
          <cell r="K5200">
            <v>1223</v>
          </cell>
          <cell r="AL5200">
            <v>3251</v>
          </cell>
          <cell r="AM5200">
            <v>10240</v>
          </cell>
        </row>
        <row r="5201">
          <cell r="A5201">
            <v>37281</v>
          </cell>
          <cell r="K5201">
            <v>1222</v>
          </cell>
          <cell r="AL5201">
            <v>1125</v>
          </cell>
          <cell r="AM5201">
            <v>10450</v>
          </cell>
        </row>
        <row r="5202">
          <cell r="A5202">
            <v>37284</v>
          </cell>
          <cell r="K5202">
            <v>1205</v>
          </cell>
          <cell r="AL5202">
            <v>2693</v>
          </cell>
          <cell r="AM5202">
            <v>10628</v>
          </cell>
        </row>
        <row r="5203">
          <cell r="A5203">
            <v>37285</v>
          </cell>
          <cell r="K5203">
            <v>1185</v>
          </cell>
          <cell r="AL5203">
            <v>3548</v>
          </cell>
          <cell r="AM5203">
            <v>10797</v>
          </cell>
        </row>
        <row r="5204">
          <cell r="A5204">
            <v>37286</v>
          </cell>
          <cell r="K5204">
            <v>1160</v>
          </cell>
          <cell r="AL5204">
            <v>3451</v>
          </cell>
          <cell r="AM5204">
            <v>10642</v>
          </cell>
        </row>
        <row r="5205">
          <cell r="A5205">
            <v>37287</v>
          </cell>
          <cell r="K5205">
            <v>1155</v>
          </cell>
          <cell r="AL5205">
            <v>4311</v>
          </cell>
          <cell r="AM5205">
            <v>10586</v>
          </cell>
        </row>
        <row r="5206">
          <cell r="A5206">
            <v>37291</v>
          </cell>
          <cell r="K5206">
            <v>1157</v>
          </cell>
          <cell r="AL5206">
            <v>2529</v>
          </cell>
          <cell r="AM5206">
            <v>10058</v>
          </cell>
        </row>
        <row r="5207">
          <cell r="A5207">
            <v>37292</v>
          </cell>
          <cell r="K5207">
            <v>1167</v>
          </cell>
          <cell r="AL5207">
            <v>2649</v>
          </cell>
          <cell r="AM5207">
            <v>9931</v>
          </cell>
        </row>
        <row r="5208">
          <cell r="A5208">
            <v>37293</v>
          </cell>
          <cell r="K5208">
            <v>1146</v>
          </cell>
          <cell r="AL5208">
            <v>2491</v>
          </cell>
          <cell r="AM5208">
            <v>10142</v>
          </cell>
        </row>
        <row r="5209">
          <cell r="A5209">
            <v>37294</v>
          </cell>
          <cell r="K5209">
            <v>1128</v>
          </cell>
          <cell r="AL5209">
            <v>3230</v>
          </cell>
          <cell r="AM5209">
            <v>10029</v>
          </cell>
        </row>
        <row r="5210">
          <cell r="A5210">
            <v>37295</v>
          </cell>
          <cell r="K5210">
            <v>1137</v>
          </cell>
          <cell r="AL5210">
            <v>2631</v>
          </cell>
          <cell r="AM5210">
            <v>9469</v>
          </cell>
        </row>
        <row r="5211">
          <cell r="A5211">
            <v>37301</v>
          </cell>
          <cell r="K5211">
            <v>1125</v>
          </cell>
          <cell r="AL5211">
            <v>1369</v>
          </cell>
          <cell r="AM5211">
            <v>9307</v>
          </cell>
        </row>
        <row r="5212">
          <cell r="A5212">
            <v>37302</v>
          </cell>
          <cell r="K5212">
            <v>1119</v>
          </cell>
          <cell r="AL5212">
            <v>2200</v>
          </cell>
          <cell r="AM5212">
            <v>9102</v>
          </cell>
        </row>
        <row r="5213">
          <cell r="A5213">
            <v>37305</v>
          </cell>
          <cell r="K5213">
            <v>1162</v>
          </cell>
          <cell r="AL5213">
            <v>2717</v>
          </cell>
          <cell r="AM5213">
            <v>9477</v>
          </cell>
        </row>
        <row r="5214">
          <cell r="A5214">
            <v>37306</v>
          </cell>
          <cell r="K5214">
            <v>1160</v>
          </cell>
          <cell r="AL5214">
            <v>1939</v>
          </cell>
          <cell r="AM5214">
            <v>9404</v>
          </cell>
        </row>
        <row r="5215">
          <cell r="A5215">
            <v>37307</v>
          </cell>
          <cell r="K5215">
            <v>1165</v>
          </cell>
          <cell r="AL5215">
            <v>3286</v>
          </cell>
          <cell r="AM5215">
            <v>9080</v>
          </cell>
        </row>
        <row r="5216">
          <cell r="A5216">
            <v>37308</v>
          </cell>
          <cell r="K5216">
            <v>1164</v>
          </cell>
          <cell r="AL5216">
            <v>1677</v>
          </cell>
          <cell r="AM5216">
            <v>9383</v>
          </cell>
        </row>
        <row r="5217">
          <cell r="A5217">
            <v>37309</v>
          </cell>
          <cell r="K5217">
            <v>1184</v>
          </cell>
          <cell r="AL5217">
            <v>3078</v>
          </cell>
          <cell r="AM5217">
            <v>9186</v>
          </cell>
        </row>
        <row r="5218">
          <cell r="A5218">
            <v>37312</v>
          </cell>
          <cell r="K5218">
            <v>1175</v>
          </cell>
          <cell r="AL5218">
            <v>1825</v>
          </cell>
          <cell r="AM5218">
            <v>9146</v>
          </cell>
        </row>
        <row r="5219">
          <cell r="A5219">
            <v>37313</v>
          </cell>
          <cell r="K5219">
            <v>1177</v>
          </cell>
          <cell r="AL5219">
            <v>2182</v>
          </cell>
          <cell r="AM5219">
            <v>8949</v>
          </cell>
        </row>
        <row r="5220">
          <cell r="A5220">
            <v>37314</v>
          </cell>
          <cell r="K5220">
            <v>1181</v>
          </cell>
          <cell r="AL5220">
            <v>1917</v>
          </cell>
          <cell r="AM5220">
            <v>8693</v>
          </cell>
        </row>
        <row r="5221">
          <cell r="A5221">
            <v>37315</v>
          </cell>
          <cell r="K5221">
            <v>1150</v>
          </cell>
          <cell r="AL5221">
            <v>3669</v>
          </cell>
          <cell r="AM5221">
            <v>8876</v>
          </cell>
        </row>
        <row r="5222">
          <cell r="A5222">
            <v>37316</v>
          </cell>
          <cell r="K5222">
            <v>1162</v>
          </cell>
          <cell r="AL5222">
            <v>2215</v>
          </cell>
          <cell r="AM5222">
            <v>8988</v>
          </cell>
        </row>
        <row r="5223">
          <cell r="A5223">
            <v>37319</v>
          </cell>
          <cell r="K5223">
            <v>1169</v>
          </cell>
          <cell r="AL5223">
            <v>1209</v>
          </cell>
          <cell r="AM5223">
            <v>9107</v>
          </cell>
        </row>
        <row r="5224">
          <cell r="A5224">
            <v>37320</v>
          </cell>
          <cell r="K5224">
            <v>1165</v>
          </cell>
          <cell r="AL5224">
            <v>1452</v>
          </cell>
          <cell r="AM5224">
            <v>9367</v>
          </cell>
        </row>
        <row r="5225">
          <cell r="A5225">
            <v>37321</v>
          </cell>
          <cell r="K5225">
            <v>1166</v>
          </cell>
          <cell r="AL5225">
            <v>2098</v>
          </cell>
          <cell r="AM5225">
            <v>9319</v>
          </cell>
        </row>
        <row r="5226">
          <cell r="A5226">
            <v>37322</v>
          </cell>
          <cell r="K5226">
            <v>1170</v>
          </cell>
          <cell r="AL5226">
            <v>1163</v>
          </cell>
          <cell r="AM5226">
            <v>9386</v>
          </cell>
        </row>
        <row r="5227">
          <cell r="A5227">
            <v>37323</v>
          </cell>
          <cell r="K5227">
            <v>1165</v>
          </cell>
          <cell r="AL5227">
            <v>827</v>
          </cell>
          <cell r="AM5227">
            <v>9307</v>
          </cell>
        </row>
        <row r="5228">
          <cell r="A5228">
            <v>37326</v>
          </cell>
          <cell r="K5228">
            <v>1154</v>
          </cell>
          <cell r="AL5228">
            <v>1463</v>
          </cell>
          <cell r="AM5228">
            <v>9240</v>
          </cell>
        </row>
        <row r="5229">
          <cell r="A5229">
            <v>37327</v>
          </cell>
          <cell r="K5229">
            <v>1155</v>
          </cell>
          <cell r="AL5229">
            <v>2770</v>
          </cell>
          <cell r="AM5229">
            <v>9413</v>
          </cell>
        </row>
        <row r="5230">
          <cell r="A5230">
            <v>37328</v>
          </cell>
          <cell r="K5230">
            <v>1165</v>
          </cell>
          <cell r="AL5230">
            <v>2153</v>
          </cell>
          <cell r="AM5230">
            <v>9740</v>
          </cell>
        </row>
        <row r="5231">
          <cell r="A5231">
            <v>37329</v>
          </cell>
          <cell r="K5231">
            <v>1181</v>
          </cell>
          <cell r="AL5231">
            <v>2861</v>
          </cell>
          <cell r="AM5231">
            <v>9836</v>
          </cell>
        </row>
        <row r="5232">
          <cell r="A5232">
            <v>37333</v>
          </cell>
          <cell r="K5232">
            <v>1180</v>
          </cell>
          <cell r="AL5232">
            <v>4898</v>
          </cell>
          <cell r="AM5232">
            <v>9626</v>
          </cell>
        </row>
        <row r="5233">
          <cell r="A5233">
            <v>37334</v>
          </cell>
          <cell r="K5233">
            <v>1169</v>
          </cell>
          <cell r="AL5233">
            <v>2770</v>
          </cell>
          <cell r="AM5233">
            <v>9168</v>
          </cell>
        </row>
        <row r="5234">
          <cell r="A5234">
            <v>37335</v>
          </cell>
          <cell r="K5234">
            <v>1172</v>
          </cell>
          <cell r="AL5234">
            <v>1203</v>
          </cell>
          <cell r="AM5234">
            <v>9454</v>
          </cell>
        </row>
        <row r="5235">
          <cell r="A5235">
            <v>37336</v>
          </cell>
          <cell r="K5235">
            <v>1168</v>
          </cell>
          <cell r="AL5235">
            <v>1049</v>
          </cell>
          <cell r="AM5235">
            <v>9587</v>
          </cell>
        </row>
        <row r="5236">
          <cell r="A5236">
            <v>37337</v>
          </cell>
          <cell r="K5236">
            <v>1156</v>
          </cell>
          <cell r="AL5236">
            <v>2431</v>
          </cell>
          <cell r="AM5236">
            <v>9615</v>
          </cell>
        </row>
        <row r="5237">
          <cell r="A5237">
            <v>37340</v>
          </cell>
          <cell r="K5237">
            <v>1137</v>
          </cell>
          <cell r="AL5237">
            <v>2532</v>
          </cell>
          <cell r="AM5237">
            <v>9678</v>
          </cell>
        </row>
        <row r="5238">
          <cell r="A5238">
            <v>37341</v>
          </cell>
          <cell r="K5238">
            <v>1137</v>
          </cell>
          <cell r="AL5238">
            <v>3032</v>
          </cell>
          <cell r="AM5238">
            <v>9780</v>
          </cell>
        </row>
        <row r="5239">
          <cell r="A5239">
            <v>37342</v>
          </cell>
          <cell r="K5239">
            <v>1131</v>
          </cell>
          <cell r="AL5239">
            <v>2345</v>
          </cell>
          <cell r="AM5239">
            <v>9897</v>
          </cell>
        </row>
        <row r="5240">
          <cell r="A5240">
            <v>37343</v>
          </cell>
          <cell r="K5240">
            <v>1148</v>
          </cell>
          <cell r="AL5240">
            <v>2901</v>
          </cell>
          <cell r="AM5240">
            <v>10171</v>
          </cell>
        </row>
        <row r="5241">
          <cell r="A5241">
            <v>37344</v>
          </cell>
          <cell r="K5241">
            <v>1152</v>
          </cell>
          <cell r="AL5241">
            <v>2820</v>
          </cell>
          <cell r="AM5241">
            <v>10523</v>
          </cell>
        </row>
        <row r="5242">
          <cell r="A5242">
            <v>37347</v>
          </cell>
          <cell r="K5242">
            <v>1154</v>
          </cell>
          <cell r="AL5242">
            <v>1502</v>
          </cell>
          <cell r="AM5242">
            <v>10483</v>
          </cell>
        </row>
        <row r="5243">
          <cell r="A5243">
            <v>37348</v>
          </cell>
          <cell r="K5243">
            <v>1151</v>
          </cell>
          <cell r="AL5243">
            <v>1398</v>
          </cell>
          <cell r="AM5243">
            <v>10683</v>
          </cell>
        </row>
        <row r="5244">
          <cell r="A5244">
            <v>37349</v>
          </cell>
          <cell r="K5244">
            <v>1157</v>
          </cell>
          <cell r="AL5244">
            <v>2074</v>
          </cell>
          <cell r="AM5244">
            <v>10834</v>
          </cell>
        </row>
        <row r="5245">
          <cell r="A5245">
            <v>37350</v>
          </cell>
          <cell r="K5245">
            <v>1155</v>
          </cell>
          <cell r="AL5245">
            <v>1506</v>
          </cell>
          <cell r="AM5245">
            <v>11126</v>
          </cell>
        </row>
        <row r="5246">
          <cell r="A5246">
            <v>37351</v>
          </cell>
          <cell r="K5246">
            <v>1161</v>
          </cell>
          <cell r="AL5246">
            <v>1898</v>
          </cell>
          <cell r="AM5246">
            <v>11046</v>
          </cell>
        </row>
        <row r="5247">
          <cell r="A5247">
            <v>37354</v>
          </cell>
          <cell r="K5247">
            <v>1170</v>
          </cell>
          <cell r="AL5247">
            <v>2374</v>
          </cell>
          <cell r="AM5247">
            <v>10674</v>
          </cell>
        </row>
        <row r="5248">
          <cell r="A5248">
            <v>37355</v>
          </cell>
          <cell r="K5248">
            <v>1160</v>
          </cell>
          <cell r="AL5248">
            <v>1005</v>
          </cell>
          <cell r="AM5248">
            <v>10786</v>
          </cell>
        </row>
        <row r="5249">
          <cell r="A5249">
            <v>37356</v>
          </cell>
          <cell r="K5249">
            <v>1176</v>
          </cell>
          <cell r="AL5249">
            <v>2019</v>
          </cell>
          <cell r="AM5249">
            <v>10812</v>
          </cell>
        </row>
        <row r="5250">
          <cell r="A5250">
            <v>37357</v>
          </cell>
          <cell r="K5250">
            <v>1172</v>
          </cell>
          <cell r="AL5250">
            <v>1194</v>
          </cell>
          <cell r="AM5250">
            <v>10808</v>
          </cell>
        </row>
        <row r="5251">
          <cell r="A5251">
            <v>37358</v>
          </cell>
          <cell r="K5251">
            <v>1177</v>
          </cell>
          <cell r="AL5251">
            <v>2124</v>
          </cell>
          <cell r="AM5251">
            <v>10450</v>
          </cell>
        </row>
        <row r="5252">
          <cell r="A5252">
            <v>37361</v>
          </cell>
          <cell r="K5252">
            <v>1189</v>
          </cell>
          <cell r="AL5252">
            <v>2373</v>
          </cell>
          <cell r="AM5252">
            <v>10098</v>
          </cell>
        </row>
        <row r="5253">
          <cell r="A5253">
            <v>37362</v>
          </cell>
          <cell r="K5253">
            <v>1182</v>
          </cell>
          <cell r="AL5253">
            <v>997</v>
          </cell>
          <cell r="AM5253">
            <v>10275</v>
          </cell>
        </row>
        <row r="5254">
          <cell r="A5254">
            <v>37363</v>
          </cell>
          <cell r="K5254">
            <v>1182</v>
          </cell>
          <cell r="AL5254">
            <v>985</v>
          </cell>
          <cell r="AM5254">
            <v>10340</v>
          </cell>
        </row>
        <row r="5255">
          <cell r="A5255">
            <v>37364</v>
          </cell>
          <cell r="K5255">
            <v>1189</v>
          </cell>
          <cell r="AL5255">
            <v>2293</v>
          </cell>
          <cell r="AM5255">
            <v>10364</v>
          </cell>
        </row>
        <row r="5256">
          <cell r="A5256">
            <v>37365</v>
          </cell>
          <cell r="K5256">
            <v>1201</v>
          </cell>
          <cell r="AL5256">
            <v>940</v>
          </cell>
          <cell r="AM5256">
            <v>10266</v>
          </cell>
        </row>
        <row r="5257">
          <cell r="A5257">
            <v>37368</v>
          </cell>
          <cell r="K5257">
            <v>1236</v>
          </cell>
          <cell r="AL5257">
            <v>2791</v>
          </cell>
          <cell r="AM5257">
            <v>9644</v>
          </cell>
        </row>
        <row r="5258">
          <cell r="A5258">
            <v>37369</v>
          </cell>
          <cell r="K5258">
            <v>1221</v>
          </cell>
          <cell r="AL5258">
            <v>3289</v>
          </cell>
          <cell r="AM5258">
            <v>9557</v>
          </cell>
        </row>
        <row r="5259">
          <cell r="A5259">
            <v>37370</v>
          </cell>
          <cell r="K5259">
            <v>1245</v>
          </cell>
          <cell r="AL5259">
            <v>3468</v>
          </cell>
          <cell r="AM5259">
            <v>10017</v>
          </cell>
        </row>
        <row r="5260">
          <cell r="A5260">
            <v>37372</v>
          </cell>
          <cell r="K5260">
            <v>1227</v>
          </cell>
          <cell r="AL5260">
            <v>2491</v>
          </cell>
          <cell r="AM5260">
            <v>10373</v>
          </cell>
        </row>
        <row r="5261">
          <cell r="A5261">
            <v>37375</v>
          </cell>
          <cell r="K5261">
            <v>1206</v>
          </cell>
          <cell r="AL5261">
            <v>2844</v>
          </cell>
          <cell r="AM5261">
            <v>10962</v>
          </cell>
        </row>
        <row r="5262">
          <cell r="A5262">
            <v>37376</v>
          </cell>
          <cell r="K5262">
            <v>1204</v>
          </cell>
          <cell r="AL5262">
            <v>2685</v>
          </cell>
          <cell r="AM5262">
            <v>11485</v>
          </cell>
        </row>
        <row r="5263">
          <cell r="A5263">
            <v>37378</v>
          </cell>
          <cell r="K5263">
            <v>1219</v>
          </cell>
          <cell r="AL5263">
            <v>1381</v>
          </cell>
          <cell r="AM5263">
            <v>11249</v>
          </cell>
        </row>
        <row r="5264">
          <cell r="A5264">
            <v>37379</v>
          </cell>
          <cell r="K5264">
            <v>1205</v>
          </cell>
          <cell r="AL5264">
            <v>1160</v>
          </cell>
          <cell r="AM5264">
            <v>11327</v>
          </cell>
        </row>
        <row r="5265">
          <cell r="A5265">
            <v>37382</v>
          </cell>
          <cell r="K5265">
            <v>1192</v>
          </cell>
          <cell r="AL5265">
            <v>1800</v>
          </cell>
          <cell r="AM5265">
            <v>11466</v>
          </cell>
        </row>
        <row r="5266">
          <cell r="A5266">
            <v>37383</v>
          </cell>
          <cell r="K5266">
            <v>1207</v>
          </cell>
          <cell r="AL5266">
            <v>2042</v>
          </cell>
          <cell r="AM5266">
            <v>11356</v>
          </cell>
        </row>
        <row r="5267">
          <cell r="A5267">
            <v>37384</v>
          </cell>
          <cell r="K5267">
            <v>1222</v>
          </cell>
          <cell r="AL5267">
            <v>1995</v>
          </cell>
          <cell r="AM5267">
            <v>11081</v>
          </cell>
        </row>
        <row r="5268">
          <cell r="A5268">
            <v>37385</v>
          </cell>
          <cell r="K5268">
            <v>1237</v>
          </cell>
          <cell r="AL5268">
            <v>3245</v>
          </cell>
          <cell r="AM5268">
            <v>11333</v>
          </cell>
        </row>
        <row r="5269">
          <cell r="A5269">
            <v>37386</v>
          </cell>
          <cell r="K5269">
            <v>1253</v>
          </cell>
          <cell r="AL5269">
            <v>2667</v>
          </cell>
          <cell r="AM5269">
            <v>11493</v>
          </cell>
        </row>
        <row r="5270">
          <cell r="A5270">
            <v>37389</v>
          </cell>
          <cell r="K5270">
            <v>1248</v>
          </cell>
          <cell r="AL5270">
            <v>2660</v>
          </cell>
          <cell r="AM5270">
            <v>11557</v>
          </cell>
        </row>
        <row r="5271">
          <cell r="A5271">
            <v>37390</v>
          </cell>
          <cell r="K5271">
            <v>1258</v>
          </cell>
          <cell r="AL5271">
            <v>2258</v>
          </cell>
          <cell r="AM5271">
            <v>11302</v>
          </cell>
        </row>
        <row r="5272">
          <cell r="A5272">
            <v>37391</v>
          </cell>
          <cell r="K5272">
            <v>1243</v>
          </cell>
          <cell r="AL5272">
            <v>1260</v>
          </cell>
          <cell r="AM5272">
            <v>11095</v>
          </cell>
        </row>
        <row r="5273">
          <cell r="A5273">
            <v>37392</v>
          </cell>
          <cell r="K5273">
            <v>1260</v>
          </cell>
          <cell r="AL5273">
            <v>2610</v>
          </cell>
          <cell r="AM5273">
            <v>11563</v>
          </cell>
        </row>
        <row r="5274">
          <cell r="A5274">
            <v>37393</v>
          </cell>
          <cell r="K5274">
            <v>1261</v>
          </cell>
          <cell r="AL5274">
            <v>2332</v>
          </cell>
          <cell r="AM5274">
            <v>11892</v>
          </cell>
        </row>
        <row r="5275">
          <cell r="A5275">
            <v>37396</v>
          </cell>
          <cell r="K5275">
            <v>1298</v>
          </cell>
          <cell r="AL5275">
            <v>5382</v>
          </cell>
          <cell r="AM5275">
            <v>12068</v>
          </cell>
        </row>
        <row r="5276">
          <cell r="A5276">
            <v>37397</v>
          </cell>
          <cell r="K5276">
            <v>1280</v>
          </cell>
          <cell r="AL5276">
            <v>5797</v>
          </cell>
          <cell r="AM5276">
            <v>12473</v>
          </cell>
        </row>
        <row r="5277">
          <cell r="A5277">
            <v>37398</v>
          </cell>
          <cell r="K5277">
            <v>1314</v>
          </cell>
          <cell r="AL5277">
            <v>3412</v>
          </cell>
          <cell r="AM5277">
            <v>12975</v>
          </cell>
        </row>
        <row r="5278">
          <cell r="A5278">
            <v>37399</v>
          </cell>
          <cell r="K5278">
            <v>1332</v>
          </cell>
          <cell r="AL5278">
            <v>4608</v>
          </cell>
          <cell r="AM5278">
            <v>12870</v>
          </cell>
        </row>
        <row r="5279">
          <cell r="A5279">
            <v>37400</v>
          </cell>
          <cell r="K5279">
            <v>1335</v>
          </cell>
          <cell r="AL5279">
            <v>3071</v>
          </cell>
          <cell r="AM5279">
            <v>13138</v>
          </cell>
        </row>
        <row r="5280">
          <cell r="A5280">
            <v>37404</v>
          </cell>
          <cell r="K5280">
            <v>1377</v>
          </cell>
          <cell r="AL5280">
            <v>4011</v>
          </cell>
          <cell r="AM5280">
            <v>12609</v>
          </cell>
        </row>
        <row r="5281">
          <cell r="A5281">
            <v>37405</v>
          </cell>
          <cell r="K5281">
            <v>1390</v>
          </cell>
          <cell r="AL5281">
            <v>5420</v>
          </cell>
          <cell r="AM5281">
            <v>13747</v>
          </cell>
        </row>
        <row r="5282">
          <cell r="A5282">
            <v>37406</v>
          </cell>
          <cell r="K5282">
            <v>1399</v>
          </cell>
          <cell r="AL5282">
            <v>3215</v>
          </cell>
          <cell r="AM5282">
            <v>13858</v>
          </cell>
        </row>
        <row r="5283">
          <cell r="A5283">
            <v>37407</v>
          </cell>
          <cell r="K5283">
            <v>1426</v>
          </cell>
          <cell r="AL5283">
            <v>4732</v>
          </cell>
          <cell r="AM5283">
            <v>13334</v>
          </cell>
        </row>
        <row r="5284">
          <cell r="A5284">
            <v>37410</v>
          </cell>
          <cell r="K5284">
            <v>1437</v>
          </cell>
          <cell r="AL5284">
            <v>4909</v>
          </cell>
          <cell r="AM5284">
            <v>12833</v>
          </cell>
        </row>
        <row r="5285">
          <cell r="A5285">
            <v>37411</v>
          </cell>
          <cell r="K5285">
            <v>1448</v>
          </cell>
          <cell r="AL5285">
            <v>2961</v>
          </cell>
          <cell r="AM5285">
            <v>12987</v>
          </cell>
        </row>
        <row r="5286">
          <cell r="A5286">
            <v>37412</v>
          </cell>
          <cell r="K5286">
            <v>1464</v>
          </cell>
          <cell r="AL5286">
            <v>3575</v>
          </cell>
          <cell r="AM5286">
            <v>12862</v>
          </cell>
        </row>
        <row r="5287">
          <cell r="A5287">
            <v>37413</v>
          </cell>
          <cell r="K5287">
            <v>1490</v>
          </cell>
          <cell r="AL5287">
            <v>4206</v>
          </cell>
          <cell r="AM5287">
            <v>13494</v>
          </cell>
        </row>
        <row r="5288">
          <cell r="A5288">
            <v>37414</v>
          </cell>
          <cell r="K5288">
            <v>1488</v>
          </cell>
          <cell r="AL5288">
            <v>3039</v>
          </cell>
          <cell r="AM5288">
            <v>13879</v>
          </cell>
        </row>
        <row r="5289">
          <cell r="A5289">
            <v>37417</v>
          </cell>
          <cell r="K5289">
            <v>1407</v>
          </cell>
          <cell r="AL5289">
            <v>4169</v>
          </cell>
          <cell r="AM5289">
            <v>13540</v>
          </cell>
        </row>
        <row r="5290">
          <cell r="A5290">
            <v>37418</v>
          </cell>
          <cell r="K5290">
            <v>1445</v>
          </cell>
          <cell r="AL5290">
            <v>5091</v>
          </cell>
          <cell r="AM5290">
            <v>13843</v>
          </cell>
        </row>
        <row r="5291">
          <cell r="A5291">
            <v>37419</v>
          </cell>
          <cell r="K5291">
            <v>1437</v>
          </cell>
          <cell r="AL5291">
            <v>3335</v>
          </cell>
          <cell r="AM5291">
            <v>14254</v>
          </cell>
        </row>
        <row r="5292">
          <cell r="A5292">
            <v>37420</v>
          </cell>
          <cell r="K5292">
            <v>1394</v>
          </cell>
          <cell r="AL5292">
            <v>7678</v>
          </cell>
          <cell r="AM5292">
            <v>14772</v>
          </cell>
        </row>
      </sheetData>
      <sheetData sheetId="4"/>
      <sheetData sheetId="5">
        <row r="2">
          <cell r="H2" t="str">
            <v>Settlement Price</v>
          </cell>
          <cell r="BJ2" t="str">
            <v xml:space="preserve">Volume </v>
          </cell>
          <cell r="BK2" t="str">
            <v>Open Position</v>
          </cell>
        </row>
        <row r="233">
          <cell r="A233">
            <v>37055</v>
          </cell>
          <cell r="H233">
            <v>96.46</v>
          </cell>
          <cell r="BJ233">
            <v>285</v>
          </cell>
          <cell r="BK233">
            <v>10194</v>
          </cell>
        </row>
        <row r="234">
          <cell r="A234">
            <v>37056</v>
          </cell>
          <cell r="H234">
            <v>96.44</v>
          </cell>
          <cell r="BJ234">
            <v>675</v>
          </cell>
          <cell r="BK234">
            <v>10371</v>
          </cell>
        </row>
        <row r="235">
          <cell r="A235">
            <v>37057</v>
          </cell>
          <cell r="H235">
            <v>96.45</v>
          </cell>
          <cell r="BJ235">
            <v>57</v>
          </cell>
          <cell r="BK235">
            <v>10912</v>
          </cell>
        </row>
        <row r="236">
          <cell r="A236">
            <v>37060</v>
          </cell>
          <cell r="H236">
            <v>96.47</v>
          </cell>
          <cell r="BJ236">
            <v>10</v>
          </cell>
          <cell r="BK236">
            <v>10881</v>
          </cell>
        </row>
        <row r="237">
          <cell r="A237">
            <v>37061</v>
          </cell>
          <cell r="H237">
            <v>96.48</v>
          </cell>
          <cell r="BJ237">
            <v>15</v>
          </cell>
          <cell r="BK237">
            <v>10881</v>
          </cell>
        </row>
        <row r="238">
          <cell r="A238">
            <v>37062</v>
          </cell>
          <cell r="H238">
            <v>96.48</v>
          </cell>
          <cell r="BJ238">
            <v>515</v>
          </cell>
          <cell r="BK238">
            <v>10886</v>
          </cell>
        </row>
        <row r="239">
          <cell r="A239">
            <v>37063</v>
          </cell>
          <cell r="H239">
            <v>96.28</v>
          </cell>
          <cell r="BJ239">
            <v>268</v>
          </cell>
          <cell r="BK239">
            <v>10152</v>
          </cell>
        </row>
        <row r="240">
          <cell r="A240">
            <v>37064</v>
          </cell>
          <cell r="H240">
            <v>96.3</v>
          </cell>
          <cell r="BJ240">
            <v>210</v>
          </cell>
          <cell r="BK240">
            <v>10182</v>
          </cell>
        </row>
        <row r="241">
          <cell r="A241">
            <v>37067</v>
          </cell>
          <cell r="H241">
            <v>96.3</v>
          </cell>
          <cell r="BJ241">
            <v>10</v>
          </cell>
          <cell r="BK241">
            <v>10337</v>
          </cell>
        </row>
        <row r="242">
          <cell r="A242">
            <v>37068</v>
          </cell>
          <cell r="H242">
            <v>96.23</v>
          </cell>
          <cell r="BJ242">
            <v>200</v>
          </cell>
          <cell r="BK242">
            <v>10347</v>
          </cell>
        </row>
        <row r="243">
          <cell r="A243">
            <v>37069</v>
          </cell>
          <cell r="H243">
            <v>96.28</v>
          </cell>
          <cell r="BJ243">
            <v>22</v>
          </cell>
          <cell r="BK243">
            <v>10402</v>
          </cell>
        </row>
        <row r="244">
          <cell r="A244">
            <v>37070</v>
          </cell>
          <cell r="H244">
            <v>96.26</v>
          </cell>
          <cell r="BJ244">
            <v>690</v>
          </cell>
          <cell r="BK244">
            <v>10412</v>
          </cell>
        </row>
        <row r="245">
          <cell r="A245">
            <v>37071</v>
          </cell>
          <cell r="H245">
            <v>96.24</v>
          </cell>
          <cell r="BJ245">
            <v>860</v>
          </cell>
          <cell r="BK245">
            <v>10640</v>
          </cell>
        </row>
        <row r="246">
          <cell r="A246">
            <v>37074</v>
          </cell>
          <cell r="H246">
            <v>96.26</v>
          </cell>
          <cell r="BJ246">
            <v>513</v>
          </cell>
          <cell r="BK246">
            <v>10878</v>
          </cell>
        </row>
        <row r="247">
          <cell r="A247">
            <v>37075</v>
          </cell>
          <cell r="H247">
            <v>96.26</v>
          </cell>
          <cell r="BJ247">
            <v>90</v>
          </cell>
          <cell r="BK247">
            <v>10950</v>
          </cell>
        </row>
        <row r="248">
          <cell r="A248">
            <v>37076</v>
          </cell>
          <cell r="H248">
            <v>96.27</v>
          </cell>
          <cell r="BJ248">
            <v>540</v>
          </cell>
          <cell r="BK248">
            <v>10931</v>
          </cell>
        </row>
        <row r="249">
          <cell r="A249">
            <v>37077</v>
          </cell>
          <cell r="H249">
            <v>96.28</v>
          </cell>
          <cell r="BJ249">
            <v>85</v>
          </cell>
          <cell r="BK249">
            <v>10918</v>
          </cell>
        </row>
        <row r="250">
          <cell r="A250">
            <v>37078</v>
          </cell>
          <cell r="H250">
            <v>96.3</v>
          </cell>
          <cell r="BJ250">
            <v>339</v>
          </cell>
          <cell r="BK250">
            <v>10990</v>
          </cell>
        </row>
        <row r="251">
          <cell r="A251">
            <v>37081</v>
          </cell>
          <cell r="H251">
            <v>96.32</v>
          </cell>
          <cell r="BJ251">
            <v>195</v>
          </cell>
          <cell r="BK251">
            <v>11145</v>
          </cell>
        </row>
        <row r="252">
          <cell r="A252">
            <v>37082</v>
          </cell>
          <cell r="H252">
            <v>96.32</v>
          </cell>
          <cell r="BJ252">
            <v>155</v>
          </cell>
          <cell r="BK252">
            <v>11180</v>
          </cell>
        </row>
        <row r="253">
          <cell r="A253">
            <v>37083</v>
          </cell>
          <cell r="H253">
            <v>96.32</v>
          </cell>
          <cell r="BJ253">
            <v>0</v>
          </cell>
          <cell r="BK253">
            <v>11175</v>
          </cell>
        </row>
        <row r="254">
          <cell r="A254">
            <v>37084</v>
          </cell>
          <cell r="H254">
            <v>96.31</v>
          </cell>
          <cell r="BJ254">
            <v>1090</v>
          </cell>
          <cell r="BK254">
            <v>11638</v>
          </cell>
        </row>
        <row r="255">
          <cell r="A255">
            <v>37085</v>
          </cell>
          <cell r="H255">
            <v>96.31</v>
          </cell>
          <cell r="BJ255">
            <v>0</v>
          </cell>
          <cell r="BK255">
            <v>11638</v>
          </cell>
        </row>
        <row r="256">
          <cell r="A256">
            <v>37088</v>
          </cell>
          <cell r="H256">
            <v>96.27</v>
          </cell>
          <cell r="BJ256">
            <v>40</v>
          </cell>
          <cell r="BK256">
            <v>11665</v>
          </cell>
        </row>
        <row r="257">
          <cell r="A257">
            <v>37089</v>
          </cell>
          <cell r="H257">
            <v>96.27</v>
          </cell>
          <cell r="BJ257">
            <v>30</v>
          </cell>
          <cell r="BK257">
            <v>11653</v>
          </cell>
        </row>
        <row r="258">
          <cell r="A258">
            <v>37090</v>
          </cell>
          <cell r="H258">
            <v>96.27</v>
          </cell>
          <cell r="BJ258">
            <v>100</v>
          </cell>
          <cell r="BK258">
            <v>11719</v>
          </cell>
        </row>
        <row r="259">
          <cell r="A259">
            <v>37091</v>
          </cell>
          <cell r="H259">
            <v>96.28</v>
          </cell>
          <cell r="BJ259">
            <v>140</v>
          </cell>
          <cell r="BK259">
            <v>11839</v>
          </cell>
        </row>
        <row r="260">
          <cell r="A260">
            <v>37092</v>
          </cell>
          <cell r="H260">
            <v>96.31</v>
          </cell>
          <cell r="BJ260">
            <v>150</v>
          </cell>
          <cell r="BK260">
            <v>11966</v>
          </cell>
        </row>
        <row r="261">
          <cell r="A261">
            <v>37095</v>
          </cell>
          <cell r="H261">
            <v>96.36</v>
          </cell>
          <cell r="BJ261">
            <v>234</v>
          </cell>
          <cell r="BK261">
            <v>11990</v>
          </cell>
        </row>
        <row r="262">
          <cell r="A262">
            <v>37096</v>
          </cell>
          <cell r="H262">
            <v>96.37</v>
          </cell>
          <cell r="BJ262">
            <v>30</v>
          </cell>
          <cell r="BK262">
            <v>11997</v>
          </cell>
        </row>
        <row r="263">
          <cell r="A263">
            <v>37097</v>
          </cell>
          <cell r="H263">
            <v>96.38</v>
          </cell>
          <cell r="BJ263">
            <v>100</v>
          </cell>
          <cell r="BK263">
            <v>12002</v>
          </cell>
        </row>
        <row r="264">
          <cell r="A264">
            <v>37098</v>
          </cell>
          <cell r="H264">
            <v>96.38</v>
          </cell>
          <cell r="BJ264">
            <v>25</v>
          </cell>
          <cell r="BK264">
            <v>11993</v>
          </cell>
        </row>
        <row r="265">
          <cell r="A265">
            <v>37099</v>
          </cell>
          <cell r="H265">
            <v>96.39</v>
          </cell>
          <cell r="BJ265">
            <v>655</v>
          </cell>
          <cell r="BK265">
            <v>11708</v>
          </cell>
        </row>
        <row r="266">
          <cell r="A266">
            <v>37102</v>
          </cell>
          <cell r="H266">
            <v>96.41</v>
          </cell>
          <cell r="BJ266">
            <v>90</v>
          </cell>
          <cell r="BK266">
            <v>11680</v>
          </cell>
        </row>
        <row r="267">
          <cell r="A267">
            <v>37103</v>
          </cell>
          <cell r="H267">
            <v>96.43</v>
          </cell>
          <cell r="BJ267">
            <v>25</v>
          </cell>
          <cell r="BK267">
            <v>11665</v>
          </cell>
        </row>
        <row r="268">
          <cell r="A268">
            <v>37104</v>
          </cell>
          <cell r="H268">
            <v>96.43</v>
          </cell>
          <cell r="BJ268">
            <v>83</v>
          </cell>
          <cell r="BK268">
            <v>11705</v>
          </cell>
        </row>
        <row r="269">
          <cell r="A269">
            <v>37105</v>
          </cell>
          <cell r="H269">
            <v>96.43</v>
          </cell>
          <cell r="BJ269">
            <v>0</v>
          </cell>
          <cell r="BK269">
            <v>11705</v>
          </cell>
        </row>
        <row r="270">
          <cell r="A270">
            <v>37106</v>
          </cell>
          <cell r="H270">
            <v>96.44</v>
          </cell>
          <cell r="BJ270">
            <v>70</v>
          </cell>
          <cell r="BK270">
            <v>11753</v>
          </cell>
        </row>
        <row r="271">
          <cell r="A271">
            <v>37109</v>
          </cell>
          <cell r="H271">
            <v>96.43</v>
          </cell>
          <cell r="BJ271">
            <v>10</v>
          </cell>
          <cell r="BK271">
            <v>11750</v>
          </cell>
        </row>
        <row r="272">
          <cell r="A272">
            <v>37110</v>
          </cell>
          <cell r="H272">
            <v>96.44</v>
          </cell>
          <cell r="BJ272">
            <v>180</v>
          </cell>
          <cell r="BK272">
            <v>11850</v>
          </cell>
        </row>
        <row r="273">
          <cell r="A273">
            <v>37111</v>
          </cell>
          <cell r="H273">
            <v>96.44</v>
          </cell>
          <cell r="BJ273">
            <v>25</v>
          </cell>
          <cell r="BK273">
            <v>11850</v>
          </cell>
        </row>
        <row r="274">
          <cell r="A274">
            <v>37112</v>
          </cell>
          <cell r="H274">
            <v>96.45</v>
          </cell>
          <cell r="BJ274">
            <v>62</v>
          </cell>
          <cell r="BK274">
            <v>11835</v>
          </cell>
        </row>
        <row r="275">
          <cell r="A275">
            <v>37113</v>
          </cell>
          <cell r="H275">
            <v>96.46</v>
          </cell>
          <cell r="BJ275">
            <v>312</v>
          </cell>
          <cell r="BK275">
            <v>11852</v>
          </cell>
        </row>
        <row r="276">
          <cell r="A276">
            <v>37116</v>
          </cell>
          <cell r="H276">
            <v>96.49</v>
          </cell>
          <cell r="BJ276">
            <v>346</v>
          </cell>
          <cell r="BK276">
            <v>11882</v>
          </cell>
        </row>
        <row r="277">
          <cell r="A277">
            <v>37117</v>
          </cell>
          <cell r="H277">
            <v>96.54</v>
          </cell>
          <cell r="BJ277">
            <v>163</v>
          </cell>
          <cell r="BK277">
            <v>11844</v>
          </cell>
        </row>
        <row r="278">
          <cell r="A278">
            <v>37118</v>
          </cell>
          <cell r="H278">
            <v>96.51</v>
          </cell>
          <cell r="BJ278">
            <v>100</v>
          </cell>
          <cell r="BK278">
            <v>11901</v>
          </cell>
        </row>
        <row r="279">
          <cell r="A279">
            <v>37119</v>
          </cell>
          <cell r="H279">
            <v>96.55</v>
          </cell>
          <cell r="BJ279">
            <v>1214</v>
          </cell>
          <cell r="BK279">
            <v>12782</v>
          </cell>
        </row>
        <row r="280">
          <cell r="A280">
            <v>37120</v>
          </cell>
          <cell r="H280">
            <v>96.55</v>
          </cell>
          <cell r="BJ280">
            <v>910</v>
          </cell>
          <cell r="BK280">
            <v>13032</v>
          </cell>
        </row>
        <row r="281">
          <cell r="A281">
            <v>37123</v>
          </cell>
          <cell r="H281">
            <v>96.56</v>
          </cell>
          <cell r="BJ281">
            <v>90</v>
          </cell>
          <cell r="BK281">
            <v>12972</v>
          </cell>
        </row>
        <row r="282">
          <cell r="A282">
            <v>37124</v>
          </cell>
          <cell r="H282">
            <v>96.61</v>
          </cell>
          <cell r="BJ282">
            <v>36</v>
          </cell>
          <cell r="BK282">
            <v>12975</v>
          </cell>
        </row>
        <row r="283">
          <cell r="A283">
            <v>37125</v>
          </cell>
          <cell r="H283">
            <v>96.61</v>
          </cell>
          <cell r="BJ283">
            <v>0</v>
          </cell>
          <cell r="BK283">
            <v>12975</v>
          </cell>
        </row>
        <row r="284">
          <cell r="A284">
            <v>37126</v>
          </cell>
          <cell r="H284">
            <v>96.57</v>
          </cell>
          <cell r="BJ284">
            <v>180</v>
          </cell>
          <cell r="BK284">
            <v>13005</v>
          </cell>
        </row>
        <row r="285">
          <cell r="A285">
            <v>37127</v>
          </cell>
          <cell r="H285">
            <v>96.57</v>
          </cell>
          <cell r="BJ285">
            <v>55</v>
          </cell>
          <cell r="BK285">
            <v>13026</v>
          </cell>
        </row>
        <row r="286">
          <cell r="A286">
            <v>37130</v>
          </cell>
          <cell r="H286">
            <v>96.57</v>
          </cell>
          <cell r="BJ286">
            <v>0</v>
          </cell>
          <cell r="BK286">
            <v>13026</v>
          </cell>
        </row>
        <row r="287">
          <cell r="A287">
            <v>37131</v>
          </cell>
          <cell r="H287">
            <v>96.62</v>
          </cell>
          <cell r="BJ287">
            <v>24</v>
          </cell>
          <cell r="BK287">
            <v>13023</v>
          </cell>
        </row>
        <row r="288">
          <cell r="A288">
            <v>37132</v>
          </cell>
          <cell r="H288">
            <v>96.62</v>
          </cell>
          <cell r="BJ288">
            <v>0</v>
          </cell>
          <cell r="BK288">
            <v>13023</v>
          </cell>
        </row>
        <row r="289">
          <cell r="A289">
            <v>37133</v>
          </cell>
          <cell r="H289">
            <v>96.62</v>
          </cell>
          <cell r="BJ289">
            <v>0</v>
          </cell>
          <cell r="BK289">
            <v>13023</v>
          </cell>
        </row>
        <row r="290">
          <cell r="A290">
            <v>37137</v>
          </cell>
          <cell r="H290">
            <v>96.62</v>
          </cell>
          <cell r="BJ290">
            <v>0</v>
          </cell>
          <cell r="BK290">
            <v>13023</v>
          </cell>
        </row>
        <row r="291">
          <cell r="A291">
            <v>37138</v>
          </cell>
          <cell r="H291">
            <v>96.61</v>
          </cell>
          <cell r="BJ291">
            <v>20</v>
          </cell>
          <cell r="BK291">
            <v>13008</v>
          </cell>
        </row>
        <row r="292">
          <cell r="A292">
            <v>37139</v>
          </cell>
          <cell r="H292">
            <v>96.57</v>
          </cell>
          <cell r="BJ292">
            <v>120</v>
          </cell>
          <cell r="BK292">
            <v>13033</v>
          </cell>
        </row>
        <row r="293">
          <cell r="A293">
            <v>37140</v>
          </cell>
          <cell r="H293">
            <v>96.58</v>
          </cell>
          <cell r="BJ293">
            <v>10</v>
          </cell>
          <cell r="BK293">
            <v>13033</v>
          </cell>
        </row>
        <row r="294">
          <cell r="A294">
            <v>37141</v>
          </cell>
          <cell r="H294">
            <v>96.58</v>
          </cell>
          <cell r="BJ294">
            <v>45</v>
          </cell>
          <cell r="BK294">
            <v>12993</v>
          </cell>
        </row>
        <row r="295">
          <cell r="A295">
            <v>37144</v>
          </cell>
          <cell r="H295">
            <v>96.58</v>
          </cell>
          <cell r="BJ295">
            <v>0</v>
          </cell>
          <cell r="BK295">
            <v>12993</v>
          </cell>
        </row>
        <row r="296">
          <cell r="A296">
            <v>37145</v>
          </cell>
          <cell r="H296">
            <v>96.58</v>
          </cell>
          <cell r="BJ296">
            <v>170</v>
          </cell>
          <cell r="BK296">
            <v>13046</v>
          </cell>
        </row>
        <row r="297">
          <cell r="A297">
            <v>37147</v>
          </cell>
          <cell r="H297">
            <v>96.6</v>
          </cell>
          <cell r="BJ297">
            <v>410</v>
          </cell>
          <cell r="BK297">
            <v>13216</v>
          </cell>
        </row>
        <row r="298">
          <cell r="A298">
            <v>37148</v>
          </cell>
          <cell r="H298">
            <v>96.6</v>
          </cell>
          <cell r="BJ298">
            <v>0</v>
          </cell>
          <cell r="BK298">
            <v>13216</v>
          </cell>
        </row>
        <row r="299">
          <cell r="A299">
            <v>37151</v>
          </cell>
          <cell r="H299">
            <v>96.64</v>
          </cell>
          <cell r="BJ299">
            <v>0</v>
          </cell>
          <cell r="BK299">
            <v>13216</v>
          </cell>
        </row>
        <row r="300">
          <cell r="A300">
            <v>37152</v>
          </cell>
          <cell r="H300">
            <v>96.65</v>
          </cell>
          <cell r="BJ300">
            <v>320</v>
          </cell>
          <cell r="BK300">
            <v>13416</v>
          </cell>
        </row>
        <row r="301">
          <cell r="A301">
            <v>37153</v>
          </cell>
          <cell r="H301">
            <v>96.7</v>
          </cell>
          <cell r="BJ301">
            <v>75</v>
          </cell>
          <cell r="BK301">
            <v>11817</v>
          </cell>
        </row>
        <row r="302">
          <cell r="A302">
            <v>37154</v>
          </cell>
          <cell r="H302">
            <v>96.62</v>
          </cell>
          <cell r="BJ302">
            <v>329</v>
          </cell>
          <cell r="BK302">
            <v>11899</v>
          </cell>
        </row>
        <row r="303">
          <cell r="A303">
            <v>37155</v>
          </cell>
          <cell r="H303">
            <v>96.75</v>
          </cell>
          <cell r="BJ303">
            <v>415</v>
          </cell>
          <cell r="BK303">
            <v>12209</v>
          </cell>
        </row>
        <row r="304">
          <cell r="A304">
            <v>37158</v>
          </cell>
          <cell r="H304">
            <v>96.74</v>
          </cell>
          <cell r="BJ304">
            <v>240</v>
          </cell>
          <cell r="BK304">
            <v>11969</v>
          </cell>
        </row>
        <row r="305">
          <cell r="A305">
            <v>37159</v>
          </cell>
          <cell r="H305">
            <v>96.71</v>
          </cell>
          <cell r="BJ305">
            <v>80</v>
          </cell>
          <cell r="BK305">
            <v>11969</v>
          </cell>
        </row>
        <row r="306">
          <cell r="A306">
            <v>37160</v>
          </cell>
          <cell r="H306">
            <v>96.71</v>
          </cell>
          <cell r="BJ306">
            <v>240</v>
          </cell>
          <cell r="BK306">
            <v>11704</v>
          </cell>
        </row>
        <row r="307">
          <cell r="A307">
            <v>37161</v>
          </cell>
          <cell r="H307">
            <v>96.68</v>
          </cell>
          <cell r="BJ307">
            <v>953</v>
          </cell>
          <cell r="BK307">
            <v>11889</v>
          </cell>
        </row>
        <row r="308">
          <cell r="A308">
            <v>37162</v>
          </cell>
          <cell r="H308">
            <v>96.71</v>
          </cell>
          <cell r="BJ308">
            <v>200</v>
          </cell>
          <cell r="BK308">
            <v>12069</v>
          </cell>
        </row>
        <row r="309">
          <cell r="A309">
            <v>37165</v>
          </cell>
          <cell r="H309">
            <v>96.74</v>
          </cell>
          <cell r="BJ309">
            <v>140</v>
          </cell>
          <cell r="BK309">
            <v>12159</v>
          </cell>
        </row>
        <row r="310">
          <cell r="A310">
            <v>37166</v>
          </cell>
          <cell r="H310">
            <v>96.78</v>
          </cell>
          <cell r="BJ310">
            <v>385</v>
          </cell>
          <cell r="BK310">
            <v>12434</v>
          </cell>
        </row>
        <row r="311">
          <cell r="A311">
            <v>37167</v>
          </cell>
          <cell r="H311">
            <v>96.85</v>
          </cell>
          <cell r="BJ311">
            <v>283</v>
          </cell>
          <cell r="BK311">
            <v>12474</v>
          </cell>
        </row>
        <row r="312">
          <cell r="A312">
            <v>37168</v>
          </cell>
          <cell r="H312">
            <v>96.76</v>
          </cell>
          <cell r="BJ312">
            <v>265</v>
          </cell>
          <cell r="BK312">
            <v>12432</v>
          </cell>
        </row>
        <row r="313">
          <cell r="A313">
            <v>37169</v>
          </cell>
          <cell r="H313">
            <v>96.77</v>
          </cell>
          <cell r="BJ313">
            <v>705</v>
          </cell>
          <cell r="BK313">
            <v>12825</v>
          </cell>
        </row>
        <row r="314">
          <cell r="A314">
            <v>37172</v>
          </cell>
          <cell r="H314">
            <v>96.77</v>
          </cell>
          <cell r="BJ314">
            <v>500</v>
          </cell>
          <cell r="BK314">
            <v>12919</v>
          </cell>
        </row>
        <row r="315">
          <cell r="A315">
            <v>37173</v>
          </cell>
          <cell r="H315">
            <v>96.77</v>
          </cell>
          <cell r="BJ315">
            <v>0</v>
          </cell>
          <cell r="BK315">
            <v>12919</v>
          </cell>
        </row>
        <row r="316">
          <cell r="A316">
            <v>37174</v>
          </cell>
          <cell r="H316">
            <v>96.76</v>
          </cell>
          <cell r="BJ316">
            <v>665</v>
          </cell>
          <cell r="BK316">
            <v>13159</v>
          </cell>
        </row>
        <row r="317">
          <cell r="A317">
            <v>37175</v>
          </cell>
          <cell r="H317">
            <v>96.74</v>
          </cell>
          <cell r="BJ317">
            <v>530</v>
          </cell>
          <cell r="BK317">
            <v>13470</v>
          </cell>
        </row>
        <row r="318">
          <cell r="A318">
            <v>37176</v>
          </cell>
          <cell r="H318">
            <v>96.75</v>
          </cell>
          <cell r="BJ318">
            <v>947</v>
          </cell>
          <cell r="BK318">
            <v>12303</v>
          </cell>
        </row>
        <row r="319">
          <cell r="A319">
            <v>37179</v>
          </cell>
          <cell r="H319">
            <v>96.78</v>
          </cell>
          <cell r="BJ319">
            <v>536</v>
          </cell>
          <cell r="BK319">
            <v>12204</v>
          </cell>
        </row>
        <row r="320">
          <cell r="A320">
            <v>37180</v>
          </cell>
          <cell r="H320">
            <v>96.77</v>
          </cell>
          <cell r="BJ320">
            <v>50</v>
          </cell>
          <cell r="BK320">
            <v>12239</v>
          </cell>
        </row>
        <row r="321">
          <cell r="A321">
            <v>37181</v>
          </cell>
          <cell r="H321">
            <v>96.77</v>
          </cell>
          <cell r="BJ321">
            <v>65</v>
          </cell>
          <cell r="BK321">
            <v>12174</v>
          </cell>
        </row>
        <row r="322">
          <cell r="A322">
            <v>37182</v>
          </cell>
          <cell r="H322">
            <v>96.76</v>
          </cell>
          <cell r="BJ322">
            <v>20</v>
          </cell>
          <cell r="BK322">
            <v>12164</v>
          </cell>
        </row>
        <row r="323">
          <cell r="A323">
            <v>37183</v>
          </cell>
          <cell r="H323">
            <v>96.75</v>
          </cell>
          <cell r="BJ323">
            <v>35</v>
          </cell>
          <cell r="BK323">
            <v>12154</v>
          </cell>
        </row>
        <row r="324">
          <cell r="A324">
            <v>37186</v>
          </cell>
          <cell r="H324">
            <v>96.73</v>
          </cell>
          <cell r="BJ324">
            <v>700</v>
          </cell>
          <cell r="BK324">
            <v>11841</v>
          </cell>
        </row>
        <row r="325">
          <cell r="A325">
            <v>37187</v>
          </cell>
          <cell r="H325">
            <v>96.73</v>
          </cell>
          <cell r="BJ325">
            <v>100</v>
          </cell>
          <cell r="BK325">
            <v>11821</v>
          </cell>
        </row>
        <row r="326">
          <cell r="A326">
            <v>37188</v>
          </cell>
          <cell r="H326">
            <v>96.73</v>
          </cell>
          <cell r="BJ326">
            <v>590</v>
          </cell>
          <cell r="BK326">
            <v>11876</v>
          </cell>
        </row>
        <row r="327">
          <cell r="A327">
            <v>37189</v>
          </cell>
          <cell r="H327">
            <v>96.73</v>
          </cell>
          <cell r="BJ327">
            <v>30</v>
          </cell>
          <cell r="BK327">
            <v>11876</v>
          </cell>
        </row>
        <row r="328">
          <cell r="A328">
            <v>37190</v>
          </cell>
          <cell r="H328">
            <v>96.73</v>
          </cell>
          <cell r="BJ328">
            <v>195</v>
          </cell>
          <cell r="BK328">
            <v>11921</v>
          </cell>
        </row>
        <row r="329">
          <cell r="A329">
            <v>37193</v>
          </cell>
          <cell r="H329">
            <v>96.73</v>
          </cell>
          <cell r="BJ329">
            <v>0</v>
          </cell>
          <cell r="BK329">
            <v>11921</v>
          </cell>
        </row>
        <row r="330">
          <cell r="A330">
            <v>37194</v>
          </cell>
          <cell r="H330">
            <v>96.73</v>
          </cell>
          <cell r="BJ330">
            <v>0</v>
          </cell>
          <cell r="BK330">
            <v>11921</v>
          </cell>
        </row>
        <row r="331">
          <cell r="A331">
            <v>37195</v>
          </cell>
          <cell r="H331">
            <v>96.71</v>
          </cell>
          <cell r="BJ331">
            <v>250</v>
          </cell>
          <cell r="BK331">
            <v>11821</v>
          </cell>
        </row>
        <row r="332">
          <cell r="A332">
            <v>37196</v>
          </cell>
          <cell r="H332">
            <v>96.71</v>
          </cell>
          <cell r="BJ332">
            <v>40</v>
          </cell>
          <cell r="BK332">
            <v>11826</v>
          </cell>
        </row>
        <row r="333">
          <cell r="A333">
            <v>37197</v>
          </cell>
          <cell r="H333">
            <v>96.71</v>
          </cell>
          <cell r="BJ333">
            <v>270</v>
          </cell>
          <cell r="BK333">
            <v>11686</v>
          </cell>
        </row>
        <row r="334">
          <cell r="A334">
            <v>37200</v>
          </cell>
          <cell r="H334">
            <v>96.7</v>
          </cell>
          <cell r="BJ334">
            <v>165</v>
          </cell>
          <cell r="BK334">
            <v>11675</v>
          </cell>
        </row>
        <row r="335">
          <cell r="A335">
            <v>37201</v>
          </cell>
          <cell r="H335">
            <v>96.72</v>
          </cell>
          <cell r="BJ335">
            <v>85</v>
          </cell>
          <cell r="BK335">
            <v>11745</v>
          </cell>
        </row>
        <row r="336">
          <cell r="A336">
            <v>37202</v>
          </cell>
          <cell r="H336">
            <v>96.72</v>
          </cell>
          <cell r="BJ336">
            <v>280</v>
          </cell>
          <cell r="BK336">
            <v>11970</v>
          </cell>
        </row>
        <row r="337">
          <cell r="A337">
            <v>37203</v>
          </cell>
          <cell r="H337">
            <v>96.72</v>
          </cell>
          <cell r="BJ337">
            <v>170</v>
          </cell>
          <cell r="BK337">
            <v>12020</v>
          </cell>
        </row>
        <row r="338">
          <cell r="A338">
            <v>37204</v>
          </cell>
          <cell r="H338">
            <v>96.74</v>
          </cell>
          <cell r="BJ338">
            <v>75</v>
          </cell>
          <cell r="BK338">
            <v>12060</v>
          </cell>
        </row>
        <row r="339">
          <cell r="A339">
            <v>37207</v>
          </cell>
          <cell r="H339">
            <v>96.75</v>
          </cell>
          <cell r="BJ339">
            <v>140</v>
          </cell>
          <cell r="BK339">
            <v>12080</v>
          </cell>
        </row>
        <row r="340">
          <cell r="A340">
            <v>37208</v>
          </cell>
          <cell r="H340">
            <v>96.74</v>
          </cell>
          <cell r="BJ340">
            <v>50</v>
          </cell>
          <cell r="BK340">
            <v>12110</v>
          </cell>
        </row>
        <row r="341">
          <cell r="A341">
            <v>37210</v>
          </cell>
          <cell r="H341">
            <v>96.74</v>
          </cell>
          <cell r="BJ341">
            <v>350</v>
          </cell>
          <cell r="BK341">
            <v>11930</v>
          </cell>
        </row>
        <row r="342">
          <cell r="A342">
            <v>37211</v>
          </cell>
          <cell r="H342">
            <v>96.74</v>
          </cell>
          <cell r="BJ342">
            <v>0</v>
          </cell>
          <cell r="BK342">
            <v>11930</v>
          </cell>
        </row>
        <row r="343">
          <cell r="A343">
            <v>37214</v>
          </cell>
          <cell r="H343">
            <v>96.7</v>
          </cell>
          <cell r="BJ343">
            <v>225</v>
          </cell>
          <cell r="BK343">
            <v>11910</v>
          </cell>
        </row>
        <row r="344">
          <cell r="A344">
            <v>37215</v>
          </cell>
          <cell r="H344">
            <v>96.69</v>
          </cell>
          <cell r="BJ344">
            <v>102</v>
          </cell>
          <cell r="BK344">
            <v>11918</v>
          </cell>
        </row>
        <row r="345">
          <cell r="A345">
            <v>37216</v>
          </cell>
          <cell r="H345">
            <v>96.7</v>
          </cell>
          <cell r="BJ345">
            <v>307</v>
          </cell>
          <cell r="BK345">
            <v>11933</v>
          </cell>
        </row>
        <row r="346">
          <cell r="A346">
            <v>37218</v>
          </cell>
          <cell r="H346">
            <v>96.64</v>
          </cell>
          <cell r="BJ346">
            <v>299</v>
          </cell>
          <cell r="BK346">
            <v>11930</v>
          </cell>
        </row>
        <row r="347">
          <cell r="A347">
            <v>37221</v>
          </cell>
          <cell r="H347">
            <v>96.67</v>
          </cell>
          <cell r="BJ347">
            <v>0</v>
          </cell>
          <cell r="BK347">
            <v>11930</v>
          </cell>
        </row>
        <row r="348">
          <cell r="A348">
            <v>37222</v>
          </cell>
          <cell r="H348">
            <v>96.67</v>
          </cell>
          <cell r="BJ348">
            <v>0</v>
          </cell>
          <cell r="BK348">
            <v>11930</v>
          </cell>
        </row>
        <row r="349">
          <cell r="A349">
            <v>37223</v>
          </cell>
          <cell r="H349">
            <v>96.6</v>
          </cell>
          <cell r="BJ349">
            <v>25</v>
          </cell>
          <cell r="BK349">
            <v>11915</v>
          </cell>
        </row>
        <row r="350">
          <cell r="A350">
            <v>37224</v>
          </cell>
          <cell r="H350">
            <v>96.61</v>
          </cell>
          <cell r="BJ350">
            <v>0</v>
          </cell>
          <cell r="BK350">
            <v>11915</v>
          </cell>
        </row>
        <row r="351">
          <cell r="A351">
            <v>37225</v>
          </cell>
          <cell r="H351">
            <v>96.65</v>
          </cell>
          <cell r="BJ351">
            <v>231</v>
          </cell>
          <cell r="BK351">
            <v>11863</v>
          </cell>
        </row>
        <row r="352">
          <cell r="A352">
            <v>37228</v>
          </cell>
          <cell r="H352">
            <v>96.66</v>
          </cell>
          <cell r="BJ352">
            <v>180</v>
          </cell>
          <cell r="BK352">
            <v>11958</v>
          </cell>
        </row>
        <row r="353">
          <cell r="A353">
            <v>37229</v>
          </cell>
          <cell r="H353">
            <v>96.64</v>
          </cell>
          <cell r="BJ353">
            <v>195</v>
          </cell>
          <cell r="BK353">
            <v>12113</v>
          </cell>
        </row>
        <row r="354">
          <cell r="A354">
            <v>37230</v>
          </cell>
          <cell r="H354">
            <v>96.6</v>
          </cell>
          <cell r="BJ354">
            <v>10</v>
          </cell>
          <cell r="BK354">
            <v>12113</v>
          </cell>
        </row>
        <row r="355">
          <cell r="A355">
            <v>37231</v>
          </cell>
          <cell r="H355">
            <v>96.55</v>
          </cell>
          <cell r="BJ355">
            <v>25</v>
          </cell>
          <cell r="BK355">
            <v>12118</v>
          </cell>
        </row>
        <row r="356">
          <cell r="A356">
            <v>37232</v>
          </cell>
          <cell r="H356">
            <v>96.6</v>
          </cell>
          <cell r="BJ356">
            <v>165</v>
          </cell>
          <cell r="BK356">
            <v>12203</v>
          </cell>
        </row>
        <row r="357">
          <cell r="A357">
            <v>37235</v>
          </cell>
          <cell r="H357">
            <v>96.6</v>
          </cell>
          <cell r="BJ357">
            <v>0</v>
          </cell>
          <cell r="BK357">
            <v>12203</v>
          </cell>
        </row>
        <row r="358">
          <cell r="A358">
            <v>37236</v>
          </cell>
          <cell r="H358">
            <v>96.6</v>
          </cell>
          <cell r="BJ358">
            <v>0</v>
          </cell>
          <cell r="BK358">
            <v>12203</v>
          </cell>
        </row>
        <row r="359">
          <cell r="A359">
            <v>37237</v>
          </cell>
          <cell r="H359">
            <v>96.6</v>
          </cell>
          <cell r="BJ359">
            <v>305</v>
          </cell>
          <cell r="BK359">
            <v>12248</v>
          </cell>
        </row>
        <row r="360">
          <cell r="A360">
            <v>37238</v>
          </cell>
          <cell r="H360">
            <v>96.6</v>
          </cell>
          <cell r="BJ360">
            <v>75</v>
          </cell>
          <cell r="BK360">
            <v>12230</v>
          </cell>
        </row>
        <row r="361">
          <cell r="A361">
            <v>37239</v>
          </cell>
          <cell r="H361">
            <v>96.6</v>
          </cell>
          <cell r="BJ361">
            <v>0</v>
          </cell>
          <cell r="BK361">
            <v>12230</v>
          </cell>
        </row>
        <row r="362">
          <cell r="A362">
            <v>37245</v>
          </cell>
          <cell r="H362">
            <v>96.59</v>
          </cell>
          <cell r="BJ362">
            <v>167</v>
          </cell>
          <cell r="BK362">
            <v>10470</v>
          </cell>
        </row>
        <row r="363">
          <cell r="A363">
            <v>37246</v>
          </cell>
          <cell r="H363">
            <v>96.58</v>
          </cell>
          <cell r="BJ363">
            <v>25</v>
          </cell>
          <cell r="BK363">
            <v>10470</v>
          </cell>
        </row>
        <row r="364">
          <cell r="A364">
            <v>37249</v>
          </cell>
          <cell r="H364">
            <v>96.58</v>
          </cell>
          <cell r="BJ364">
            <v>0</v>
          </cell>
          <cell r="BK364">
            <v>10470</v>
          </cell>
        </row>
        <row r="365">
          <cell r="A365">
            <v>37251</v>
          </cell>
          <cell r="H365">
            <v>96.61</v>
          </cell>
          <cell r="BJ365">
            <v>40</v>
          </cell>
          <cell r="BK365">
            <v>10510</v>
          </cell>
        </row>
        <row r="366">
          <cell r="A366">
            <v>37252</v>
          </cell>
          <cell r="H366">
            <v>96.6</v>
          </cell>
          <cell r="BJ366">
            <v>547</v>
          </cell>
          <cell r="BK366">
            <v>10685</v>
          </cell>
        </row>
        <row r="367">
          <cell r="A367">
            <v>37253</v>
          </cell>
          <cell r="H367">
            <v>96.58</v>
          </cell>
          <cell r="BJ367">
            <v>231</v>
          </cell>
          <cell r="BK367">
            <v>10751</v>
          </cell>
        </row>
        <row r="368">
          <cell r="A368">
            <v>37256</v>
          </cell>
          <cell r="H368">
            <v>96.58</v>
          </cell>
          <cell r="BJ368">
            <v>0</v>
          </cell>
          <cell r="BK368">
            <v>10751</v>
          </cell>
        </row>
        <row r="369">
          <cell r="A369">
            <v>37258</v>
          </cell>
          <cell r="H369">
            <v>96.64</v>
          </cell>
          <cell r="BJ369">
            <v>280</v>
          </cell>
          <cell r="BK369">
            <v>10871</v>
          </cell>
        </row>
        <row r="370">
          <cell r="A370">
            <v>37259</v>
          </cell>
          <cell r="H370">
            <v>96.61</v>
          </cell>
          <cell r="BJ370">
            <v>300</v>
          </cell>
          <cell r="BK370">
            <v>10866</v>
          </cell>
        </row>
        <row r="371">
          <cell r="A371">
            <v>37260</v>
          </cell>
          <cell r="H371">
            <v>96.61</v>
          </cell>
          <cell r="BJ371">
            <v>490</v>
          </cell>
          <cell r="BK371">
            <v>10646</v>
          </cell>
        </row>
        <row r="372">
          <cell r="A372">
            <v>37263</v>
          </cell>
          <cell r="H372">
            <v>96.64</v>
          </cell>
          <cell r="BJ372">
            <v>100</v>
          </cell>
          <cell r="BK372">
            <v>10646</v>
          </cell>
        </row>
        <row r="373">
          <cell r="A373">
            <v>37264</v>
          </cell>
          <cell r="H373">
            <v>96.6</v>
          </cell>
          <cell r="BJ373">
            <v>195</v>
          </cell>
          <cell r="BK373">
            <v>10659</v>
          </cell>
        </row>
        <row r="374">
          <cell r="A374">
            <v>37265</v>
          </cell>
          <cell r="H374">
            <v>96.5</v>
          </cell>
          <cell r="BJ374">
            <v>175</v>
          </cell>
          <cell r="BK374">
            <v>10672</v>
          </cell>
        </row>
        <row r="375">
          <cell r="A375">
            <v>37266</v>
          </cell>
          <cell r="H375">
            <v>96.45</v>
          </cell>
          <cell r="BJ375">
            <v>445</v>
          </cell>
          <cell r="BK375">
            <v>10687</v>
          </cell>
        </row>
        <row r="376">
          <cell r="A376">
            <v>37267</v>
          </cell>
          <cell r="H376">
            <v>96.4</v>
          </cell>
          <cell r="BJ376">
            <v>565</v>
          </cell>
          <cell r="BK376">
            <v>10994</v>
          </cell>
        </row>
        <row r="377">
          <cell r="A377">
            <v>37270</v>
          </cell>
          <cell r="H377">
            <v>96.51</v>
          </cell>
          <cell r="BJ377">
            <v>104</v>
          </cell>
          <cell r="BK377">
            <v>11001</v>
          </cell>
        </row>
        <row r="378">
          <cell r="A378">
            <v>37271</v>
          </cell>
          <cell r="H378">
            <v>96.51</v>
          </cell>
          <cell r="BJ378">
            <v>1017</v>
          </cell>
          <cell r="BK378">
            <v>11169</v>
          </cell>
        </row>
        <row r="379">
          <cell r="A379">
            <v>37272</v>
          </cell>
          <cell r="H379">
            <v>96.53</v>
          </cell>
          <cell r="BJ379">
            <v>330</v>
          </cell>
          <cell r="BK379">
            <v>11322</v>
          </cell>
        </row>
        <row r="380">
          <cell r="A380">
            <v>37273</v>
          </cell>
          <cell r="H380">
            <v>96.62</v>
          </cell>
          <cell r="BJ380">
            <v>360</v>
          </cell>
          <cell r="BK380">
            <v>11507</v>
          </cell>
        </row>
        <row r="381">
          <cell r="A381">
            <v>37274</v>
          </cell>
          <cell r="H381">
            <v>96.52</v>
          </cell>
          <cell r="BJ381">
            <v>20</v>
          </cell>
          <cell r="BK381">
            <v>11517</v>
          </cell>
        </row>
        <row r="382">
          <cell r="A382">
            <v>37277</v>
          </cell>
          <cell r="H382">
            <v>96.55</v>
          </cell>
          <cell r="BJ382">
            <v>87</v>
          </cell>
          <cell r="BK382">
            <v>11521</v>
          </cell>
        </row>
        <row r="383">
          <cell r="A383">
            <v>37278</v>
          </cell>
          <cell r="H383">
            <v>96.57</v>
          </cell>
          <cell r="BJ383">
            <v>120</v>
          </cell>
          <cell r="BK383">
            <v>11546</v>
          </cell>
        </row>
        <row r="384">
          <cell r="A384">
            <v>37279</v>
          </cell>
          <cell r="H384">
            <v>96.54</v>
          </cell>
          <cell r="BJ384">
            <v>80</v>
          </cell>
          <cell r="BK384">
            <v>11566</v>
          </cell>
        </row>
        <row r="385">
          <cell r="A385">
            <v>37280</v>
          </cell>
          <cell r="H385">
            <v>96.55</v>
          </cell>
          <cell r="BJ385">
            <v>442</v>
          </cell>
          <cell r="BK385">
            <v>11659</v>
          </cell>
        </row>
        <row r="386">
          <cell r="A386">
            <v>37281</v>
          </cell>
          <cell r="H386">
            <v>96.52</v>
          </cell>
          <cell r="BJ386">
            <v>240</v>
          </cell>
          <cell r="BK386">
            <v>11771</v>
          </cell>
        </row>
        <row r="387">
          <cell r="A387">
            <v>37284</v>
          </cell>
          <cell r="H387">
            <v>96.63</v>
          </cell>
          <cell r="BJ387">
            <v>955</v>
          </cell>
          <cell r="BK387">
            <v>11936</v>
          </cell>
        </row>
        <row r="388">
          <cell r="A388">
            <v>37285</v>
          </cell>
          <cell r="H388">
            <v>96.63</v>
          </cell>
          <cell r="BJ388">
            <v>542</v>
          </cell>
          <cell r="BK388">
            <v>11839</v>
          </cell>
        </row>
        <row r="389">
          <cell r="A389">
            <v>37286</v>
          </cell>
          <cell r="H389">
            <v>96.65</v>
          </cell>
          <cell r="BJ389">
            <v>375</v>
          </cell>
          <cell r="BK389">
            <v>11879</v>
          </cell>
        </row>
        <row r="390">
          <cell r="A390">
            <v>37287</v>
          </cell>
          <cell r="H390">
            <v>96.65</v>
          </cell>
          <cell r="BJ390">
            <v>550</v>
          </cell>
          <cell r="BK390">
            <v>12049</v>
          </cell>
        </row>
        <row r="391">
          <cell r="A391">
            <v>37291</v>
          </cell>
          <cell r="H391">
            <v>96.68</v>
          </cell>
          <cell r="BJ391">
            <v>85</v>
          </cell>
          <cell r="BK391">
            <v>12024</v>
          </cell>
        </row>
        <row r="392">
          <cell r="A392">
            <v>37292</v>
          </cell>
          <cell r="H392">
            <v>96.65</v>
          </cell>
          <cell r="BJ392">
            <v>253</v>
          </cell>
          <cell r="BK392">
            <v>12059</v>
          </cell>
        </row>
        <row r="393">
          <cell r="A393">
            <v>37293</v>
          </cell>
          <cell r="H393">
            <v>96.64</v>
          </cell>
          <cell r="BJ393">
            <v>380</v>
          </cell>
          <cell r="BK393">
            <v>12099</v>
          </cell>
        </row>
        <row r="394">
          <cell r="A394">
            <v>37294</v>
          </cell>
          <cell r="H394">
            <v>96.64</v>
          </cell>
          <cell r="BJ394">
            <v>635</v>
          </cell>
          <cell r="BK394">
            <v>12376</v>
          </cell>
        </row>
        <row r="395">
          <cell r="A395">
            <v>37295</v>
          </cell>
          <cell r="H395">
            <v>96.66</v>
          </cell>
          <cell r="BJ395">
            <v>360</v>
          </cell>
          <cell r="BK395">
            <v>12429</v>
          </cell>
        </row>
        <row r="396">
          <cell r="A396">
            <v>37301</v>
          </cell>
          <cell r="H396">
            <v>96.66</v>
          </cell>
          <cell r="BJ396">
            <v>0</v>
          </cell>
          <cell r="BK396">
            <v>12429</v>
          </cell>
        </row>
        <row r="397">
          <cell r="A397">
            <v>37302</v>
          </cell>
          <cell r="H397">
            <v>96.66</v>
          </cell>
          <cell r="BJ397">
            <v>0</v>
          </cell>
          <cell r="BK397">
            <v>12429</v>
          </cell>
        </row>
        <row r="398">
          <cell r="A398">
            <v>37305</v>
          </cell>
          <cell r="H398">
            <v>96.68</v>
          </cell>
          <cell r="BJ398">
            <v>10</v>
          </cell>
          <cell r="BK398">
            <v>12429</v>
          </cell>
        </row>
        <row r="399">
          <cell r="A399">
            <v>37306</v>
          </cell>
          <cell r="H399">
            <v>96.65</v>
          </cell>
          <cell r="BJ399">
            <v>180</v>
          </cell>
          <cell r="BK399">
            <v>12564</v>
          </cell>
        </row>
        <row r="400">
          <cell r="A400">
            <v>37307</v>
          </cell>
          <cell r="H400">
            <v>96.65</v>
          </cell>
          <cell r="BJ400">
            <v>0</v>
          </cell>
          <cell r="BK400">
            <v>12564</v>
          </cell>
        </row>
        <row r="401">
          <cell r="A401">
            <v>37308</v>
          </cell>
          <cell r="H401">
            <v>96.64</v>
          </cell>
          <cell r="BJ401">
            <v>155</v>
          </cell>
          <cell r="BK401">
            <v>12594</v>
          </cell>
        </row>
        <row r="402">
          <cell r="A402">
            <v>37309</v>
          </cell>
          <cell r="H402">
            <v>96.65</v>
          </cell>
          <cell r="BJ402">
            <v>50</v>
          </cell>
          <cell r="BK402">
            <v>12599</v>
          </cell>
        </row>
        <row r="403">
          <cell r="A403">
            <v>37312</v>
          </cell>
          <cell r="H403">
            <v>96.68</v>
          </cell>
          <cell r="BJ403">
            <v>450</v>
          </cell>
          <cell r="BK403">
            <v>12694</v>
          </cell>
        </row>
        <row r="404">
          <cell r="A404">
            <v>37313</v>
          </cell>
          <cell r="H404">
            <v>96.67</v>
          </cell>
          <cell r="BJ404">
            <v>146</v>
          </cell>
          <cell r="BK404">
            <v>12765</v>
          </cell>
        </row>
        <row r="405">
          <cell r="A405">
            <v>37314</v>
          </cell>
          <cell r="H405">
            <v>96.66</v>
          </cell>
          <cell r="BJ405">
            <v>30</v>
          </cell>
          <cell r="BK405">
            <v>12790</v>
          </cell>
        </row>
        <row r="406">
          <cell r="A406">
            <v>37315</v>
          </cell>
          <cell r="H406">
            <v>96.66</v>
          </cell>
          <cell r="BJ406">
            <v>40</v>
          </cell>
          <cell r="BK406">
            <v>12820</v>
          </cell>
        </row>
        <row r="407">
          <cell r="A407">
            <v>37316</v>
          </cell>
          <cell r="H407">
            <v>96.66</v>
          </cell>
          <cell r="BJ407">
            <v>130</v>
          </cell>
          <cell r="BK407">
            <v>12820</v>
          </cell>
        </row>
        <row r="408">
          <cell r="A408">
            <v>37319</v>
          </cell>
          <cell r="H408">
            <v>96.65</v>
          </cell>
          <cell r="BJ408">
            <v>30</v>
          </cell>
          <cell r="BK408">
            <v>12850</v>
          </cell>
        </row>
        <row r="409">
          <cell r="A409">
            <v>37320</v>
          </cell>
          <cell r="H409">
            <v>96.6</v>
          </cell>
          <cell r="BJ409">
            <v>350</v>
          </cell>
          <cell r="BK409">
            <v>12955</v>
          </cell>
        </row>
        <row r="410">
          <cell r="A410">
            <v>37321</v>
          </cell>
          <cell r="H410">
            <v>96.6</v>
          </cell>
          <cell r="BJ410">
            <v>335</v>
          </cell>
          <cell r="BK410">
            <v>13045</v>
          </cell>
        </row>
        <row r="411">
          <cell r="A411">
            <v>37322</v>
          </cell>
          <cell r="H411">
            <v>96.6</v>
          </cell>
          <cell r="BJ411">
            <v>70</v>
          </cell>
          <cell r="BK411">
            <v>13105</v>
          </cell>
        </row>
        <row r="412">
          <cell r="A412">
            <v>37323</v>
          </cell>
          <cell r="H412">
            <v>96.57</v>
          </cell>
          <cell r="BJ412">
            <v>60</v>
          </cell>
          <cell r="BK412">
            <v>13155</v>
          </cell>
        </row>
        <row r="413">
          <cell r="A413">
            <v>37326</v>
          </cell>
          <cell r="H413">
            <v>96.54</v>
          </cell>
          <cell r="BJ413">
            <v>59</v>
          </cell>
          <cell r="BK413">
            <v>13169</v>
          </cell>
        </row>
        <row r="414">
          <cell r="A414">
            <v>37327</v>
          </cell>
          <cell r="H414">
            <v>96.52</v>
          </cell>
          <cell r="BJ414">
            <v>165</v>
          </cell>
          <cell r="BK414">
            <v>13289</v>
          </cell>
        </row>
        <row r="415">
          <cell r="A415">
            <v>37328</v>
          </cell>
          <cell r="H415">
            <v>96.52</v>
          </cell>
          <cell r="BJ415">
            <v>900</v>
          </cell>
          <cell r="BK415">
            <v>13947</v>
          </cell>
        </row>
        <row r="416">
          <cell r="A416">
            <v>37329</v>
          </cell>
          <cell r="H416">
            <v>96.54</v>
          </cell>
          <cell r="BJ416">
            <v>35</v>
          </cell>
          <cell r="BK416">
            <v>13937</v>
          </cell>
        </row>
        <row r="417">
          <cell r="A417">
            <v>37333</v>
          </cell>
          <cell r="H417">
            <v>96.52</v>
          </cell>
          <cell r="BJ417">
            <v>30</v>
          </cell>
          <cell r="BK417">
            <v>13937</v>
          </cell>
        </row>
        <row r="418">
          <cell r="A418">
            <v>37334</v>
          </cell>
          <cell r="H418">
            <v>96.5</v>
          </cell>
          <cell r="BJ418">
            <v>5</v>
          </cell>
          <cell r="BK418">
            <v>13937</v>
          </cell>
        </row>
        <row r="419">
          <cell r="A419">
            <v>37335</v>
          </cell>
          <cell r="H419">
            <v>96.56</v>
          </cell>
          <cell r="BJ419">
            <v>60</v>
          </cell>
          <cell r="BK419">
            <v>12174</v>
          </cell>
        </row>
        <row r="420">
          <cell r="A420">
            <v>37336</v>
          </cell>
          <cell r="H420">
            <v>96.52</v>
          </cell>
          <cell r="BJ420">
            <v>603</v>
          </cell>
          <cell r="BK420">
            <v>12292</v>
          </cell>
        </row>
        <row r="421">
          <cell r="A421">
            <v>37337</v>
          </cell>
          <cell r="H421">
            <v>96.57</v>
          </cell>
          <cell r="BJ421">
            <v>505</v>
          </cell>
          <cell r="BK421">
            <v>12405</v>
          </cell>
        </row>
        <row r="422">
          <cell r="A422">
            <v>37340</v>
          </cell>
          <cell r="H422">
            <v>96.66</v>
          </cell>
          <cell r="BJ422">
            <v>615</v>
          </cell>
          <cell r="BK422">
            <v>12369</v>
          </cell>
        </row>
        <row r="423">
          <cell r="A423">
            <v>37341</v>
          </cell>
          <cell r="H423">
            <v>96.67</v>
          </cell>
          <cell r="BJ423">
            <v>43</v>
          </cell>
          <cell r="BK423">
            <v>12359</v>
          </cell>
        </row>
        <row r="424">
          <cell r="A424">
            <v>37342</v>
          </cell>
          <cell r="H424">
            <v>96.62</v>
          </cell>
          <cell r="BJ424">
            <v>50</v>
          </cell>
          <cell r="BK424">
            <v>12362</v>
          </cell>
        </row>
        <row r="425">
          <cell r="A425">
            <v>37343</v>
          </cell>
          <cell r="H425">
            <v>96.63</v>
          </cell>
          <cell r="BJ425">
            <v>25</v>
          </cell>
          <cell r="BK425">
            <v>12372</v>
          </cell>
        </row>
        <row r="426">
          <cell r="A426">
            <v>37344</v>
          </cell>
          <cell r="H426">
            <v>96.71</v>
          </cell>
          <cell r="BJ426">
            <v>440</v>
          </cell>
          <cell r="BK426">
            <v>12627</v>
          </cell>
        </row>
        <row r="427">
          <cell r="A427">
            <v>37347</v>
          </cell>
          <cell r="H427">
            <v>96.71</v>
          </cell>
          <cell r="BJ427">
            <v>240</v>
          </cell>
          <cell r="BK427">
            <v>12647</v>
          </cell>
        </row>
        <row r="428">
          <cell r="A428">
            <v>37348</v>
          </cell>
          <cell r="H428">
            <v>96.69</v>
          </cell>
          <cell r="BJ428">
            <v>198</v>
          </cell>
          <cell r="BK428">
            <v>12774</v>
          </cell>
        </row>
        <row r="429">
          <cell r="A429">
            <v>37349</v>
          </cell>
          <cell r="H429">
            <v>96.71</v>
          </cell>
          <cell r="BJ429">
            <v>175</v>
          </cell>
          <cell r="BK429">
            <v>12839</v>
          </cell>
        </row>
        <row r="430">
          <cell r="A430">
            <v>37350</v>
          </cell>
          <cell r="H430">
            <v>96.7</v>
          </cell>
          <cell r="BJ430">
            <v>230</v>
          </cell>
          <cell r="BK430">
            <v>12889</v>
          </cell>
        </row>
        <row r="431">
          <cell r="A431">
            <v>37351</v>
          </cell>
          <cell r="H431">
            <v>96.71</v>
          </cell>
          <cell r="BJ431">
            <v>20</v>
          </cell>
          <cell r="BK431">
            <v>12894</v>
          </cell>
        </row>
        <row r="432">
          <cell r="A432">
            <v>37354</v>
          </cell>
          <cell r="H432">
            <v>96.71</v>
          </cell>
          <cell r="BJ432">
            <v>335</v>
          </cell>
          <cell r="BK432">
            <v>13129</v>
          </cell>
        </row>
        <row r="433">
          <cell r="A433">
            <v>37355</v>
          </cell>
          <cell r="H433">
            <v>96.72</v>
          </cell>
          <cell r="BJ433">
            <v>170</v>
          </cell>
          <cell r="BK433">
            <v>13077</v>
          </cell>
        </row>
        <row r="434">
          <cell r="A434">
            <v>37356</v>
          </cell>
          <cell r="H434">
            <v>96.73</v>
          </cell>
          <cell r="BJ434">
            <v>2420</v>
          </cell>
          <cell r="BK434">
            <v>13248</v>
          </cell>
        </row>
        <row r="435">
          <cell r="A435">
            <v>37357</v>
          </cell>
          <cell r="H435">
            <v>96.74</v>
          </cell>
          <cell r="BJ435">
            <v>80</v>
          </cell>
          <cell r="BK435">
            <v>13293</v>
          </cell>
        </row>
        <row r="436">
          <cell r="A436">
            <v>37358</v>
          </cell>
          <cell r="H436">
            <v>96.73</v>
          </cell>
          <cell r="BJ436">
            <v>620</v>
          </cell>
          <cell r="BK436">
            <v>13683</v>
          </cell>
        </row>
        <row r="437">
          <cell r="A437">
            <v>37361</v>
          </cell>
          <cell r="H437">
            <v>96.73</v>
          </cell>
          <cell r="BJ437">
            <v>200</v>
          </cell>
          <cell r="BK437">
            <v>13803</v>
          </cell>
        </row>
        <row r="438">
          <cell r="A438">
            <v>37362</v>
          </cell>
          <cell r="H438">
            <v>96.73</v>
          </cell>
          <cell r="BJ438">
            <v>20</v>
          </cell>
          <cell r="BK438">
            <v>13808</v>
          </cell>
        </row>
        <row r="439">
          <cell r="A439">
            <v>37363</v>
          </cell>
          <cell r="H439">
            <v>96.68</v>
          </cell>
          <cell r="BJ439">
            <v>545</v>
          </cell>
          <cell r="BK439">
            <v>14050</v>
          </cell>
        </row>
        <row r="440">
          <cell r="A440">
            <v>37364</v>
          </cell>
          <cell r="H440">
            <v>96.66</v>
          </cell>
          <cell r="BJ440">
            <v>300</v>
          </cell>
          <cell r="BK440">
            <v>14255</v>
          </cell>
        </row>
        <row r="441">
          <cell r="A441">
            <v>37365</v>
          </cell>
          <cell r="H441">
            <v>96.7</v>
          </cell>
          <cell r="BJ441">
            <v>595</v>
          </cell>
          <cell r="BK441">
            <v>14535</v>
          </cell>
        </row>
        <row r="442">
          <cell r="A442">
            <v>37368</v>
          </cell>
          <cell r="H442">
            <v>96.7</v>
          </cell>
          <cell r="BJ442">
            <v>0</v>
          </cell>
          <cell r="BK442">
            <v>14535</v>
          </cell>
        </row>
        <row r="443">
          <cell r="A443">
            <v>37369</v>
          </cell>
          <cell r="H443">
            <v>96.7</v>
          </cell>
          <cell r="BJ443">
            <v>405</v>
          </cell>
          <cell r="BK443">
            <v>14630</v>
          </cell>
        </row>
        <row r="444">
          <cell r="A444">
            <v>37370</v>
          </cell>
          <cell r="H444">
            <v>96.7</v>
          </cell>
          <cell r="BJ444">
            <v>435</v>
          </cell>
          <cell r="BK444">
            <v>14930</v>
          </cell>
        </row>
        <row r="445">
          <cell r="A445">
            <v>37372</v>
          </cell>
          <cell r="H445">
            <v>96.69</v>
          </cell>
          <cell r="BJ445">
            <v>260</v>
          </cell>
          <cell r="BK445">
            <v>15165</v>
          </cell>
        </row>
        <row r="446">
          <cell r="A446">
            <v>37375</v>
          </cell>
          <cell r="H446">
            <v>96.69</v>
          </cell>
          <cell r="BJ446">
            <v>0</v>
          </cell>
          <cell r="BK446">
            <v>15165</v>
          </cell>
        </row>
        <row r="447">
          <cell r="A447">
            <v>37376</v>
          </cell>
          <cell r="H447">
            <v>96.72</v>
          </cell>
          <cell r="BJ447">
            <v>200</v>
          </cell>
          <cell r="BK447">
            <v>15287</v>
          </cell>
        </row>
        <row r="448">
          <cell r="A448">
            <v>37378</v>
          </cell>
          <cell r="H448">
            <v>96.71</v>
          </cell>
          <cell r="BJ448">
            <v>1060</v>
          </cell>
          <cell r="BK448">
            <v>15707</v>
          </cell>
        </row>
        <row r="449">
          <cell r="A449">
            <v>37379</v>
          </cell>
          <cell r="H449">
            <v>96.71</v>
          </cell>
          <cell r="BJ449">
            <v>0</v>
          </cell>
          <cell r="BK449">
            <v>15707</v>
          </cell>
        </row>
        <row r="450">
          <cell r="A450">
            <v>37382</v>
          </cell>
          <cell r="H450">
            <v>96.69</v>
          </cell>
          <cell r="BJ450">
            <v>585</v>
          </cell>
          <cell r="BK450">
            <v>15932</v>
          </cell>
        </row>
        <row r="451">
          <cell r="A451">
            <v>37383</v>
          </cell>
          <cell r="H451">
            <v>96.69</v>
          </cell>
          <cell r="BJ451">
            <v>300</v>
          </cell>
          <cell r="BK451">
            <v>15922</v>
          </cell>
        </row>
        <row r="452">
          <cell r="A452">
            <v>37384</v>
          </cell>
          <cell r="H452">
            <v>96.74</v>
          </cell>
          <cell r="BJ452">
            <v>825</v>
          </cell>
          <cell r="BK452">
            <v>16242</v>
          </cell>
        </row>
        <row r="453">
          <cell r="A453">
            <v>37385</v>
          </cell>
          <cell r="H453">
            <v>96.74</v>
          </cell>
          <cell r="BJ453">
            <v>0</v>
          </cell>
          <cell r="BK453">
            <v>16242</v>
          </cell>
        </row>
        <row r="454">
          <cell r="A454">
            <v>37386</v>
          </cell>
          <cell r="H454">
            <v>96.72</v>
          </cell>
          <cell r="BJ454">
            <v>40</v>
          </cell>
          <cell r="BK454">
            <v>16282</v>
          </cell>
        </row>
        <row r="455">
          <cell r="A455">
            <v>37389</v>
          </cell>
          <cell r="H455">
            <v>96.72</v>
          </cell>
          <cell r="BJ455">
            <v>55</v>
          </cell>
          <cell r="BK455">
            <v>16287</v>
          </cell>
        </row>
        <row r="456">
          <cell r="A456">
            <v>37390</v>
          </cell>
          <cell r="H456">
            <v>96.72</v>
          </cell>
          <cell r="BJ456">
            <v>50</v>
          </cell>
          <cell r="BK456">
            <v>16302</v>
          </cell>
        </row>
        <row r="457">
          <cell r="A457">
            <v>37391</v>
          </cell>
          <cell r="H457">
            <v>96.7</v>
          </cell>
          <cell r="BJ457">
            <v>15</v>
          </cell>
          <cell r="BK457">
            <v>16292</v>
          </cell>
        </row>
        <row r="458">
          <cell r="A458">
            <v>37392</v>
          </cell>
          <cell r="H458">
            <v>96.7</v>
          </cell>
          <cell r="BJ458">
            <v>425</v>
          </cell>
          <cell r="BK458">
            <v>16367</v>
          </cell>
        </row>
        <row r="459">
          <cell r="A459">
            <v>37393</v>
          </cell>
          <cell r="H459">
            <v>96.71</v>
          </cell>
          <cell r="BJ459">
            <v>840</v>
          </cell>
          <cell r="BK459">
            <v>16609</v>
          </cell>
        </row>
        <row r="460">
          <cell r="A460">
            <v>37396</v>
          </cell>
          <cell r="H460">
            <v>96.71</v>
          </cell>
          <cell r="BJ460">
            <v>0</v>
          </cell>
          <cell r="BK460">
            <v>16391</v>
          </cell>
        </row>
        <row r="461">
          <cell r="A461">
            <v>37397</v>
          </cell>
          <cell r="H461">
            <v>96.7</v>
          </cell>
          <cell r="BJ461">
            <v>120</v>
          </cell>
          <cell r="BK461">
            <v>16399</v>
          </cell>
        </row>
        <row r="462">
          <cell r="A462">
            <v>37398</v>
          </cell>
          <cell r="H462">
            <v>96.69</v>
          </cell>
          <cell r="BJ462">
            <v>1230</v>
          </cell>
          <cell r="BK462">
            <v>16362</v>
          </cell>
        </row>
        <row r="463">
          <cell r="A463">
            <v>37399</v>
          </cell>
          <cell r="H463">
            <v>96.72</v>
          </cell>
          <cell r="BJ463">
            <v>31</v>
          </cell>
          <cell r="BK463">
            <v>16381</v>
          </cell>
        </row>
        <row r="464">
          <cell r="A464">
            <v>37400</v>
          </cell>
          <cell r="H464">
            <v>96.74</v>
          </cell>
          <cell r="BJ464">
            <v>110</v>
          </cell>
          <cell r="BK464">
            <v>16461</v>
          </cell>
        </row>
        <row r="465">
          <cell r="A465">
            <v>37404</v>
          </cell>
          <cell r="H465">
            <v>96.74</v>
          </cell>
          <cell r="BJ465">
            <v>30</v>
          </cell>
          <cell r="BK465">
            <v>16446</v>
          </cell>
        </row>
        <row r="466">
          <cell r="A466">
            <v>37405</v>
          </cell>
          <cell r="H466">
            <v>96.72</v>
          </cell>
          <cell r="BJ466">
            <v>23</v>
          </cell>
          <cell r="BK466">
            <v>16446</v>
          </cell>
        </row>
        <row r="467">
          <cell r="A467">
            <v>37406</v>
          </cell>
          <cell r="H467">
            <v>96.72</v>
          </cell>
          <cell r="BJ467">
            <v>340</v>
          </cell>
          <cell r="BK467">
            <v>16706</v>
          </cell>
        </row>
        <row r="468">
          <cell r="A468">
            <v>37407</v>
          </cell>
          <cell r="H468">
            <v>96.77</v>
          </cell>
          <cell r="BJ468">
            <v>130</v>
          </cell>
          <cell r="BK468">
            <v>16821</v>
          </cell>
        </row>
        <row r="469">
          <cell r="A469">
            <v>37410</v>
          </cell>
          <cell r="H469">
            <v>96.75</v>
          </cell>
          <cell r="BJ469">
            <v>180</v>
          </cell>
          <cell r="BK469">
            <v>16901</v>
          </cell>
        </row>
        <row r="470">
          <cell r="A470">
            <v>37411</v>
          </cell>
          <cell r="H470">
            <v>96.75</v>
          </cell>
          <cell r="BJ470">
            <v>20</v>
          </cell>
          <cell r="BK470">
            <v>16901</v>
          </cell>
        </row>
        <row r="471">
          <cell r="A471">
            <v>37412</v>
          </cell>
          <cell r="H471">
            <v>96.75</v>
          </cell>
          <cell r="BJ471">
            <v>320</v>
          </cell>
          <cell r="BK471">
            <v>16833</v>
          </cell>
        </row>
        <row r="472">
          <cell r="A472">
            <v>37413</v>
          </cell>
          <cell r="H472">
            <v>96.75</v>
          </cell>
          <cell r="BJ472">
            <v>377</v>
          </cell>
          <cell r="BK472">
            <v>16862</v>
          </cell>
        </row>
        <row r="473">
          <cell r="A473">
            <v>37414</v>
          </cell>
          <cell r="H473">
            <v>96.72</v>
          </cell>
          <cell r="BJ473">
            <v>45</v>
          </cell>
          <cell r="BK473">
            <v>16862</v>
          </cell>
        </row>
        <row r="474">
          <cell r="A474">
            <v>37417</v>
          </cell>
          <cell r="H474">
            <v>96.75</v>
          </cell>
          <cell r="BJ474">
            <v>215</v>
          </cell>
          <cell r="BK474">
            <v>16766</v>
          </cell>
        </row>
        <row r="475">
          <cell r="A475">
            <v>37418</v>
          </cell>
          <cell r="H475">
            <v>96.73</v>
          </cell>
          <cell r="BJ475">
            <v>735</v>
          </cell>
          <cell r="BK475">
            <v>16806</v>
          </cell>
        </row>
        <row r="476">
          <cell r="A476">
            <v>37419</v>
          </cell>
          <cell r="H476">
            <v>96.75</v>
          </cell>
          <cell r="BJ476">
            <v>210</v>
          </cell>
          <cell r="BK476">
            <v>16806</v>
          </cell>
        </row>
        <row r="477">
          <cell r="A477">
            <v>37420</v>
          </cell>
          <cell r="H477">
            <v>96.76</v>
          </cell>
          <cell r="BJ477">
            <v>20</v>
          </cell>
          <cell r="BK477">
            <v>16826</v>
          </cell>
        </row>
      </sheetData>
      <sheetData sheetId="6"/>
      <sheetData sheetId="7">
        <row r="2">
          <cell r="B2" t="str">
            <v>Settlement Price</v>
          </cell>
          <cell r="N2" t="str">
            <v xml:space="preserve">Volume </v>
          </cell>
          <cell r="O2" t="str">
            <v>Open Position</v>
          </cell>
        </row>
        <row r="3">
          <cell r="A3">
            <v>37344</v>
          </cell>
          <cell r="B3">
            <v>108.85</v>
          </cell>
          <cell r="N3">
            <v>686</v>
          </cell>
          <cell r="O3">
            <v>436</v>
          </cell>
        </row>
        <row r="4">
          <cell r="A4">
            <v>37347</v>
          </cell>
          <cell r="B4">
            <v>108.7</v>
          </cell>
          <cell r="N4">
            <v>521</v>
          </cell>
          <cell r="O4">
            <v>622</v>
          </cell>
        </row>
        <row r="5">
          <cell r="A5">
            <v>37348</v>
          </cell>
          <cell r="B5">
            <v>108.57</v>
          </cell>
          <cell r="N5">
            <v>375</v>
          </cell>
          <cell r="O5">
            <v>700</v>
          </cell>
        </row>
        <row r="6">
          <cell r="A6">
            <v>37349</v>
          </cell>
          <cell r="B6">
            <v>108.56</v>
          </cell>
          <cell r="N6">
            <v>166</v>
          </cell>
          <cell r="O6">
            <v>749</v>
          </cell>
        </row>
        <row r="7">
          <cell r="A7">
            <v>37350</v>
          </cell>
          <cell r="B7">
            <v>108.58</v>
          </cell>
          <cell r="N7">
            <v>540</v>
          </cell>
          <cell r="O7">
            <v>997</v>
          </cell>
        </row>
        <row r="8">
          <cell r="A8">
            <v>37351</v>
          </cell>
          <cell r="B8">
            <v>108.64</v>
          </cell>
          <cell r="N8">
            <v>1269</v>
          </cell>
          <cell r="O8">
            <v>1373</v>
          </cell>
        </row>
        <row r="9">
          <cell r="A9">
            <v>37354</v>
          </cell>
          <cell r="B9">
            <v>108.78</v>
          </cell>
          <cell r="N9">
            <v>773</v>
          </cell>
          <cell r="O9">
            <v>1461</v>
          </cell>
        </row>
        <row r="10">
          <cell r="A10">
            <v>37355</v>
          </cell>
          <cell r="B10">
            <v>108.82</v>
          </cell>
          <cell r="N10">
            <v>449</v>
          </cell>
          <cell r="O10">
            <v>1639</v>
          </cell>
        </row>
        <row r="11">
          <cell r="A11">
            <v>37356</v>
          </cell>
          <cell r="B11">
            <v>108.85</v>
          </cell>
          <cell r="N11">
            <v>440</v>
          </cell>
          <cell r="O11">
            <v>1729</v>
          </cell>
        </row>
        <row r="12">
          <cell r="A12">
            <v>37357</v>
          </cell>
          <cell r="B12">
            <v>108.89</v>
          </cell>
          <cell r="N12">
            <v>754</v>
          </cell>
          <cell r="O12">
            <v>2066</v>
          </cell>
        </row>
        <row r="13">
          <cell r="A13">
            <v>37358</v>
          </cell>
          <cell r="B13">
            <v>108.91</v>
          </cell>
          <cell r="N13">
            <v>124</v>
          </cell>
          <cell r="O13">
            <v>2076</v>
          </cell>
        </row>
        <row r="14">
          <cell r="A14">
            <v>37361</v>
          </cell>
          <cell r="B14">
            <v>108.97</v>
          </cell>
          <cell r="N14">
            <v>371</v>
          </cell>
          <cell r="O14">
            <v>1939</v>
          </cell>
        </row>
        <row r="15">
          <cell r="A15">
            <v>37362</v>
          </cell>
          <cell r="B15">
            <v>108.98</v>
          </cell>
          <cell r="N15">
            <v>546</v>
          </cell>
          <cell r="O15">
            <v>1979</v>
          </cell>
        </row>
        <row r="16">
          <cell r="A16">
            <v>37363</v>
          </cell>
          <cell r="B16">
            <v>108.83</v>
          </cell>
          <cell r="N16">
            <v>963</v>
          </cell>
          <cell r="O16">
            <v>2484</v>
          </cell>
        </row>
        <row r="17">
          <cell r="A17">
            <v>37364</v>
          </cell>
          <cell r="B17">
            <v>108.87</v>
          </cell>
          <cell r="N17">
            <v>300</v>
          </cell>
          <cell r="O17">
            <v>2138</v>
          </cell>
        </row>
        <row r="18">
          <cell r="A18">
            <v>37365</v>
          </cell>
          <cell r="B18">
            <v>108.9</v>
          </cell>
          <cell r="N18">
            <v>170</v>
          </cell>
          <cell r="O18">
            <v>2138</v>
          </cell>
        </row>
        <row r="19">
          <cell r="A19">
            <v>37368</v>
          </cell>
          <cell r="B19">
            <v>108.86</v>
          </cell>
          <cell r="N19">
            <v>15</v>
          </cell>
          <cell r="O19">
            <v>2153</v>
          </cell>
        </row>
        <row r="20">
          <cell r="A20">
            <v>37369</v>
          </cell>
          <cell r="B20">
            <v>108.87</v>
          </cell>
          <cell r="N20">
            <v>60</v>
          </cell>
          <cell r="O20">
            <v>2213</v>
          </cell>
        </row>
        <row r="21">
          <cell r="A21">
            <v>37370</v>
          </cell>
          <cell r="B21">
            <v>108.88</v>
          </cell>
          <cell r="N21">
            <v>10</v>
          </cell>
          <cell r="O21">
            <v>2213</v>
          </cell>
        </row>
        <row r="22">
          <cell r="A22">
            <v>37372</v>
          </cell>
          <cell r="B22">
            <v>108.92</v>
          </cell>
          <cell r="N22">
            <v>100</v>
          </cell>
          <cell r="O22">
            <v>2173</v>
          </cell>
        </row>
        <row r="23">
          <cell r="A23">
            <v>37375</v>
          </cell>
          <cell r="B23">
            <v>108.93</v>
          </cell>
          <cell r="N23">
            <v>80</v>
          </cell>
          <cell r="O23">
            <v>2193</v>
          </cell>
        </row>
        <row r="24">
          <cell r="A24">
            <v>37376</v>
          </cell>
          <cell r="B24">
            <v>108.96</v>
          </cell>
          <cell r="N24">
            <v>120</v>
          </cell>
          <cell r="O24">
            <v>2193</v>
          </cell>
        </row>
        <row r="25">
          <cell r="A25">
            <v>37378</v>
          </cell>
          <cell r="B25">
            <v>109.12</v>
          </cell>
          <cell r="N25">
            <v>635</v>
          </cell>
          <cell r="O25">
            <v>2200</v>
          </cell>
        </row>
        <row r="26">
          <cell r="A26">
            <v>37379</v>
          </cell>
          <cell r="B26">
            <v>109.12</v>
          </cell>
          <cell r="N26">
            <v>0</v>
          </cell>
          <cell r="O26">
            <v>2200</v>
          </cell>
        </row>
        <row r="27">
          <cell r="A27">
            <v>37382</v>
          </cell>
          <cell r="B27">
            <v>109.21</v>
          </cell>
          <cell r="N27">
            <v>63</v>
          </cell>
          <cell r="O27">
            <v>2210</v>
          </cell>
        </row>
        <row r="28">
          <cell r="A28">
            <v>37383</v>
          </cell>
          <cell r="B28">
            <v>109.26</v>
          </cell>
          <cell r="N28">
            <v>489</v>
          </cell>
          <cell r="O28">
            <v>2479</v>
          </cell>
        </row>
        <row r="29">
          <cell r="A29">
            <v>37384</v>
          </cell>
          <cell r="B29">
            <v>109.4</v>
          </cell>
          <cell r="N29">
            <v>760</v>
          </cell>
          <cell r="O29">
            <v>2680</v>
          </cell>
        </row>
        <row r="30">
          <cell r="A30">
            <v>37385</v>
          </cell>
          <cell r="B30">
            <v>109.39</v>
          </cell>
          <cell r="N30">
            <v>170</v>
          </cell>
          <cell r="O30">
            <v>2660</v>
          </cell>
        </row>
        <row r="31">
          <cell r="A31">
            <v>37386</v>
          </cell>
          <cell r="B31">
            <v>109.6</v>
          </cell>
          <cell r="N31">
            <v>807</v>
          </cell>
          <cell r="O31">
            <v>2330</v>
          </cell>
        </row>
        <row r="32">
          <cell r="A32">
            <v>37389</v>
          </cell>
          <cell r="B32">
            <v>109.63</v>
          </cell>
          <cell r="N32">
            <v>770</v>
          </cell>
          <cell r="O32">
            <v>2405</v>
          </cell>
        </row>
        <row r="33">
          <cell r="A33">
            <v>37390</v>
          </cell>
          <cell r="B33">
            <v>109.8</v>
          </cell>
          <cell r="N33">
            <v>420</v>
          </cell>
          <cell r="O33">
            <v>2400</v>
          </cell>
        </row>
        <row r="34">
          <cell r="A34">
            <v>37391</v>
          </cell>
          <cell r="B34">
            <v>109.85</v>
          </cell>
          <cell r="N34">
            <v>365</v>
          </cell>
          <cell r="O34">
            <v>2505</v>
          </cell>
        </row>
        <row r="35">
          <cell r="A35">
            <v>37392</v>
          </cell>
          <cell r="B35">
            <v>110.08</v>
          </cell>
          <cell r="N35">
            <v>705</v>
          </cell>
          <cell r="O35">
            <v>2384</v>
          </cell>
        </row>
        <row r="36">
          <cell r="A36">
            <v>37393</v>
          </cell>
          <cell r="B36">
            <v>109.98</v>
          </cell>
          <cell r="N36">
            <v>690</v>
          </cell>
          <cell r="O36">
            <v>2299</v>
          </cell>
        </row>
        <row r="37">
          <cell r="A37">
            <v>37396</v>
          </cell>
          <cell r="B37">
            <v>109.96</v>
          </cell>
          <cell r="N37">
            <v>110</v>
          </cell>
          <cell r="O37">
            <v>2224</v>
          </cell>
        </row>
        <row r="38">
          <cell r="A38">
            <v>37397</v>
          </cell>
          <cell r="B38">
            <v>110</v>
          </cell>
          <cell r="N38">
            <v>125</v>
          </cell>
          <cell r="O38">
            <v>2244</v>
          </cell>
        </row>
        <row r="39">
          <cell r="A39">
            <v>37398</v>
          </cell>
          <cell r="B39">
            <v>110.05</v>
          </cell>
          <cell r="N39">
            <v>170</v>
          </cell>
          <cell r="O39">
            <v>2234</v>
          </cell>
        </row>
        <row r="40">
          <cell r="A40">
            <v>37399</v>
          </cell>
          <cell r="B40">
            <v>110.12</v>
          </cell>
          <cell r="N40">
            <v>330</v>
          </cell>
          <cell r="O40">
            <v>2274</v>
          </cell>
        </row>
        <row r="41">
          <cell r="A41">
            <v>37400</v>
          </cell>
          <cell r="B41">
            <v>110.17</v>
          </cell>
          <cell r="N41">
            <v>310</v>
          </cell>
          <cell r="O41">
            <v>2169</v>
          </cell>
        </row>
        <row r="42">
          <cell r="A42">
            <v>37404</v>
          </cell>
          <cell r="B42">
            <v>110.18</v>
          </cell>
          <cell r="N42">
            <v>175</v>
          </cell>
          <cell r="O42">
            <v>2214</v>
          </cell>
        </row>
        <row r="43">
          <cell r="A43">
            <v>37405</v>
          </cell>
          <cell r="B43">
            <v>110.37</v>
          </cell>
          <cell r="N43">
            <v>386</v>
          </cell>
          <cell r="O43">
            <v>2336</v>
          </cell>
        </row>
        <row r="44">
          <cell r="A44">
            <v>37406</v>
          </cell>
          <cell r="B44">
            <v>110.36</v>
          </cell>
          <cell r="N44">
            <v>0</v>
          </cell>
          <cell r="O44">
            <v>2336</v>
          </cell>
        </row>
        <row r="45">
          <cell r="A45">
            <v>37407</v>
          </cell>
          <cell r="B45">
            <v>110.46</v>
          </cell>
          <cell r="N45">
            <v>15</v>
          </cell>
          <cell r="O45">
            <v>2331</v>
          </cell>
        </row>
        <row r="46">
          <cell r="A46">
            <v>37410</v>
          </cell>
          <cell r="B46">
            <v>110.46</v>
          </cell>
          <cell r="N46">
            <v>0</v>
          </cell>
          <cell r="O46">
            <v>2331</v>
          </cell>
        </row>
        <row r="47">
          <cell r="A47">
            <v>37411</v>
          </cell>
          <cell r="B47">
            <v>110.65</v>
          </cell>
          <cell r="N47">
            <v>490</v>
          </cell>
          <cell r="O47">
            <v>2396</v>
          </cell>
        </row>
        <row r="48">
          <cell r="A48">
            <v>37412</v>
          </cell>
          <cell r="B48">
            <v>110.88</v>
          </cell>
          <cell r="N48">
            <v>220</v>
          </cell>
          <cell r="O48">
            <v>2266</v>
          </cell>
        </row>
        <row r="49">
          <cell r="A49">
            <v>37413</v>
          </cell>
          <cell r="B49">
            <v>111.3</v>
          </cell>
          <cell r="N49">
            <v>170</v>
          </cell>
          <cell r="O49">
            <v>2306</v>
          </cell>
        </row>
        <row r="50">
          <cell r="A50">
            <v>37414</v>
          </cell>
          <cell r="B50">
            <v>111.2</v>
          </cell>
          <cell r="N50">
            <v>611</v>
          </cell>
          <cell r="O50">
            <v>2356</v>
          </cell>
        </row>
        <row r="51">
          <cell r="A51">
            <v>37417</v>
          </cell>
          <cell r="B51">
            <v>111.25</v>
          </cell>
          <cell r="N51">
            <v>205</v>
          </cell>
          <cell r="O51">
            <v>2376</v>
          </cell>
        </row>
        <row r="52">
          <cell r="A52">
            <v>37418</v>
          </cell>
          <cell r="B52">
            <v>111.33</v>
          </cell>
          <cell r="N52">
            <v>130</v>
          </cell>
          <cell r="O52">
            <v>2506</v>
          </cell>
        </row>
        <row r="53">
          <cell r="A53">
            <v>37419</v>
          </cell>
          <cell r="B53">
            <v>111.48</v>
          </cell>
          <cell r="N53">
            <v>119</v>
          </cell>
          <cell r="O53">
            <v>2501</v>
          </cell>
        </row>
        <row r="54">
          <cell r="A54">
            <v>37420</v>
          </cell>
          <cell r="B54">
            <v>111.63</v>
          </cell>
          <cell r="N54">
            <v>82</v>
          </cell>
          <cell r="O54">
            <v>2541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3"/>
  <sheetViews>
    <sheetView tabSelected="1" zoomScale="75" zoomScaleNormal="75" workbookViewId="0">
      <selection activeCell="F14" sqref="F14"/>
    </sheetView>
  </sheetViews>
  <sheetFormatPr defaultRowHeight="12.75"/>
  <cols>
    <col min="1" max="1" width="11.7109375" customWidth="1"/>
    <col min="2" max="2" width="14.7109375" customWidth="1"/>
    <col min="3" max="3" width="19.42578125" customWidth="1"/>
    <col min="4" max="5" width="13.7109375" customWidth="1"/>
    <col min="6" max="6" width="19.42578125" customWidth="1"/>
    <col min="7" max="7" width="17" customWidth="1"/>
    <col min="8" max="8" width="12.42578125" customWidth="1"/>
  </cols>
  <sheetData>
    <row r="2" spans="1:11" ht="26.25">
      <c r="A2" s="691" t="s">
        <v>158</v>
      </c>
      <c r="B2" s="692"/>
      <c r="C2" s="692"/>
      <c r="D2" s="692"/>
      <c r="E2" s="692"/>
      <c r="F2" s="692"/>
      <c r="G2" s="692"/>
      <c r="H2" s="693"/>
    </row>
    <row r="3" spans="1:11">
      <c r="A3" s="95" t="s">
        <v>159</v>
      </c>
      <c r="B3" s="95"/>
      <c r="C3" s="694" t="str">
        <f>'General(R)'!H9</f>
        <v>14/01/2004 (Wednesday)</v>
      </c>
      <c r="D3" s="95"/>
      <c r="E3" s="95"/>
      <c r="F3" s="95"/>
      <c r="G3" s="95"/>
      <c r="H3" s="695"/>
      <c r="I3" s="695"/>
      <c r="J3" s="695"/>
    </row>
    <row r="4" spans="1:11">
      <c r="A4" s="95"/>
      <c r="B4" s="95"/>
      <c r="C4" s="694"/>
      <c r="D4" s="95"/>
      <c r="E4" s="95"/>
      <c r="F4" s="95"/>
      <c r="G4" s="95"/>
      <c r="H4" s="695"/>
      <c r="I4" s="695"/>
      <c r="J4" s="695"/>
    </row>
    <row r="5" spans="1:11">
      <c r="A5" s="696" t="s">
        <v>160</v>
      </c>
      <c r="B5" s="95"/>
      <c r="C5" s="95" t="s">
        <v>161</v>
      </c>
      <c r="D5" s="95"/>
      <c r="E5" s="95"/>
      <c r="F5" s="95"/>
      <c r="G5" s="95"/>
      <c r="H5" s="695" t="s">
        <v>74</v>
      </c>
      <c r="I5" s="695" t="s">
        <v>74</v>
      </c>
      <c r="J5" s="695"/>
      <c r="K5" s="695"/>
    </row>
    <row r="6" spans="1:11">
      <c r="A6" s="95"/>
      <c r="B6" s="95"/>
      <c r="C6" s="95"/>
      <c r="D6" s="95"/>
      <c r="E6" s="95"/>
      <c r="F6" s="95"/>
      <c r="G6" s="95"/>
      <c r="H6" s="695"/>
      <c r="I6" s="695"/>
      <c r="J6" s="695"/>
    </row>
    <row r="7" spans="1:11">
      <c r="A7" s="95" t="s">
        <v>162</v>
      </c>
      <c r="B7" s="95"/>
      <c r="C7" s="697" t="s">
        <v>163</v>
      </c>
      <c r="D7" s="95"/>
      <c r="E7" s="95"/>
      <c r="F7" s="95"/>
      <c r="G7" s="95"/>
      <c r="H7" s="695"/>
      <c r="I7" s="695"/>
      <c r="J7" s="695"/>
    </row>
    <row r="8" spans="1:11">
      <c r="A8" s="695"/>
      <c r="B8" s="695"/>
      <c r="C8" s="697" t="s">
        <v>164</v>
      </c>
      <c r="D8" s="95"/>
      <c r="E8" s="95"/>
      <c r="F8" s="95"/>
      <c r="G8" s="695"/>
      <c r="H8" s="695"/>
      <c r="I8" s="695"/>
      <c r="J8" s="695"/>
    </row>
    <row r="9" spans="1:11">
      <c r="C9" s="697" t="s">
        <v>165</v>
      </c>
      <c r="D9" s="72"/>
      <c r="E9" s="72"/>
      <c r="F9" s="72"/>
    </row>
    <row r="10" spans="1:11">
      <c r="C10" s="697"/>
      <c r="D10" s="72"/>
      <c r="E10" s="72"/>
      <c r="F10" s="72"/>
    </row>
    <row r="11" spans="1:11" s="701" customFormat="1" ht="15.75" customHeight="1">
      <c r="A11" s="698" t="s">
        <v>33</v>
      </c>
      <c r="B11" s="699" t="s">
        <v>34</v>
      </c>
      <c r="C11" s="700" t="s">
        <v>35</v>
      </c>
      <c r="D11" s="700" t="s">
        <v>166</v>
      </c>
      <c r="E11" s="700" t="s">
        <v>166</v>
      </c>
      <c r="F11" s="699" t="s">
        <v>167</v>
      </c>
      <c r="G11" s="699" t="s">
        <v>205</v>
      </c>
      <c r="H11" s="700" t="s">
        <v>40</v>
      </c>
    </row>
    <row r="12" spans="1:11" s="701" customFormat="1" ht="15">
      <c r="A12" s="702" t="s">
        <v>23</v>
      </c>
      <c r="B12" s="703" t="s">
        <v>41</v>
      </c>
      <c r="C12" s="703" t="s">
        <v>42</v>
      </c>
      <c r="D12" s="703" t="s">
        <v>168</v>
      </c>
      <c r="E12" s="703" t="s">
        <v>169</v>
      </c>
      <c r="F12" s="703" t="s">
        <v>42</v>
      </c>
      <c r="G12" s="703" t="s">
        <v>42</v>
      </c>
      <c r="H12" s="703" t="s">
        <v>28</v>
      </c>
    </row>
    <row r="13" spans="1:11" s="701" customFormat="1" ht="18.75">
      <c r="A13" s="704" t="s">
        <v>206</v>
      </c>
      <c r="B13" s="705"/>
      <c r="C13" s="705"/>
      <c r="D13" s="705"/>
      <c r="E13" s="705"/>
      <c r="F13" s="705"/>
      <c r="G13" s="705"/>
      <c r="H13" s="705"/>
    </row>
    <row r="14" spans="1:11" s="701" customFormat="1" ht="15">
      <c r="A14" s="843">
        <f>'General(R)'!B74</f>
        <v>37987</v>
      </c>
      <c r="B14" s="706">
        <f>'General(R)'!C83</f>
        <v>827</v>
      </c>
      <c r="C14" s="706">
        <f>'General(R)'!D83</f>
        <v>825</v>
      </c>
      <c r="D14" s="706">
        <f>'General(R)'!E83</f>
        <v>832.5</v>
      </c>
      <c r="E14" s="706">
        <f>'General(R)'!F83</f>
        <v>822.5</v>
      </c>
      <c r="F14" s="706">
        <f>'General(R)'!G83</f>
        <v>823.5</v>
      </c>
      <c r="G14" s="706">
        <f>'General(R)'!H83</f>
        <v>823.5</v>
      </c>
      <c r="H14" s="706">
        <f>'General(R)'!I83</f>
        <v>-3.5</v>
      </c>
    </row>
    <row r="15" spans="1:11" s="701" customFormat="1" ht="15">
      <c r="A15" s="843">
        <f>'General(R)'!B75</f>
        <v>38018</v>
      </c>
      <c r="B15" s="706">
        <f>'General(R)'!C84</f>
        <v>831</v>
      </c>
      <c r="C15" s="706">
        <f>'General(R)'!D84</f>
        <v>828</v>
      </c>
      <c r="D15" s="706">
        <f>'General(R)'!E84</f>
        <v>836.5</v>
      </c>
      <c r="E15" s="706">
        <f>'General(R)'!F84</f>
        <v>827</v>
      </c>
      <c r="F15" s="706">
        <f>'General(R)'!G84</f>
        <v>828.5</v>
      </c>
      <c r="G15" s="706">
        <f>'General(R)'!H84</f>
        <v>828.5</v>
      </c>
      <c r="H15" s="706">
        <f>'General(R)'!I84</f>
        <v>-2.5</v>
      </c>
    </row>
    <row r="16" spans="1:11" s="701" customFormat="1" ht="15">
      <c r="A16" s="843">
        <f>'General(R)'!B76</f>
        <v>38047</v>
      </c>
      <c r="B16" s="706">
        <f>'General(R)'!C85</f>
        <v>835.5</v>
      </c>
      <c r="C16" s="706">
        <f>'General(R)'!D85</f>
        <v>0</v>
      </c>
      <c r="D16" s="706">
        <f>'General(R)'!E85</f>
        <v>0</v>
      </c>
      <c r="E16" s="706">
        <f>'General(R)'!F85</f>
        <v>0</v>
      </c>
      <c r="F16" s="706">
        <f>'General(R)'!G85</f>
        <v>0</v>
      </c>
      <c r="G16" s="706">
        <f>'General(R)'!H85</f>
        <v>833</v>
      </c>
      <c r="H16" s="706">
        <f>'General(R)'!I85</f>
        <v>-2.5</v>
      </c>
    </row>
    <row r="17" spans="1:8" s="701" customFormat="1" ht="15">
      <c r="A17" s="843">
        <f>'General(R)'!B77</f>
        <v>38140</v>
      </c>
      <c r="B17" s="706">
        <f>'General(R)'!C86</f>
        <v>835.5</v>
      </c>
      <c r="C17" s="707">
        <f>'General(R)'!D86</f>
        <v>0</v>
      </c>
      <c r="D17" s="708">
        <f>'General(R)'!E86</f>
        <v>0</v>
      </c>
      <c r="E17" s="709">
        <f>'General(R)'!F86</f>
        <v>0</v>
      </c>
      <c r="F17" s="707">
        <f>'General(R)'!G86</f>
        <v>0</v>
      </c>
      <c r="G17" s="706">
        <f>'General(R)'!H86</f>
        <v>833</v>
      </c>
      <c r="H17" s="706">
        <f>'General(R)'!I86</f>
        <v>-2.5</v>
      </c>
    </row>
    <row r="18" spans="1:8" s="701" customFormat="1" ht="18" customHeight="1">
      <c r="A18" s="704" t="s">
        <v>277</v>
      </c>
      <c r="B18" s="710">
        <f>'General(R)'!C87</f>
        <v>818.42</v>
      </c>
      <c r="C18" s="711">
        <f>'General(R)'!D87</f>
        <v>817.89</v>
      </c>
      <c r="D18" s="711">
        <f>'General(R)'!E87</f>
        <v>822.37</v>
      </c>
      <c r="E18" s="711">
        <f>'General(R)'!F87</f>
        <v>815.21</v>
      </c>
      <c r="F18" s="711">
        <f>'General(R)'!G87</f>
        <v>815.98</v>
      </c>
      <c r="G18" s="710" t="str">
        <f>'General(R)'!H87</f>
        <v>nil</v>
      </c>
      <c r="H18" s="710">
        <f>'General(R)'!I87</f>
        <v>-2.4399999999999409</v>
      </c>
    </row>
    <row r="19" spans="1:8" s="701" customFormat="1" ht="18.75">
      <c r="A19" s="712" t="s">
        <v>278</v>
      </c>
      <c r="B19" s="705"/>
      <c r="C19" s="705"/>
      <c r="D19" s="705"/>
      <c r="E19" s="705"/>
      <c r="F19" s="705"/>
      <c r="G19" s="711">
        <f>'General(R)'!H88</f>
        <v>7.5199999999999818</v>
      </c>
      <c r="H19" s="713"/>
    </row>
    <row r="20" spans="1:8" s="701" customFormat="1" ht="15.75">
      <c r="A20" s="714"/>
      <c r="B20" s="715"/>
      <c r="C20" s="715"/>
      <c r="D20" s="715"/>
      <c r="E20" s="715"/>
      <c r="F20" s="715"/>
      <c r="G20" s="716"/>
      <c r="H20" s="714"/>
    </row>
    <row r="21" spans="1:8" s="701" customFormat="1" ht="18" customHeight="1">
      <c r="A21" s="698" t="s">
        <v>33</v>
      </c>
      <c r="B21" s="717" t="s">
        <v>21</v>
      </c>
      <c r="C21" s="717"/>
      <c r="D21" s="717" t="s">
        <v>280</v>
      </c>
      <c r="E21" s="717"/>
      <c r="F21" s="717"/>
    </row>
    <row r="22" spans="1:8" s="701" customFormat="1" ht="16.5" customHeight="1">
      <c r="A22" s="702" t="s">
        <v>23</v>
      </c>
      <c r="B22" s="718" t="s">
        <v>24</v>
      </c>
      <c r="C22" s="719" t="s">
        <v>279</v>
      </c>
      <c r="D22" s="718" t="s">
        <v>26</v>
      </c>
      <c r="E22" s="718" t="s">
        <v>27</v>
      </c>
      <c r="F22" s="718" t="s">
        <v>28</v>
      </c>
    </row>
    <row r="23" spans="1:8" s="701" customFormat="1" ht="15">
      <c r="A23" s="704" t="s">
        <v>30</v>
      </c>
      <c r="B23" s="705"/>
      <c r="C23" s="705"/>
      <c r="D23" s="705"/>
      <c r="E23" s="705"/>
      <c r="F23" s="705"/>
    </row>
    <row r="24" spans="1:8" s="701" customFormat="1" ht="15">
      <c r="A24" s="843">
        <f>'General(R)'!B83</f>
        <v>37987</v>
      </c>
      <c r="B24" s="720">
        <f>'General(R)'!C74</f>
        <v>3074</v>
      </c>
      <c r="C24" s="720">
        <f>'General(R)'!D74</f>
        <v>30955</v>
      </c>
      <c r="D24" s="720">
        <f>'General(R)'!E74</f>
        <v>15027</v>
      </c>
      <c r="E24" s="720">
        <f>'General(R)'!F74</f>
        <v>15822</v>
      </c>
      <c r="F24" s="720">
        <f>'General(R)'!G74</f>
        <v>795</v>
      </c>
    </row>
    <row r="25" spans="1:8" s="701" customFormat="1" ht="15" ph="1">
      <c r="A25" s="843">
        <f>'General(R)'!B84</f>
        <v>38018</v>
      </c>
      <c r="B25" s="720">
        <f>'General(R)'!C75</f>
        <v>250</v>
      </c>
      <c r="C25" s="720">
        <f>'General(R)'!D75</f>
        <v>1094</v>
      </c>
      <c r="D25" s="720">
        <f>'General(R)'!E75</f>
        <v>433</v>
      </c>
      <c r="E25" s="720">
        <f>'General(R)'!F75</f>
        <v>568</v>
      </c>
      <c r="F25" s="720">
        <f>'General(R)'!G75</f>
        <v>135</v>
      </c>
      <c r="G25" s="701"/>
      <c r="H25" s="701"/>
    </row>
    <row r="26" spans="1:8" s="701" customFormat="1" ht="15">
      <c r="A26" s="843">
        <f>'General(R)'!B85</f>
        <v>38047</v>
      </c>
      <c r="B26" s="720">
        <f>'General(R)'!C76</f>
        <v>0</v>
      </c>
      <c r="C26" s="720">
        <f>'General(R)'!D76</f>
        <v>11</v>
      </c>
      <c r="D26" s="720">
        <f>'General(R)'!E76</f>
        <v>16</v>
      </c>
      <c r="E26" s="720">
        <f>'General(R)'!F76</f>
        <v>16</v>
      </c>
      <c r="F26" s="720">
        <f>'General(R)'!G76</f>
        <v>0</v>
      </c>
    </row>
    <row r="27" spans="1:8" s="701" customFormat="1" ht="15">
      <c r="A27" s="843">
        <f>'General(R)'!B86</f>
        <v>38140</v>
      </c>
      <c r="B27" s="708">
        <f>'General(R)'!C77</f>
        <v>0</v>
      </c>
      <c r="C27" s="709">
        <f>'General(R)'!D77</f>
        <v>0</v>
      </c>
      <c r="D27" s="708">
        <f>'General(R)'!E77</f>
        <v>0</v>
      </c>
      <c r="E27" s="709">
        <f>'General(R)'!F77</f>
        <v>0</v>
      </c>
      <c r="F27" s="721">
        <f>'General(R)'!G77</f>
        <v>0</v>
      </c>
    </row>
    <row r="28" spans="1:8" s="701" customFormat="1" ht="15.75">
      <c r="A28" s="713" t="s">
        <v>32</v>
      </c>
      <c r="B28" s="722">
        <f>'General(R)'!C78</f>
        <v>3324</v>
      </c>
      <c r="C28" s="722">
        <f>'General(R)'!D78</f>
        <v>32060</v>
      </c>
      <c r="D28" s="722">
        <f>'General(R)'!E78</f>
        <v>15476</v>
      </c>
      <c r="E28" s="722">
        <f>'General(R)'!F78</f>
        <v>16406</v>
      </c>
      <c r="F28" s="723">
        <f>'General(R)'!G78</f>
        <v>930</v>
      </c>
    </row>
    <row r="29" spans="1:8" s="701" customFormat="1" ht="15.75">
      <c r="A29" s="714"/>
      <c r="B29" s="724"/>
      <c r="C29" s="724"/>
      <c r="D29" s="724"/>
      <c r="E29" s="724"/>
      <c r="F29" s="725"/>
    </row>
    <row r="30" spans="1:8" s="701" customFormat="1" ht="15">
      <c r="A30" s="696" t="s">
        <v>160</v>
      </c>
      <c r="B30" s="95"/>
      <c r="C30" s="95" t="s">
        <v>170</v>
      </c>
      <c r="D30" s="95"/>
      <c r="E30" s="95"/>
      <c r="F30" s="95"/>
      <c r="G30" s="95"/>
      <c r="H30" s="695"/>
    </row>
    <row r="31" spans="1:8" s="701" customFormat="1" ht="15" ph="1">
      <c r="A31" s="696"/>
      <c r="B31" s="95"/>
      <c r="C31" s="95"/>
      <c r="D31" s="95"/>
      <c r="E31" s="95"/>
      <c r="F31" s="95"/>
      <c r="G31" s="95"/>
      <c r="H31" s="695"/>
    </row>
    <row r="32" spans="1:8" s="701" customFormat="1" ht="15.75">
      <c r="A32" s="726" t="s">
        <v>162</v>
      </c>
      <c r="B32" s="727"/>
      <c r="C32" s="728" t="s">
        <v>171</v>
      </c>
      <c r="D32" s="726"/>
      <c r="E32" s="726"/>
      <c r="F32" s="726"/>
      <c r="G32" s="505"/>
      <c r="H32" s="729"/>
    </row>
    <row r="33" spans="1:8" s="701" customFormat="1" ht="15.75">
      <c r="A33" s="730"/>
      <c r="B33" s="727"/>
      <c r="C33" s="728" t="s">
        <v>172</v>
      </c>
      <c r="D33" s="726"/>
      <c r="E33" s="726"/>
      <c r="F33" s="726"/>
      <c r="G33" s="505"/>
      <c r="H33" s="729"/>
    </row>
    <row r="34" spans="1:8" s="701" customFormat="1" ht="15.75">
      <c r="A34" s="730"/>
      <c r="B34" s="727"/>
      <c r="C34" s="728" t="s">
        <v>173</v>
      </c>
      <c r="D34" s="726"/>
      <c r="E34" s="726"/>
      <c r="F34" s="726"/>
      <c r="G34" s="505"/>
      <c r="H34" s="729"/>
    </row>
    <row r="35" spans="1:8" s="701" customFormat="1" ht="15.75" ph="1">
      <c r="A35" s="714"/>
      <c r="B35" s="724"/>
      <c r="C35" s="724"/>
      <c r="D35" s="724"/>
      <c r="E35" s="724"/>
      <c r="F35" s="725"/>
      <c r="G35" s="701"/>
      <c r="H35" s="701"/>
    </row>
    <row r="36" spans="1:8" s="701" customFormat="1" ht="15">
      <c r="A36" s="698" t="s">
        <v>33</v>
      </c>
      <c r="B36" s="699" t="s">
        <v>34</v>
      </c>
      <c r="C36" s="700" t="s">
        <v>35</v>
      </c>
      <c r="D36" s="700" t="s">
        <v>166</v>
      </c>
      <c r="E36" s="700" t="s">
        <v>166</v>
      </c>
      <c r="F36" s="699" t="s">
        <v>122</v>
      </c>
      <c r="G36" s="699" t="s">
        <v>123</v>
      </c>
      <c r="H36" s="700" t="s">
        <v>40</v>
      </c>
    </row>
    <row r="37" spans="1:8" s="701" customFormat="1" ht="15">
      <c r="A37" s="702" t="s">
        <v>23</v>
      </c>
      <c r="B37" s="703" t="s">
        <v>41</v>
      </c>
      <c r="C37" s="703" t="s">
        <v>42</v>
      </c>
      <c r="D37" s="703" t="s">
        <v>168</v>
      </c>
      <c r="E37" s="703" t="s">
        <v>169</v>
      </c>
      <c r="F37" s="703" t="s">
        <v>42</v>
      </c>
      <c r="G37" s="703" t="s">
        <v>42</v>
      </c>
      <c r="H37" s="703" t="s">
        <v>28</v>
      </c>
    </row>
    <row r="38" spans="1:8" s="701" customFormat="1" ht="18">
      <c r="A38" s="704" t="s">
        <v>207</v>
      </c>
      <c r="B38" s="705"/>
      <c r="C38" s="705"/>
      <c r="D38" s="705"/>
      <c r="E38" s="705"/>
      <c r="F38" s="705"/>
      <c r="G38" s="705"/>
      <c r="H38" s="705"/>
    </row>
    <row r="39" spans="1:8" s="701" customFormat="1" ht="15">
      <c r="A39" s="844">
        <f>'General(R)'!B114</f>
        <v>37987</v>
      </c>
      <c r="B39" s="732">
        <f>'General(R)'!C128</f>
        <v>1762</v>
      </c>
      <c r="C39" s="732">
        <f>'General(R)'!D128</f>
        <v>1770</v>
      </c>
      <c r="D39" s="732">
        <f>'General(R)'!E128</f>
        <v>1790</v>
      </c>
      <c r="E39" s="732">
        <f>'General(R)'!F128</f>
        <v>1768</v>
      </c>
      <c r="F39" s="733">
        <f>'General(R)'!G128</f>
        <v>1782</v>
      </c>
      <c r="G39" s="732">
        <f>'General(R)'!H128</f>
        <v>1781</v>
      </c>
      <c r="H39" s="705">
        <f t="shared" ref="H39:H47" si="0">G39-B39</f>
        <v>19</v>
      </c>
    </row>
    <row r="40" spans="1:8" s="701" customFormat="1" ht="15">
      <c r="A40" s="844">
        <f>'General(R)'!B115</f>
        <v>38018</v>
      </c>
      <c r="B40" s="732">
        <f>'General(R)'!C129</f>
        <v>1739</v>
      </c>
      <c r="C40" s="732">
        <f>'General(R)'!D129</f>
        <v>1751</v>
      </c>
      <c r="D40" s="732">
        <f>'General(R)'!E129</f>
        <v>1760</v>
      </c>
      <c r="E40" s="732">
        <f>'General(R)'!F129</f>
        <v>1744</v>
      </c>
      <c r="F40" s="733">
        <f>'General(R)'!G129</f>
        <v>1754</v>
      </c>
      <c r="G40" s="732">
        <f>'General(R)'!H129</f>
        <v>1757</v>
      </c>
      <c r="H40" s="705">
        <f t="shared" si="0"/>
        <v>18</v>
      </c>
    </row>
    <row r="41" spans="1:8" s="701" customFormat="1" ht="15">
      <c r="A41" s="844">
        <f>'General(R)'!B116</f>
        <v>38047</v>
      </c>
      <c r="B41" s="732">
        <f>'General(R)'!C130</f>
        <v>1725</v>
      </c>
      <c r="C41" s="732">
        <f>'General(R)'!D130</f>
        <v>1734</v>
      </c>
      <c r="D41" s="732">
        <f>'General(R)'!E130</f>
        <v>1746</v>
      </c>
      <c r="E41" s="732">
        <f>'General(R)'!F130</f>
        <v>1723</v>
      </c>
      <c r="F41" s="733">
        <f>'General(R)'!G130</f>
        <v>1736</v>
      </c>
      <c r="G41" s="732">
        <f>'General(R)'!H130</f>
        <v>1733</v>
      </c>
      <c r="H41" s="705">
        <f t="shared" si="0"/>
        <v>8</v>
      </c>
    </row>
    <row r="42" spans="1:8" s="701" customFormat="1" ht="15">
      <c r="A42" s="844">
        <f>'General(R)'!B117</f>
        <v>38079</v>
      </c>
      <c r="B42" s="732">
        <f>'General(R)'!C131</f>
        <v>1703</v>
      </c>
      <c r="C42" s="732">
        <f>'General(R)'!D131</f>
        <v>1713</v>
      </c>
      <c r="D42" s="732">
        <f>'General(R)'!E131</f>
        <v>1728</v>
      </c>
      <c r="E42" s="732">
        <f>'General(R)'!F131</f>
        <v>1703</v>
      </c>
      <c r="F42" s="733">
        <f>'General(R)'!G131</f>
        <v>1717</v>
      </c>
      <c r="G42" s="732">
        <f>'General(R)'!H131</f>
        <v>1712</v>
      </c>
      <c r="H42" s="705">
        <f t="shared" si="0"/>
        <v>9</v>
      </c>
    </row>
    <row r="43" spans="1:8" s="701" customFormat="1" ht="15">
      <c r="A43" s="844">
        <f>'General(R)'!B118</f>
        <v>38108</v>
      </c>
      <c r="B43" s="732">
        <f>'General(R)'!C132</f>
        <v>1690</v>
      </c>
      <c r="C43" s="732">
        <f>'General(R)'!D132</f>
        <v>1705</v>
      </c>
      <c r="D43" s="732">
        <f>'General(R)'!E132</f>
        <v>1715</v>
      </c>
      <c r="E43" s="732">
        <f>'General(R)'!F132</f>
        <v>1692</v>
      </c>
      <c r="F43" s="733">
        <f>'General(R)'!G132</f>
        <v>1703</v>
      </c>
      <c r="G43" s="732">
        <f>'General(R)'!H132</f>
        <v>1700</v>
      </c>
      <c r="H43" s="705">
        <f t="shared" si="0"/>
        <v>10</v>
      </c>
    </row>
    <row r="44" spans="1:8" s="701" customFormat="1" ht="15">
      <c r="A44" s="844">
        <f>'General(R)'!B119</f>
        <v>38140</v>
      </c>
      <c r="B44" s="732">
        <f>'General(R)'!C133</f>
        <v>1680</v>
      </c>
      <c r="C44" s="732">
        <f>'General(R)'!D133</f>
        <v>1690</v>
      </c>
      <c r="D44" s="732">
        <f>'General(R)'!E133</f>
        <v>1703</v>
      </c>
      <c r="E44" s="732">
        <f>'General(R)'!F133</f>
        <v>1690</v>
      </c>
      <c r="F44" s="733">
        <f>'General(R)'!G133</f>
        <v>1699</v>
      </c>
      <c r="G44" s="732">
        <f>'General(R)'!H133</f>
        <v>1693</v>
      </c>
      <c r="H44" s="705">
        <f t="shared" si="0"/>
        <v>13</v>
      </c>
    </row>
    <row r="45" spans="1:8" s="701" customFormat="1" ht="15">
      <c r="A45" s="844">
        <f>'General(R)'!B120</f>
        <v>38169</v>
      </c>
      <c r="B45" s="732">
        <f>'General(R)'!C134</f>
        <v>1671</v>
      </c>
      <c r="C45" s="732">
        <f>'General(R)'!D134</f>
        <v>0</v>
      </c>
      <c r="D45" s="732">
        <f>'General(R)'!E134</f>
        <v>0</v>
      </c>
      <c r="E45" s="732">
        <f>'General(R)'!F134</f>
        <v>0</v>
      </c>
      <c r="F45" s="733">
        <f>'General(R)'!G134</f>
        <v>0</v>
      </c>
      <c r="G45" s="732">
        <f>'General(R)'!H134</f>
        <v>1684</v>
      </c>
      <c r="H45" s="705">
        <f t="shared" si="0"/>
        <v>13</v>
      </c>
    </row>
    <row r="46" spans="1:8" s="701" customFormat="1" ht="15">
      <c r="A46" s="844">
        <f>'General(R)'!B121</f>
        <v>38232</v>
      </c>
      <c r="B46" s="732">
        <f>'General(R)'!C135</f>
        <v>1655</v>
      </c>
      <c r="C46" s="732">
        <f>'General(R)'!D135</f>
        <v>0</v>
      </c>
      <c r="D46" s="732">
        <f>'General(R)'!E135</f>
        <v>0</v>
      </c>
      <c r="E46" s="732">
        <f>'General(R)'!F135</f>
        <v>0</v>
      </c>
      <c r="F46" s="733">
        <f>'General(R)'!G135</f>
        <v>0</v>
      </c>
      <c r="G46" s="732">
        <f>'General(R)'!H135</f>
        <v>1668</v>
      </c>
      <c r="H46" s="705">
        <f t="shared" si="0"/>
        <v>13</v>
      </c>
    </row>
    <row r="47" spans="1:8" s="701" customFormat="1" ht="15">
      <c r="A47" s="844">
        <f>'General(R)'!B122</f>
        <v>38293</v>
      </c>
      <c r="B47" s="732">
        <f>'General(R)'!C136</f>
        <v>1655</v>
      </c>
      <c r="C47" s="732">
        <f>'General(R)'!D136</f>
        <v>0</v>
      </c>
      <c r="D47" s="732">
        <f>'General(R)'!E136</f>
        <v>0</v>
      </c>
      <c r="E47" s="732">
        <f>'General(R)'!F136</f>
        <v>0</v>
      </c>
      <c r="F47" s="733">
        <f>'General(R)'!G136</f>
        <v>0</v>
      </c>
      <c r="G47" s="732">
        <f>'General(R)'!H136</f>
        <v>1668</v>
      </c>
      <c r="H47" s="705">
        <f t="shared" si="0"/>
        <v>13</v>
      </c>
    </row>
    <row r="48" spans="1:8" s="701" customFormat="1" ht="15.75">
      <c r="A48" s="714"/>
      <c r="B48" s="724"/>
      <c r="C48" s="724"/>
      <c r="D48" s="724"/>
      <c r="E48" s="724"/>
      <c r="F48" s="725"/>
    </row>
    <row r="49" spans="1:7" s="701" customFormat="1" ht="18">
      <c r="A49" s="698" t="s">
        <v>33</v>
      </c>
      <c r="B49" s="717" t="s">
        <v>21</v>
      </c>
      <c r="C49" s="717"/>
      <c r="D49" s="717" t="s">
        <v>281</v>
      </c>
      <c r="E49" s="717"/>
      <c r="F49" s="717"/>
    </row>
    <row r="50" spans="1:7" s="701" customFormat="1" ht="18">
      <c r="A50" s="702" t="s">
        <v>23</v>
      </c>
      <c r="B50" s="718" t="s">
        <v>24</v>
      </c>
      <c r="C50" s="719" t="s">
        <v>279</v>
      </c>
      <c r="D50" s="718" t="s">
        <v>26</v>
      </c>
      <c r="E50" s="718" t="s">
        <v>27</v>
      </c>
      <c r="F50" s="718" t="s">
        <v>28</v>
      </c>
    </row>
    <row r="51" spans="1:7" s="701" customFormat="1" ht="15">
      <c r="A51" s="704" t="s">
        <v>129</v>
      </c>
      <c r="B51" s="705"/>
      <c r="C51" s="705"/>
      <c r="D51" s="705"/>
      <c r="E51" s="705"/>
      <c r="F51" s="705"/>
    </row>
    <row r="52" spans="1:7" s="701" customFormat="1" ht="15">
      <c r="A52" s="845">
        <f t="shared" ref="A52:A60" si="1">A39</f>
        <v>37987</v>
      </c>
      <c r="B52" s="734">
        <f>'General(R)'!C114</f>
        <v>202</v>
      </c>
      <c r="C52" s="736">
        <f>'General(R)'!D114</f>
        <v>2825</v>
      </c>
      <c r="D52" s="734">
        <f>'General(R)'!E114</f>
        <v>1100</v>
      </c>
      <c r="E52" s="734">
        <f>'General(R)'!F114</f>
        <v>994</v>
      </c>
      <c r="F52" s="735">
        <f>'General(R)'!G114</f>
        <v>-106</v>
      </c>
    </row>
    <row r="53" spans="1:7" s="701" customFormat="1" ht="15">
      <c r="A53" s="845">
        <f t="shared" si="1"/>
        <v>38018</v>
      </c>
      <c r="B53" s="734">
        <f>'General(R)'!C115</f>
        <v>432</v>
      </c>
      <c r="C53" s="736">
        <f>'General(R)'!D115</f>
        <v>3608</v>
      </c>
      <c r="D53" s="734">
        <f>'General(R)'!E115</f>
        <v>6214</v>
      </c>
      <c r="E53" s="734">
        <f>'General(R)'!F115</f>
        <v>6152</v>
      </c>
      <c r="F53" s="735">
        <f>'General(R)'!G115</f>
        <v>-62</v>
      </c>
    </row>
    <row r="54" spans="1:7" s="701" customFormat="1" ht="15">
      <c r="A54" s="845">
        <f t="shared" si="1"/>
        <v>38047</v>
      </c>
      <c r="B54" s="734">
        <f>'General(R)'!C116</f>
        <v>2244</v>
      </c>
      <c r="C54" s="736">
        <f>'General(R)'!D116</f>
        <v>23464</v>
      </c>
      <c r="D54" s="734">
        <f>'General(R)'!E116</f>
        <v>9346</v>
      </c>
      <c r="E54" s="734">
        <f>'General(R)'!F116</f>
        <v>9412</v>
      </c>
      <c r="F54" s="735">
        <f>'General(R)'!G116</f>
        <v>66</v>
      </c>
    </row>
    <row r="55" spans="1:7" s="701" customFormat="1" ht="15">
      <c r="A55" s="845">
        <f t="shared" si="1"/>
        <v>38079</v>
      </c>
      <c r="B55" s="734">
        <f>'General(R)'!C117</f>
        <v>711</v>
      </c>
      <c r="C55" s="736">
        <f>'General(R)'!D117</f>
        <v>5168</v>
      </c>
      <c r="D55" s="734">
        <f>'General(R)'!E117</f>
        <v>2689</v>
      </c>
      <c r="E55" s="734">
        <f>'General(R)'!F117</f>
        <v>2734</v>
      </c>
      <c r="F55" s="735">
        <f>'General(R)'!G117</f>
        <v>45</v>
      </c>
    </row>
    <row r="56" spans="1:7" s="701" customFormat="1" ht="15">
      <c r="A56" s="845">
        <f t="shared" si="1"/>
        <v>38108</v>
      </c>
      <c r="B56" s="734">
        <f>'General(R)'!C118</f>
        <v>203</v>
      </c>
      <c r="C56" s="736">
        <f>'General(R)'!D118</f>
        <v>1074</v>
      </c>
      <c r="D56" s="734">
        <f>'General(R)'!E118</f>
        <v>1052</v>
      </c>
      <c r="E56" s="734">
        <f>'General(R)'!F118</f>
        <v>1185</v>
      </c>
      <c r="F56" s="735">
        <f>'General(R)'!G118</f>
        <v>133</v>
      </c>
    </row>
    <row r="57" spans="1:7" s="701" customFormat="1" ht="15" ph="1">
      <c r="A57" s="845">
        <f t="shared" si="1"/>
        <v>38140</v>
      </c>
      <c r="B57" s="734">
        <v>0</v>
      </c>
      <c r="C57" s="736">
        <v>0</v>
      </c>
      <c r="D57" s="734">
        <v>0</v>
      </c>
      <c r="E57" s="734">
        <v>0</v>
      </c>
      <c r="F57" s="1212">
        <f>'General(R)'!G119</f>
        <v>10</v>
      </c>
      <c r="G57" s="701"/>
    </row>
    <row r="58" spans="1:7" s="701" customFormat="1" ht="15">
      <c r="A58" s="845">
        <f t="shared" si="1"/>
        <v>38169</v>
      </c>
      <c r="B58" s="734">
        <f>'General(R)'!C120</f>
        <v>0</v>
      </c>
      <c r="C58" s="736">
        <f>'General(R)'!D120</f>
        <v>25</v>
      </c>
      <c r="D58" s="734">
        <f>'General(R)'!E120</f>
        <v>136</v>
      </c>
      <c r="E58" s="734">
        <f>'General(R)'!F120</f>
        <v>136</v>
      </c>
      <c r="F58" s="1212">
        <f>'General(R)'!G120</f>
        <v>0</v>
      </c>
    </row>
    <row r="59" spans="1:7" s="701" customFormat="1" ht="15">
      <c r="A59" s="845">
        <f t="shared" si="1"/>
        <v>38232</v>
      </c>
      <c r="B59" s="734">
        <f>'General(R)'!C121</f>
        <v>0</v>
      </c>
      <c r="C59" s="736">
        <f>'General(R)'!D121</f>
        <v>0</v>
      </c>
      <c r="D59" s="734">
        <f>'General(R)'!E121</f>
        <v>70</v>
      </c>
      <c r="E59" s="734">
        <f>'General(R)'!F121</f>
        <v>70</v>
      </c>
      <c r="F59" s="1212">
        <f>'General(R)'!G121</f>
        <v>0</v>
      </c>
    </row>
    <row r="60" spans="1:7" s="701" customFormat="1" ht="15">
      <c r="A60" s="845">
        <f t="shared" si="1"/>
        <v>38293</v>
      </c>
      <c r="B60" s="734">
        <f>'General(R)'!C122</f>
        <v>0</v>
      </c>
      <c r="C60" s="736">
        <f>'General(R)'!D122</f>
        <v>0</v>
      </c>
      <c r="D60" s="734">
        <f>'General(R)'!E122</f>
        <v>0</v>
      </c>
      <c r="E60" s="734">
        <f>'General(R)'!F122</f>
        <v>0</v>
      </c>
      <c r="F60" s="1212">
        <v>0</v>
      </c>
    </row>
    <row r="61" spans="1:7" s="701" customFormat="1" ht="15.75">
      <c r="A61" s="713" t="s">
        <v>32</v>
      </c>
      <c r="B61" s="722">
        <f>'General(R)'!C123</f>
        <v>3867</v>
      </c>
      <c r="C61" s="722">
        <f>'General(R)'!D123</f>
        <v>36436</v>
      </c>
      <c r="D61" s="722">
        <f>'General(R)'!E123</f>
        <v>21067</v>
      </c>
      <c r="E61" s="722">
        <f>'General(R)'!F123</f>
        <v>21153</v>
      </c>
      <c r="F61" s="722">
        <f>'General(R)'!G123</f>
        <v>86</v>
      </c>
    </row>
    <row r="62" spans="1:7" s="701" customFormat="1" ht="15.75">
      <c r="A62" s="714"/>
      <c r="B62" s="724"/>
      <c r="C62" s="724"/>
      <c r="D62" s="724"/>
      <c r="E62" s="724"/>
      <c r="F62" s="725"/>
    </row>
    <row r="63" spans="1:7" s="701" customFormat="1" ht="15" ph="1">
      <c r="A63" s="696" t="s">
        <v>160</v>
      </c>
      <c r="B63" s="95"/>
      <c r="C63" s="95" t="s">
        <v>174</v>
      </c>
      <c r="D63" s="95"/>
      <c r="E63" s="95"/>
      <c r="F63" s="95"/>
      <c r="G63" s="95"/>
    </row>
    <row r="64" spans="1:7" s="701" customFormat="1" ht="15">
      <c r="A64" s="696"/>
      <c r="B64" s="95"/>
      <c r="C64" s="95"/>
      <c r="D64" s="95"/>
      <c r="E64" s="95"/>
      <c r="F64" s="95"/>
      <c r="G64" s="95"/>
    </row>
    <row r="65" spans="1:8" s="701" customFormat="1" ht="15.75">
      <c r="A65" s="726" t="s">
        <v>162</v>
      </c>
      <c r="B65" s="727"/>
      <c r="C65" s="728" t="s">
        <v>175</v>
      </c>
      <c r="D65" s="726"/>
      <c r="E65" s="726"/>
      <c r="F65" s="726"/>
      <c r="G65" s="505"/>
      <c r="H65" s="729"/>
    </row>
    <row r="66" spans="1:8" s="701" customFormat="1" ht="15.75">
      <c r="A66" s="730"/>
      <c r="B66" s="727"/>
      <c r="C66" s="728" t="s">
        <v>176</v>
      </c>
      <c r="D66" s="726"/>
      <c r="E66" s="726"/>
      <c r="F66" s="726"/>
      <c r="G66" s="505"/>
      <c r="H66" s="729"/>
    </row>
    <row r="67" spans="1:8" s="701" customFormat="1" ht="15.75" ph="1">
      <c r="A67" s="730"/>
      <c r="B67" s="727"/>
      <c r="C67" s="728" t="s">
        <v>173</v>
      </c>
      <c r="D67" s="726"/>
      <c r="E67" s="726"/>
      <c r="F67" s="726"/>
      <c r="G67" s="505"/>
      <c r="H67" s="729"/>
    </row>
    <row r="68" spans="1:8" s="701" customFormat="1" ht="15.75">
      <c r="A68" s="714"/>
      <c r="B68" s="724"/>
      <c r="C68" s="724"/>
      <c r="D68" s="724"/>
      <c r="E68" s="724"/>
      <c r="F68" s="725"/>
    </row>
    <row r="69" spans="1:8" s="701" customFormat="1" ht="18">
      <c r="A69" s="698" t="s">
        <v>33</v>
      </c>
      <c r="B69" s="699" t="s">
        <v>34</v>
      </c>
      <c r="C69" s="700" t="s">
        <v>35</v>
      </c>
      <c r="D69" s="700" t="s">
        <v>166</v>
      </c>
      <c r="E69" s="700" t="s">
        <v>166</v>
      </c>
      <c r="F69" s="699" t="s">
        <v>205</v>
      </c>
      <c r="G69" s="700" t="s">
        <v>40</v>
      </c>
    </row>
    <row r="70" spans="1:8" s="701" customFormat="1" ht="15">
      <c r="A70" s="702" t="s">
        <v>23</v>
      </c>
      <c r="B70" s="703" t="s">
        <v>41</v>
      </c>
      <c r="C70" s="703" t="s">
        <v>42</v>
      </c>
      <c r="D70" s="703" t="s">
        <v>168</v>
      </c>
      <c r="E70" s="703" t="s">
        <v>169</v>
      </c>
      <c r="F70" s="703" t="s">
        <v>42</v>
      </c>
      <c r="G70" s="703" t="s">
        <v>28</v>
      </c>
    </row>
    <row r="71" spans="1:8" s="701" customFormat="1" ht="18">
      <c r="A71" s="704" t="s">
        <v>208</v>
      </c>
      <c r="B71" s="705"/>
      <c r="C71" s="705"/>
      <c r="D71" s="705"/>
      <c r="E71" s="705"/>
      <c r="F71" s="705"/>
      <c r="G71" s="705"/>
    </row>
    <row r="72" spans="1:8" s="701" customFormat="1" ht="15">
      <c r="A72" s="844">
        <f>'General(R)'!B169</f>
        <v>37987</v>
      </c>
      <c r="B72" s="737">
        <f>'General(R)'!C169</f>
        <v>96.99</v>
      </c>
      <c r="C72" s="737">
        <f>'General(R)'!D169</f>
        <v>0</v>
      </c>
      <c r="D72" s="737">
        <f>'General(R)'!E169</f>
        <v>0</v>
      </c>
      <c r="E72" s="737">
        <f>'General(R)'!F169</f>
        <v>0</v>
      </c>
      <c r="F72" s="737">
        <f>'General(R)'!G169</f>
        <v>96.99</v>
      </c>
      <c r="G72" s="738">
        <f>'General(R)'!H169</f>
        <v>0</v>
      </c>
    </row>
    <row r="73" spans="1:8" s="701" customFormat="1" ht="15">
      <c r="A73" s="844">
        <f>'General(R)'!B170</f>
        <v>38019</v>
      </c>
      <c r="B73" s="737">
        <f>'General(R)'!C170</f>
        <v>96.99</v>
      </c>
      <c r="C73" s="737">
        <f>'General(R)'!D170</f>
        <v>0</v>
      </c>
      <c r="D73" s="737">
        <f>'General(R)'!E170</f>
        <v>0</v>
      </c>
      <c r="E73" s="737">
        <f>'General(R)'!F170</f>
        <v>0</v>
      </c>
      <c r="F73" s="737">
        <f>'General(R)'!G170</f>
        <v>96.99</v>
      </c>
      <c r="G73" s="738">
        <f>'General(R)'!H170</f>
        <v>0</v>
      </c>
    </row>
    <row r="74" spans="1:8" s="701" customFormat="1" ht="15">
      <c r="A74" s="844">
        <f>'General(R)'!B171</f>
        <v>38047</v>
      </c>
      <c r="B74" s="737">
        <f>'General(R)'!C171</f>
        <v>96.97</v>
      </c>
      <c r="C74" s="737">
        <f>'General(R)'!D171</f>
        <v>0</v>
      </c>
      <c r="D74" s="737">
        <f>'General(R)'!E171</f>
        <v>0</v>
      </c>
      <c r="E74" s="737">
        <f>'General(R)'!F171</f>
        <v>0</v>
      </c>
      <c r="F74" s="737">
        <f>'General(R)'!G171</f>
        <v>96.97</v>
      </c>
      <c r="G74" s="738">
        <f>'General(R)'!H171</f>
        <v>0</v>
      </c>
    </row>
    <row r="75" spans="1:8" s="701" customFormat="1" ht="15">
      <c r="A75" s="844">
        <f>'General(R)'!B172</f>
        <v>38139</v>
      </c>
      <c r="B75" s="737">
        <f>'General(R)'!C172</f>
        <v>96.94</v>
      </c>
      <c r="C75" s="737">
        <f>'General(R)'!D172</f>
        <v>96.94</v>
      </c>
      <c r="D75" s="737">
        <f>'General(R)'!E172</f>
        <v>96.94</v>
      </c>
      <c r="E75" s="737">
        <f>'General(R)'!F172</f>
        <v>96.94</v>
      </c>
      <c r="F75" s="737">
        <f>'General(R)'!G172</f>
        <v>96.94</v>
      </c>
      <c r="G75" s="738">
        <f>'General(R)'!H172</f>
        <v>0</v>
      </c>
    </row>
    <row r="76" spans="1:8" s="701" customFormat="1" ht="15">
      <c r="A76" s="844">
        <f>'General(R)'!B173</f>
        <v>38231</v>
      </c>
      <c r="B76" s="737">
        <f>'General(R)'!C173</f>
        <v>96.86</v>
      </c>
      <c r="C76" s="737">
        <f>'General(R)'!D173</f>
        <v>96.86</v>
      </c>
      <c r="D76" s="737">
        <f>'General(R)'!E173</f>
        <v>96.86</v>
      </c>
      <c r="E76" s="737">
        <f>'General(R)'!F173</f>
        <v>96.86</v>
      </c>
      <c r="F76" s="737">
        <f>'General(R)'!G173</f>
        <v>96.86</v>
      </c>
      <c r="G76" s="738">
        <f>'General(R)'!H173</f>
        <v>0</v>
      </c>
    </row>
    <row r="77" spans="1:8" s="701" customFormat="1" ht="15">
      <c r="A77" s="844">
        <f>'General(R)'!B174</f>
        <v>38322</v>
      </c>
      <c r="B77" s="737">
        <f>'General(R)'!C174</f>
        <v>96.75</v>
      </c>
      <c r="C77" s="737">
        <f>'General(R)'!D174</f>
        <v>96.7</v>
      </c>
      <c r="D77" s="737">
        <f>'General(R)'!E174</f>
        <v>96.7</v>
      </c>
      <c r="E77" s="737">
        <f>'General(R)'!F174</f>
        <v>96.7</v>
      </c>
      <c r="F77" s="737">
        <f>'General(R)'!G174</f>
        <v>96.7</v>
      </c>
      <c r="G77" s="738">
        <f>'General(R)'!H174</f>
        <v>-4.9999999999997158E-2</v>
      </c>
    </row>
    <row r="78" spans="1:8" s="701" customFormat="1" ht="15">
      <c r="A78" s="844">
        <f>'General(R)'!B175</f>
        <v>38412</v>
      </c>
      <c r="B78" s="737">
        <f>'General(R)'!C175</f>
        <v>96.55</v>
      </c>
      <c r="C78" s="737">
        <f>'General(R)'!D175</f>
        <v>96.55</v>
      </c>
      <c r="D78" s="737">
        <f>'General(R)'!E175</f>
        <v>96.55</v>
      </c>
      <c r="E78" s="737">
        <f>'General(R)'!F175</f>
        <v>96.5</v>
      </c>
      <c r="F78" s="737">
        <f>'General(R)'!G175</f>
        <v>96.5</v>
      </c>
      <c r="G78" s="738">
        <f>'General(R)'!H175</f>
        <v>-4.9999999999997158E-2</v>
      </c>
    </row>
    <row r="79" spans="1:8" s="701" customFormat="1" ht="15">
      <c r="A79" s="844">
        <f>'General(R)'!B176</f>
        <v>38504</v>
      </c>
      <c r="B79" s="737">
        <f>'General(R)'!C176</f>
        <v>96.42</v>
      </c>
      <c r="C79" s="737">
        <f>'General(R)'!D176</f>
        <v>96.45</v>
      </c>
      <c r="D79" s="737">
        <f>'General(R)'!E176</f>
        <v>96.45</v>
      </c>
      <c r="E79" s="737">
        <f>'General(R)'!F176</f>
        <v>96.45</v>
      </c>
      <c r="F79" s="737">
        <f>'General(R)'!G176</f>
        <v>96.37</v>
      </c>
      <c r="G79" s="738">
        <f>'General(R)'!H176</f>
        <v>-4.9999999999997158E-2</v>
      </c>
    </row>
    <row r="80" spans="1:8" s="701" customFormat="1" ht="15">
      <c r="A80" s="844">
        <f>'General(R)'!B177</f>
        <v>38596</v>
      </c>
      <c r="B80" s="737">
        <f>'General(R)'!C177</f>
        <v>96.02</v>
      </c>
      <c r="C80" s="737">
        <f>'General(R)'!D177</f>
        <v>96.12</v>
      </c>
      <c r="D80" s="737">
        <f>'General(R)'!E177</f>
        <v>96.12</v>
      </c>
      <c r="E80" s="737">
        <f>'General(R)'!F177</f>
        <v>96.12</v>
      </c>
      <c r="F80" s="737">
        <f>'General(R)'!G177</f>
        <v>96.02</v>
      </c>
      <c r="G80" s="738">
        <f>'General(R)'!H177</f>
        <v>0</v>
      </c>
    </row>
    <row r="81" spans="1:7" s="701" customFormat="1" ht="15">
      <c r="A81" s="844">
        <f>'General(R)'!B178</f>
        <v>38687</v>
      </c>
      <c r="B81" s="737">
        <f>'General(R)'!C178</f>
        <v>95.85</v>
      </c>
      <c r="C81" s="737">
        <f>'General(R)'!D178</f>
        <v>95.95</v>
      </c>
      <c r="D81" s="737">
        <f>'General(R)'!E178</f>
        <v>95.95</v>
      </c>
      <c r="E81" s="737">
        <f>'General(R)'!F178</f>
        <v>95.95</v>
      </c>
      <c r="F81" s="737">
        <f>'General(R)'!G178</f>
        <v>95.85</v>
      </c>
      <c r="G81" s="738">
        <f>'General(R)'!H178</f>
        <v>0</v>
      </c>
    </row>
    <row r="82" spans="1:7" s="701" customFormat="1" ht="15">
      <c r="A82" s="844">
        <f>'General(R)'!B179</f>
        <v>38777</v>
      </c>
      <c r="B82" s="737">
        <f>'General(R)'!C179</f>
        <v>95.75</v>
      </c>
      <c r="C82" s="737">
        <f>'General(R)'!D179</f>
        <v>95.8</v>
      </c>
      <c r="D82" s="737">
        <f>'General(R)'!E179</f>
        <v>95.85</v>
      </c>
      <c r="E82" s="737">
        <f>'General(R)'!F179</f>
        <v>95.8</v>
      </c>
      <c r="F82" s="737">
        <f>'General(R)'!G179</f>
        <v>95.76</v>
      </c>
      <c r="G82" s="738">
        <f>'General(R)'!H179</f>
        <v>1.0000000000005116E-2</v>
      </c>
    </row>
    <row r="83" spans="1:7" s="701" customFormat="1" ht="15">
      <c r="A83" s="844">
        <f>'General(R)'!B180</f>
        <v>38869</v>
      </c>
      <c r="B83" s="737">
        <f>'General(R)'!C180</f>
        <v>95.55</v>
      </c>
      <c r="C83" s="737">
        <f>'General(R)'!D180</f>
        <v>95.62</v>
      </c>
      <c r="D83" s="737">
        <f>'General(R)'!E180</f>
        <v>95.65</v>
      </c>
      <c r="E83" s="737">
        <f>'General(R)'!F180</f>
        <v>95.58</v>
      </c>
      <c r="F83" s="737">
        <f>'General(R)'!G180</f>
        <v>95.58</v>
      </c>
      <c r="G83" s="738">
        <f>'General(R)'!H180</f>
        <v>3.0000000000001137E-2</v>
      </c>
    </row>
    <row r="84" spans="1:7" s="701" customFormat="1" ht="15">
      <c r="A84" s="844">
        <f>'General(R)'!B181</f>
        <v>38961</v>
      </c>
      <c r="B84" s="737">
        <f>'General(R)'!C181</f>
        <v>95.31</v>
      </c>
      <c r="C84" s="737">
        <f>'General(R)'!D181</f>
        <v>0</v>
      </c>
      <c r="D84" s="737">
        <f>'General(R)'!E181</f>
        <v>0</v>
      </c>
      <c r="E84" s="737">
        <f>'General(R)'!F181</f>
        <v>0</v>
      </c>
      <c r="F84" s="737">
        <f>'General(R)'!G181</f>
        <v>95.34</v>
      </c>
      <c r="G84" s="738">
        <f>'General(R)'!H181</f>
        <v>3.0000000000001137E-2</v>
      </c>
    </row>
    <row r="85" spans="1:7" s="701" customFormat="1" ht="15">
      <c r="A85" s="844">
        <f>'General(R)'!B182</f>
        <v>39052</v>
      </c>
      <c r="B85" s="737">
        <f>'General(R)'!C182</f>
        <v>95.09</v>
      </c>
      <c r="C85" s="737">
        <f>'General(R)'!D182</f>
        <v>95.19</v>
      </c>
      <c r="D85" s="737">
        <f>'General(R)'!E182</f>
        <v>95.19</v>
      </c>
      <c r="E85" s="737">
        <f>'General(R)'!F182</f>
        <v>95.09</v>
      </c>
      <c r="F85" s="737">
        <f>'General(R)'!G182</f>
        <v>95.09</v>
      </c>
      <c r="G85" s="738">
        <f>'General(R)'!H182</f>
        <v>0</v>
      </c>
    </row>
    <row r="86" spans="1:7" s="701" customFormat="1" ht="15">
      <c r="A86" s="844">
        <f>'General(R)'!B183</f>
        <v>39142</v>
      </c>
      <c r="B86" s="737">
        <f>'General(R)'!C183</f>
        <v>94.98</v>
      </c>
      <c r="C86" s="737">
        <f>'General(R)'!D183</f>
        <v>95.08</v>
      </c>
      <c r="D86" s="737">
        <f>'General(R)'!E183</f>
        <v>95.08</v>
      </c>
      <c r="E86" s="737">
        <f>'General(R)'!F183</f>
        <v>95.08</v>
      </c>
      <c r="F86" s="737">
        <f>'General(R)'!G183</f>
        <v>94.98</v>
      </c>
      <c r="G86" s="738">
        <f>'General(R)'!H183</f>
        <v>0</v>
      </c>
    </row>
    <row r="87" spans="1:7" s="701" customFormat="1" ht="15">
      <c r="A87" s="844">
        <f>'General(R)'!B184</f>
        <v>39234</v>
      </c>
      <c r="B87" s="737">
        <f>'General(R)'!C184</f>
        <v>94.8</v>
      </c>
      <c r="C87" s="737">
        <f>'General(R)'!D184</f>
        <v>0</v>
      </c>
      <c r="D87" s="737">
        <f>'General(R)'!E184</f>
        <v>0</v>
      </c>
      <c r="E87" s="737">
        <f>'General(R)'!F184</f>
        <v>0</v>
      </c>
      <c r="F87" s="737">
        <f>'General(R)'!G184</f>
        <v>94.8</v>
      </c>
      <c r="G87" s="738">
        <f>'General(R)'!H184</f>
        <v>0</v>
      </c>
    </row>
    <row r="88" spans="1:7" s="701" customFormat="1" ht="15">
      <c r="A88" s="844">
        <f>'General(R)'!B185</f>
        <v>39326</v>
      </c>
      <c r="B88" s="737">
        <f>'General(R)'!C185</f>
        <v>94.55</v>
      </c>
      <c r="C88" s="737">
        <f>'General(R)'!D185</f>
        <v>0</v>
      </c>
      <c r="D88" s="737">
        <f>'General(R)'!E185</f>
        <v>0</v>
      </c>
      <c r="E88" s="737">
        <f>'General(R)'!F185</f>
        <v>0</v>
      </c>
      <c r="F88" s="737">
        <f>'General(R)'!G185</f>
        <v>94.55</v>
      </c>
      <c r="G88" s="738">
        <f>'General(R)'!H185</f>
        <v>0</v>
      </c>
    </row>
    <row r="89" spans="1:7" s="701" customFormat="1" ht="15" ph="1">
      <c r="A89" s="844">
        <f>'General(R)'!B186</f>
        <v>39417</v>
      </c>
      <c r="B89" s="737">
        <f>'General(R)'!C186</f>
        <v>94.41</v>
      </c>
      <c r="C89" s="737">
        <f>'General(R)'!D186</f>
        <v>0</v>
      </c>
      <c r="D89" s="737">
        <f>'General(R)'!E186</f>
        <v>0</v>
      </c>
      <c r="E89" s="737">
        <f>'General(R)'!F186</f>
        <v>0</v>
      </c>
      <c r="F89" s="737">
        <f>'General(R)'!G186</f>
        <v>94.41</v>
      </c>
      <c r="G89" s="738">
        <f>'General(R)'!H186</f>
        <v>0</v>
      </c>
    </row>
    <row r="90" spans="1:7" s="701" customFormat="1" ht="15">
      <c r="A90" s="844">
        <f>'General(R)'!B187</f>
        <v>39508</v>
      </c>
      <c r="B90" s="737">
        <f>'General(R)'!C187</f>
        <v>94.21</v>
      </c>
      <c r="C90" s="737">
        <f>'General(R)'!D187</f>
        <v>0</v>
      </c>
      <c r="D90" s="737">
        <f>'General(R)'!E187</f>
        <v>0</v>
      </c>
      <c r="E90" s="737">
        <f>'General(R)'!F187</f>
        <v>0</v>
      </c>
      <c r="F90" s="737">
        <f>'General(R)'!G187</f>
        <v>94.21</v>
      </c>
      <c r="G90" s="738">
        <f>'General(R)'!H187</f>
        <v>0</v>
      </c>
    </row>
    <row r="91" spans="1:7" s="701" customFormat="1" ht="15">
      <c r="A91" s="844">
        <f>'General(R)'!B188</f>
        <v>39600</v>
      </c>
      <c r="B91" s="737">
        <f>'General(R)'!C188</f>
        <v>94.04</v>
      </c>
      <c r="C91" s="737">
        <f>'General(R)'!D188</f>
        <v>0</v>
      </c>
      <c r="D91" s="737">
        <f>'General(R)'!E188</f>
        <v>0</v>
      </c>
      <c r="E91" s="737">
        <f>'General(R)'!F188</f>
        <v>0</v>
      </c>
      <c r="F91" s="737">
        <f>'General(R)'!G188</f>
        <v>94.04</v>
      </c>
      <c r="G91" s="738">
        <f>'General(R)'!H188</f>
        <v>0</v>
      </c>
    </row>
    <row r="92" spans="1:7" s="701" customFormat="1" ht="15">
      <c r="A92" s="844">
        <f>'General(R)'!B189</f>
        <v>39692</v>
      </c>
      <c r="B92" s="737">
        <f>'General(R)'!C189</f>
        <v>93.84</v>
      </c>
      <c r="C92" s="737">
        <f>'General(R)'!D189</f>
        <v>0</v>
      </c>
      <c r="D92" s="737">
        <f>'General(R)'!E189</f>
        <v>0</v>
      </c>
      <c r="E92" s="737">
        <f>'General(R)'!F189</f>
        <v>0</v>
      </c>
      <c r="F92" s="737">
        <f>'General(R)'!G189</f>
        <v>93.84</v>
      </c>
      <c r="G92" s="738">
        <f>'General(R)'!H189</f>
        <v>0</v>
      </c>
    </row>
    <row r="93" spans="1:7" s="701" customFormat="1" ht="15">
      <c r="A93" s="844">
        <f>'General(R)'!B190</f>
        <v>39783</v>
      </c>
      <c r="B93" s="737">
        <f>'General(R)'!C190</f>
        <v>93.58</v>
      </c>
      <c r="C93" s="737">
        <f>'General(R)'!D190</f>
        <v>0</v>
      </c>
      <c r="D93" s="737">
        <f>'General(R)'!E190</f>
        <v>0</v>
      </c>
      <c r="E93" s="737">
        <f>'General(R)'!F190</f>
        <v>0</v>
      </c>
      <c r="F93" s="737">
        <f>'General(R)'!G190</f>
        <v>93.58</v>
      </c>
      <c r="G93" s="738">
        <f>'General(R)'!H190</f>
        <v>0</v>
      </c>
    </row>
    <row r="94" spans="1:7" s="701" customFormat="1" ht="15">
      <c r="A94" s="1042"/>
      <c r="B94" s="1043"/>
      <c r="C94" s="1043"/>
      <c r="D94" s="1043"/>
      <c r="E94" s="1043"/>
      <c r="F94" s="1043"/>
      <c r="G94" s="1044"/>
    </row>
    <row r="95" spans="1:7" s="701" customFormat="1" ht="18" ph="1">
      <c r="A95" s="698" t="s">
        <v>33</v>
      </c>
      <c r="B95" s="717" t="s">
        <v>21</v>
      </c>
      <c r="C95" s="717"/>
      <c r="D95" s="717" t="s">
        <v>281</v>
      </c>
      <c r="E95" s="717"/>
      <c r="F95" s="717"/>
      <c r="G95" s="701"/>
    </row>
    <row r="96" spans="1:7" s="701" customFormat="1" ht="18">
      <c r="A96" s="702" t="s">
        <v>23</v>
      </c>
      <c r="B96" s="718" t="s">
        <v>24</v>
      </c>
      <c r="C96" s="719" t="s">
        <v>279</v>
      </c>
      <c r="D96" s="718" t="s">
        <v>26</v>
      </c>
      <c r="E96" s="718" t="s">
        <v>27</v>
      </c>
      <c r="F96" s="718" t="s">
        <v>28</v>
      </c>
    </row>
    <row r="97" spans="1:6" s="701" customFormat="1" ht="15">
      <c r="A97" s="704" t="s">
        <v>126</v>
      </c>
      <c r="B97" s="705"/>
      <c r="C97" s="705"/>
      <c r="D97" s="705"/>
      <c r="E97" s="705"/>
      <c r="F97" s="705"/>
    </row>
    <row r="98" spans="1:6" s="701" customFormat="1" ht="15">
      <c r="A98" s="845">
        <f t="shared" ref="A98:A119" si="2">A72</f>
        <v>37987</v>
      </c>
      <c r="B98" s="739">
        <f>'General(R)'!C142</f>
        <v>0</v>
      </c>
      <c r="C98" s="740">
        <f>'General(R)'!D142</f>
        <v>0</v>
      </c>
      <c r="D98" s="731">
        <f>'General(R)'!E142</f>
        <v>0</v>
      </c>
      <c r="E98" s="731">
        <f>'General(R)'!F142</f>
        <v>0</v>
      </c>
      <c r="F98" s="741">
        <f>'General(R)'!G142</f>
        <v>0</v>
      </c>
    </row>
    <row r="99" spans="1:6" s="701" customFormat="1" ht="15" ph="1">
      <c r="A99" s="845">
        <f t="shared" si="2"/>
        <v>38019</v>
      </c>
      <c r="B99" s="739">
        <f>'General(R)'!C143</f>
        <v>0</v>
      </c>
      <c r="C99" s="740">
        <f>'General(R)'!D143</f>
        <v>0</v>
      </c>
      <c r="D99" s="731">
        <f>'General(R)'!E143</f>
        <v>0</v>
      </c>
      <c r="E99" s="731">
        <f>'General(R)'!F143</f>
        <v>0</v>
      </c>
      <c r="F99" s="741">
        <f>'General(R)'!G143</f>
        <v>0</v>
      </c>
    </row>
    <row r="100" spans="1:6" s="701" customFormat="1" ht="15">
      <c r="A100" s="845">
        <f t="shared" si="2"/>
        <v>38047</v>
      </c>
      <c r="B100" s="739">
        <f>'General(R)'!C144</f>
        <v>30</v>
      </c>
      <c r="C100" s="740">
        <f>'General(R)'!D144</f>
        <v>356</v>
      </c>
      <c r="D100" s="731">
        <f>'General(R)'!E144</f>
        <v>1657</v>
      </c>
      <c r="E100" s="731">
        <f>'General(R)'!F144</f>
        <v>1657</v>
      </c>
      <c r="F100" s="741">
        <f>'General(R)'!G144</f>
        <v>0</v>
      </c>
    </row>
    <row r="101" spans="1:6" s="701" customFormat="1" ht="15">
      <c r="A101" s="845">
        <f t="shared" si="2"/>
        <v>38139</v>
      </c>
      <c r="B101" s="739">
        <f>'General(R)'!C145</f>
        <v>556</v>
      </c>
      <c r="C101" s="740">
        <f>'General(R)'!D145</f>
        <v>2828</v>
      </c>
      <c r="D101" s="731">
        <f>'General(R)'!E145</f>
        <v>1320</v>
      </c>
      <c r="E101" s="731">
        <f>'General(R)'!F145</f>
        <v>1401</v>
      </c>
      <c r="F101" s="741">
        <f>'General(R)'!G145</f>
        <v>81</v>
      </c>
    </row>
    <row r="102" spans="1:6" s="701" customFormat="1" ht="15">
      <c r="A102" s="845">
        <f t="shared" si="2"/>
        <v>38231</v>
      </c>
      <c r="B102" s="739">
        <f>'General(R)'!C146</f>
        <v>530</v>
      </c>
      <c r="C102" s="740">
        <f>'General(R)'!D146</f>
        <v>2000</v>
      </c>
      <c r="D102" s="731">
        <f>'General(R)'!E146</f>
        <v>1481</v>
      </c>
      <c r="E102" s="731">
        <f>'General(R)'!F146</f>
        <v>1981</v>
      </c>
      <c r="F102" s="741">
        <f>'General(R)'!G146</f>
        <v>500</v>
      </c>
    </row>
    <row r="103" spans="1:6" s="701" customFormat="1" ht="15">
      <c r="A103" s="845">
        <f t="shared" si="2"/>
        <v>38322</v>
      </c>
      <c r="B103" s="739">
        <f>'General(R)'!C147</f>
        <v>50</v>
      </c>
      <c r="C103" s="740">
        <f>'General(R)'!D147</f>
        <v>569</v>
      </c>
      <c r="D103" s="731">
        <f>'General(R)'!E147</f>
        <v>1271</v>
      </c>
      <c r="E103" s="731">
        <f>'General(R)'!F147</f>
        <v>1271</v>
      </c>
      <c r="F103" s="741">
        <f>'General(R)'!G147</f>
        <v>0</v>
      </c>
    </row>
    <row r="104" spans="1:6" s="701" customFormat="1" ht="15">
      <c r="A104" s="845">
        <f t="shared" si="2"/>
        <v>38412</v>
      </c>
      <c r="B104" s="739">
        <f>'General(R)'!C148</f>
        <v>70</v>
      </c>
      <c r="C104" s="740">
        <f>'General(R)'!D148</f>
        <v>686</v>
      </c>
      <c r="D104" s="731">
        <f>'General(R)'!E148</f>
        <v>1054</v>
      </c>
      <c r="E104" s="731">
        <f>'General(R)'!F148</f>
        <v>1044</v>
      </c>
      <c r="F104" s="741">
        <f>'General(R)'!G148</f>
        <v>-10</v>
      </c>
    </row>
    <row r="105" spans="1:6" s="701" customFormat="1" ht="15">
      <c r="A105" s="845">
        <f t="shared" si="2"/>
        <v>38504</v>
      </c>
      <c r="B105" s="739">
        <f>'General(R)'!C149</f>
        <v>60</v>
      </c>
      <c r="C105" s="740">
        <f>'General(R)'!D149</f>
        <v>810</v>
      </c>
      <c r="D105" s="731">
        <f>'General(R)'!E149</f>
        <v>943</v>
      </c>
      <c r="E105" s="731">
        <f>'General(R)'!F149</f>
        <v>913</v>
      </c>
      <c r="F105" s="741">
        <f>'General(R)'!G149</f>
        <v>-30</v>
      </c>
    </row>
    <row r="106" spans="1:6" s="701" customFormat="1" ht="15">
      <c r="A106" s="845">
        <f t="shared" si="2"/>
        <v>38596</v>
      </c>
      <c r="B106" s="739">
        <f>'General(R)'!C150</f>
        <v>70</v>
      </c>
      <c r="C106" s="740">
        <f>'General(R)'!D150</f>
        <v>762</v>
      </c>
      <c r="D106" s="731">
        <f>'General(R)'!E150</f>
        <v>930</v>
      </c>
      <c r="E106" s="731">
        <f>'General(R)'!F150</f>
        <v>875</v>
      </c>
      <c r="F106" s="741">
        <f>'General(R)'!G150</f>
        <v>-55</v>
      </c>
    </row>
    <row r="107" spans="1:6" s="701" customFormat="1" ht="15">
      <c r="A107" s="845">
        <f t="shared" si="2"/>
        <v>38687</v>
      </c>
      <c r="B107" s="739">
        <f>'General(R)'!C151</f>
        <v>40</v>
      </c>
      <c r="C107" s="740">
        <f>'General(R)'!D151</f>
        <v>508</v>
      </c>
      <c r="D107" s="731">
        <f>'General(R)'!E151</f>
        <v>1018</v>
      </c>
      <c r="E107" s="731">
        <f>'General(R)'!F151</f>
        <v>998</v>
      </c>
      <c r="F107" s="741">
        <f>'General(R)'!G151</f>
        <v>-20</v>
      </c>
    </row>
    <row r="108" spans="1:6" s="701" customFormat="1" ht="15">
      <c r="A108" s="845">
        <f t="shared" si="2"/>
        <v>38777</v>
      </c>
      <c r="B108" s="739">
        <f>'General(R)'!C152</f>
        <v>100</v>
      </c>
      <c r="C108" s="740">
        <f>'General(R)'!D152</f>
        <v>1664</v>
      </c>
      <c r="D108" s="731">
        <f>'General(R)'!E152</f>
        <v>1121</v>
      </c>
      <c r="E108" s="731">
        <f>'General(R)'!F152</f>
        <v>1111</v>
      </c>
      <c r="F108" s="741">
        <f>'General(R)'!G152</f>
        <v>-10</v>
      </c>
    </row>
    <row r="109" spans="1:6" s="701" customFormat="1" ht="15">
      <c r="A109" s="845">
        <f t="shared" si="2"/>
        <v>38869</v>
      </c>
      <c r="B109" s="739">
        <f>'General(R)'!C153</f>
        <v>80</v>
      </c>
      <c r="C109" s="740">
        <f>'General(R)'!D153</f>
        <v>926</v>
      </c>
      <c r="D109" s="731">
        <f>'General(R)'!E153</f>
        <v>510</v>
      </c>
      <c r="E109" s="731">
        <f>'General(R)'!F153</f>
        <v>540</v>
      </c>
      <c r="F109" s="741">
        <f>'General(R)'!G153</f>
        <v>30</v>
      </c>
    </row>
    <row r="110" spans="1:6" s="701" customFormat="1" ht="15">
      <c r="A110" s="845">
        <f t="shared" si="2"/>
        <v>38961</v>
      </c>
      <c r="B110" s="739">
        <f>'General(R)'!C154</f>
        <v>30</v>
      </c>
      <c r="C110" s="740">
        <f>'General(R)'!D154</f>
        <v>1284</v>
      </c>
      <c r="D110" s="731">
        <f>'General(R)'!E154</f>
        <v>543</v>
      </c>
      <c r="E110" s="731">
        <f>'General(R)'!F154</f>
        <v>533</v>
      </c>
      <c r="F110" s="741">
        <f>'General(R)'!G154</f>
        <v>-10</v>
      </c>
    </row>
    <row r="111" spans="1:6" s="701" customFormat="1" ht="15">
      <c r="A111" s="845">
        <f t="shared" si="2"/>
        <v>39052</v>
      </c>
      <c r="B111" s="739">
        <f>'General(R)'!C155</f>
        <v>55</v>
      </c>
      <c r="C111" s="740">
        <f>'General(R)'!D155</f>
        <v>806</v>
      </c>
      <c r="D111" s="731">
        <f>'General(R)'!E155</f>
        <v>781</v>
      </c>
      <c r="E111" s="731">
        <f>'General(R)'!F155</f>
        <v>801</v>
      </c>
      <c r="F111" s="741">
        <f>'General(R)'!G155</f>
        <v>20</v>
      </c>
    </row>
    <row r="112" spans="1:6" s="701" customFormat="1" ht="15">
      <c r="A112" s="845">
        <f t="shared" si="2"/>
        <v>39142</v>
      </c>
      <c r="B112" s="739">
        <f>'General(R)'!C156</f>
        <v>65</v>
      </c>
      <c r="C112" s="740">
        <f>'General(R)'!D156</f>
        <v>444</v>
      </c>
      <c r="D112" s="731">
        <f>'General(R)'!E156</f>
        <v>794</v>
      </c>
      <c r="E112" s="731">
        <f>'General(R)'!F156</f>
        <v>814</v>
      </c>
      <c r="F112" s="741">
        <f>'General(R)'!G156</f>
        <v>20</v>
      </c>
    </row>
    <row r="113" spans="1:7" s="701" customFormat="1" ht="15">
      <c r="A113" s="845">
        <f t="shared" si="2"/>
        <v>39234</v>
      </c>
      <c r="B113" s="739">
        <f>'General(R)'!C157</f>
        <v>30</v>
      </c>
      <c r="C113" s="740">
        <f>'General(R)'!D157</f>
        <v>360</v>
      </c>
      <c r="D113" s="731">
        <f>'General(R)'!E157</f>
        <v>609</v>
      </c>
      <c r="E113" s="731">
        <f>'General(R)'!F157</f>
        <v>639</v>
      </c>
      <c r="F113" s="741">
        <f>'General(R)'!G157</f>
        <v>30</v>
      </c>
    </row>
    <row r="114" spans="1:7" s="701" customFormat="1" ht="15">
      <c r="A114" s="845">
        <f t="shared" si="2"/>
        <v>39326</v>
      </c>
      <c r="B114" s="739">
        <f>'General(R)'!C158</f>
        <v>30</v>
      </c>
      <c r="C114" s="740">
        <f>'General(R)'!D158</f>
        <v>345</v>
      </c>
      <c r="D114" s="731">
        <f>'General(R)'!E158</f>
        <v>616</v>
      </c>
      <c r="E114" s="731">
        <f>'General(R)'!F158</f>
        <v>646</v>
      </c>
      <c r="F114" s="741">
        <f>'General(R)'!G158</f>
        <v>30</v>
      </c>
    </row>
    <row r="115" spans="1:7" s="701" customFormat="1" ht="15">
      <c r="A115" s="845">
        <f t="shared" si="2"/>
        <v>39417</v>
      </c>
      <c r="B115" s="739">
        <f>'General(R)'!C159</f>
        <v>30</v>
      </c>
      <c r="C115" s="740">
        <f>'General(R)'!D159</f>
        <v>385</v>
      </c>
      <c r="D115" s="731">
        <f>'General(R)'!E159</f>
        <v>787</v>
      </c>
      <c r="E115" s="731">
        <f>'General(R)'!F159</f>
        <v>814</v>
      </c>
      <c r="F115" s="741">
        <f>'General(R)'!G159</f>
        <v>27</v>
      </c>
    </row>
    <row r="116" spans="1:7" s="701" customFormat="1" ht="15">
      <c r="A116" s="845">
        <f t="shared" si="2"/>
        <v>39508</v>
      </c>
      <c r="B116" s="739">
        <f>'General(R)'!C160</f>
        <v>30</v>
      </c>
      <c r="C116" s="740">
        <f>'General(R)'!D160</f>
        <v>415</v>
      </c>
      <c r="D116" s="731">
        <f>'General(R)'!E160</f>
        <v>642</v>
      </c>
      <c r="E116" s="731">
        <f>'General(R)'!F160</f>
        <v>669</v>
      </c>
      <c r="F116" s="741">
        <f>'General(R)'!G160</f>
        <v>27</v>
      </c>
    </row>
    <row r="117" spans="1:7" s="701" customFormat="1" ht="15">
      <c r="A117" s="845">
        <f t="shared" si="2"/>
        <v>39600</v>
      </c>
      <c r="B117" s="739">
        <f>'General(R)'!C161</f>
        <v>30</v>
      </c>
      <c r="C117" s="740">
        <f>'General(R)'!D161</f>
        <v>410</v>
      </c>
      <c r="D117" s="731">
        <f>'General(R)'!E161</f>
        <v>674</v>
      </c>
      <c r="E117" s="731">
        <f>'General(R)'!F161</f>
        <v>704</v>
      </c>
      <c r="F117" s="741">
        <f>'General(R)'!G161</f>
        <v>30</v>
      </c>
    </row>
    <row r="118" spans="1:7" s="701" customFormat="1" ht="15">
      <c r="A118" s="845">
        <f t="shared" si="2"/>
        <v>39692</v>
      </c>
      <c r="B118" s="739">
        <f>'General(R)'!C162</f>
        <v>30</v>
      </c>
      <c r="C118" s="740">
        <f>'General(R)'!D162</f>
        <v>410</v>
      </c>
      <c r="D118" s="731">
        <f>'General(R)'!E162</f>
        <v>230</v>
      </c>
      <c r="E118" s="731">
        <f>'General(R)'!F162</f>
        <v>260</v>
      </c>
      <c r="F118" s="741">
        <f>'General(R)'!G162</f>
        <v>30</v>
      </c>
    </row>
    <row r="119" spans="1:7" s="701" customFormat="1" ht="15">
      <c r="A119" s="845">
        <f t="shared" si="2"/>
        <v>39783</v>
      </c>
      <c r="B119" s="739">
        <f>'General(R)'!C163</f>
        <v>30</v>
      </c>
      <c r="C119" s="740">
        <f>'General(R)'!D163</f>
        <v>445</v>
      </c>
      <c r="D119" s="731">
        <f>'General(R)'!E163</f>
        <v>325</v>
      </c>
      <c r="E119" s="731">
        <f>'General(R)'!F163</f>
        <v>335</v>
      </c>
      <c r="F119" s="741">
        <f>'General(R)'!G163</f>
        <v>10</v>
      </c>
    </row>
    <row r="120" spans="1:7" s="701" customFormat="1" ht="15.75">
      <c r="A120" s="713" t="s">
        <v>32</v>
      </c>
      <c r="B120" s="742">
        <f>'General(R)'!C164</f>
        <v>1946</v>
      </c>
      <c r="C120" s="743">
        <f>'General(R)'!D164</f>
        <v>16413</v>
      </c>
      <c r="D120" s="722">
        <f>'General(R)'!E164</f>
        <v>17306</v>
      </c>
      <c r="E120" s="722">
        <f>'General(R)'!F164</f>
        <v>18006</v>
      </c>
      <c r="F120" s="723">
        <f>'General(R)'!G164</f>
        <v>700</v>
      </c>
    </row>
    <row r="121" spans="1:7" s="701" customFormat="1" ht="15.75" ph="1">
      <c r="A121" s="714"/>
      <c r="B121" s="809"/>
      <c r="C121" s="810"/>
      <c r="D121" s="724"/>
      <c r="E121" s="724"/>
      <c r="F121" s="725"/>
      <c r="G121" s="701"/>
    </row>
    <row r="122" spans="1:7" s="701" customFormat="1" ht="15">
      <c r="A122" s="696" t="s">
        <v>160</v>
      </c>
      <c r="B122" s="95"/>
      <c r="C122" s="95" t="s">
        <v>221</v>
      </c>
      <c r="D122" s="95"/>
      <c r="E122" s="95"/>
      <c r="F122" s="95"/>
    </row>
    <row r="123" spans="1:7" s="701" customFormat="1" ht="18">
      <c r="A123" s="744"/>
      <c r="B123" s="745"/>
      <c r="C123" s="745"/>
      <c r="D123" s="745"/>
      <c r="E123" s="745"/>
      <c r="F123" s="745"/>
    </row>
    <row r="124" spans="1:7" s="701" customFormat="1" ht="15">
      <c r="A124" s="95" t="s">
        <v>162</v>
      </c>
      <c r="B124" s="95"/>
      <c r="C124" s="697" t="s">
        <v>222</v>
      </c>
      <c r="D124" s="95"/>
      <c r="E124" s="95"/>
      <c r="F124" s="95"/>
    </row>
    <row r="125" spans="1:7" s="701" customFormat="1" ht="15">
      <c r="A125" s="695"/>
      <c r="B125" s="695"/>
      <c r="C125" s="697" t="s">
        <v>223</v>
      </c>
      <c r="D125" s="95"/>
      <c r="E125" s="95"/>
      <c r="F125" s="95"/>
    </row>
    <row r="126" spans="1:7" s="701" customFormat="1" ht="15">
      <c r="A126"/>
      <c r="B126"/>
      <c r="C126" s="697" t="s">
        <v>224</v>
      </c>
      <c r="D126" s="72"/>
      <c r="E126" s="72"/>
      <c r="F126" s="72"/>
    </row>
    <row r="127" spans="1:7" s="701" customFormat="1" ht="15.75" ph="1">
      <c r="A127" s="714"/>
      <c r="B127" s="809"/>
      <c r="C127" s="810"/>
      <c r="D127" s="724"/>
      <c r="E127" s="724"/>
      <c r="F127" s="725"/>
      <c r="G127" s="701"/>
    </row>
    <row r="128" spans="1:7" s="701" customFormat="1" ht="18">
      <c r="A128" s="698" t="s">
        <v>33</v>
      </c>
      <c r="B128" s="699" t="s">
        <v>34</v>
      </c>
      <c r="C128" s="700" t="s">
        <v>35</v>
      </c>
      <c r="D128" s="700" t="s">
        <v>166</v>
      </c>
      <c r="E128" s="700" t="s">
        <v>166</v>
      </c>
      <c r="F128" s="699" t="s">
        <v>205</v>
      </c>
      <c r="G128" s="700" t="s">
        <v>40</v>
      </c>
    </row>
    <row r="129" spans="1:8" s="701" customFormat="1" ht="15">
      <c r="A129" s="702" t="s">
        <v>23</v>
      </c>
      <c r="B129" s="703" t="s">
        <v>41</v>
      </c>
      <c r="C129" s="703" t="s">
        <v>42</v>
      </c>
      <c r="D129" s="703" t="s">
        <v>168</v>
      </c>
      <c r="E129" s="703" t="s">
        <v>169</v>
      </c>
      <c r="F129" s="703" t="s">
        <v>42</v>
      </c>
      <c r="G129" s="703" t="s">
        <v>28</v>
      </c>
    </row>
    <row r="130" spans="1:8" s="701" customFormat="1" ht="15" customHeight="1">
      <c r="A130" s="704" t="s">
        <v>282</v>
      </c>
      <c r="B130" s="705"/>
      <c r="C130" s="705"/>
      <c r="D130" s="705"/>
      <c r="E130" s="705"/>
      <c r="F130" s="705"/>
      <c r="G130" s="705"/>
    </row>
    <row r="131" spans="1:8" s="701" customFormat="1" ht="15" ph="1">
      <c r="A131" s="843">
        <f>'General(R)'!B205</f>
        <v>38047</v>
      </c>
      <c r="B131" s="846">
        <f>'General(R)'!C205</f>
        <v>108.75</v>
      </c>
      <c r="C131" s="848">
        <f>'General(R)'!D205</f>
        <v>109</v>
      </c>
      <c r="D131" s="852">
        <f>'General(R)'!E205</f>
        <v>109</v>
      </c>
      <c r="E131" s="847">
        <f>'General(R)'!F205</f>
        <v>108.9</v>
      </c>
      <c r="F131" s="848">
        <f>'General(R)'!G205</f>
        <v>108.65</v>
      </c>
      <c r="G131" s="866">
        <f>'General(R)'!H205</f>
        <v>-9.9999999999994316E-2</v>
      </c>
      <c r="H131" s="701"/>
    </row>
    <row r="132" spans="1:8" s="701" customFormat="1" ht="15">
      <c r="A132" s="843">
        <f>'General(R)'!B206</f>
        <v>38139</v>
      </c>
      <c r="B132" s="846">
        <f>'General(R)'!C206</f>
        <v>108.04</v>
      </c>
      <c r="C132" s="848">
        <f>'General(R)'!D206</f>
        <v>0</v>
      </c>
      <c r="D132" s="852">
        <f>'General(R)'!E206</f>
        <v>0</v>
      </c>
      <c r="E132" s="847">
        <f>'General(R)'!F206</f>
        <v>0</v>
      </c>
      <c r="F132" s="848">
        <f>'General(R)'!G206</f>
        <v>107.94</v>
      </c>
      <c r="G132" s="866">
        <f>'General(R)'!H206</f>
        <v>-0.10000000000000853</v>
      </c>
    </row>
    <row r="133" spans="1:8" s="701" customFormat="1" ht="15">
      <c r="A133" s="843">
        <f>'General(R)'!B207</f>
        <v>38231</v>
      </c>
      <c r="B133" s="846">
        <f>'General(R)'!C207</f>
        <v>107.45</v>
      </c>
      <c r="C133" s="848">
        <f>'General(R)'!D207</f>
        <v>0</v>
      </c>
      <c r="D133" s="852">
        <f>'General(R)'!E207</f>
        <v>0</v>
      </c>
      <c r="E133" s="847">
        <f>'General(R)'!F207</f>
        <v>0</v>
      </c>
      <c r="F133" s="848">
        <f>'General(R)'!G207</f>
        <v>107.35</v>
      </c>
      <c r="G133" s="866">
        <f>'General(R)'!H207</f>
        <v>-0.10000000000000853</v>
      </c>
    </row>
    <row r="134" spans="1:8" s="701" customFormat="1" ht="15">
      <c r="A134" s="843">
        <f>'General(R)'!B208</f>
        <v>38322</v>
      </c>
      <c r="B134" s="846">
        <f>'General(R)'!C208</f>
        <v>106.69</v>
      </c>
      <c r="C134" s="848">
        <f>'General(R)'!D208</f>
        <v>0</v>
      </c>
      <c r="D134" s="852">
        <f>'General(R)'!E208</f>
        <v>0</v>
      </c>
      <c r="E134" s="847">
        <f>'General(R)'!F208</f>
        <v>0</v>
      </c>
      <c r="F134" s="848">
        <f>'General(R)'!G208</f>
        <v>106.59</v>
      </c>
      <c r="G134" s="866">
        <f>'General(R)'!H208</f>
        <v>-9.9999999999994316E-2</v>
      </c>
    </row>
    <row r="135" spans="1:8" s="701" customFormat="1" ht="15.75">
      <c r="A135" s="714"/>
      <c r="B135" s="809"/>
      <c r="C135" s="810"/>
      <c r="D135" s="724"/>
      <c r="E135" s="724"/>
      <c r="F135" s="725"/>
    </row>
    <row r="136" spans="1:8" s="701" customFormat="1" ht="18">
      <c r="A136" s="698" t="s">
        <v>33</v>
      </c>
      <c r="B136" s="717" t="s">
        <v>21</v>
      </c>
      <c r="C136" s="717"/>
      <c r="D136" s="717" t="s">
        <v>280</v>
      </c>
      <c r="E136" s="717"/>
      <c r="F136" s="717"/>
    </row>
    <row r="137" spans="1:8" s="701" customFormat="1" ht="18">
      <c r="A137" s="702" t="s">
        <v>23</v>
      </c>
      <c r="B137" s="718" t="s">
        <v>24</v>
      </c>
      <c r="C137" s="719" t="s">
        <v>279</v>
      </c>
      <c r="D137" s="718" t="s">
        <v>26</v>
      </c>
      <c r="E137" s="718" t="s">
        <v>27</v>
      </c>
      <c r="F137" s="718" t="s">
        <v>28</v>
      </c>
      <c r="H137" s="851"/>
    </row>
    <row r="138" spans="1:8" s="701" customFormat="1" ht="15" customHeight="1">
      <c r="A138" s="704" t="s">
        <v>283</v>
      </c>
      <c r="B138" s="705"/>
      <c r="C138" s="705"/>
      <c r="D138" s="705"/>
      <c r="E138" s="705"/>
      <c r="F138" s="705"/>
    </row>
    <row r="139" spans="1:8" s="701" customFormat="1" ht="15">
      <c r="A139" s="843">
        <f>'General(R)'!B196</f>
        <v>38047</v>
      </c>
      <c r="B139" s="850">
        <f>'General(R)'!C196</f>
        <v>52</v>
      </c>
      <c r="C139" s="849">
        <f>'General(R)'!D196</f>
        <v>1310</v>
      </c>
      <c r="D139" s="853">
        <f>'General(R)'!E196</f>
        <v>998</v>
      </c>
      <c r="E139" s="850">
        <f>'General(R)'!F196</f>
        <v>1047</v>
      </c>
      <c r="F139" s="877">
        <f>'General(R)'!G196</f>
        <v>49</v>
      </c>
    </row>
    <row r="140" spans="1:8" s="701" customFormat="1" ht="15">
      <c r="A140" s="843">
        <f>'General(R)'!B197</f>
        <v>38139</v>
      </c>
      <c r="B140" s="850">
        <f>'General(R)'!C197</f>
        <v>0</v>
      </c>
      <c r="C140" s="849">
        <f>'General(R)'!D197</f>
        <v>0</v>
      </c>
      <c r="D140" s="853">
        <f>'General(R)'!E197</f>
        <v>0</v>
      </c>
      <c r="E140" s="850">
        <f>'General(R)'!F197</f>
        <v>0</v>
      </c>
      <c r="F140" s="877">
        <f>'General(R)'!G197</f>
        <v>0</v>
      </c>
    </row>
    <row r="141" spans="1:8" s="701" customFormat="1" ht="15">
      <c r="A141" s="843">
        <f>'General(R)'!B198</f>
        <v>38231</v>
      </c>
      <c r="B141" s="850">
        <f>'General(R)'!C198</f>
        <v>0</v>
      </c>
      <c r="C141" s="849">
        <f>'General(R)'!D198</f>
        <v>0</v>
      </c>
      <c r="D141" s="853">
        <f>'General(R)'!E198</f>
        <v>0</v>
      </c>
      <c r="E141" s="850">
        <f>'General(R)'!F198</f>
        <v>0</v>
      </c>
      <c r="F141" s="877">
        <f>'General(R)'!G198</f>
        <v>0</v>
      </c>
    </row>
    <row r="142" spans="1:8" s="701" customFormat="1" ht="15">
      <c r="A142" s="843">
        <f>'General(R)'!B199</f>
        <v>38322</v>
      </c>
      <c r="B142" s="850">
        <f>'General(R)'!C199</f>
        <v>0</v>
      </c>
      <c r="C142" s="849">
        <f>'General(R)'!D199</f>
        <v>0</v>
      </c>
      <c r="D142" s="853">
        <f>'General(R)'!E199</f>
        <v>0</v>
      </c>
      <c r="E142" s="850">
        <f>'General(R)'!F199</f>
        <v>0</v>
      </c>
      <c r="F142" s="877">
        <f>'General(R)'!G199</f>
        <v>0</v>
      </c>
    </row>
    <row r="143" spans="1:8" s="701" customFormat="1" ht="15.75">
      <c r="A143" s="713" t="s">
        <v>32</v>
      </c>
      <c r="B143" s="811">
        <f>'General(R)'!C200</f>
        <v>52</v>
      </c>
      <c r="C143" s="811">
        <f>'General(R)'!D200</f>
        <v>1310</v>
      </c>
      <c r="D143" s="811">
        <f>'General(R)'!E200</f>
        <v>998</v>
      </c>
      <c r="E143" s="811">
        <f>'General(R)'!F200</f>
        <v>1047</v>
      </c>
      <c r="F143" s="811">
        <f>'General(R)'!G200</f>
        <v>49</v>
      </c>
    </row>
    <row r="144" spans="1:8" s="701" customFormat="1" ht="15.75">
      <c r="A144" s="714"/>
      <c r="B144" s="1074"/>
      <c r="C144" s="1074"/>
      <c r="D144" s="1074"/>
      <c r="E144" s="1074"/>
      <c r="F144" s="1074"/>
    </row>
    <row r="145" spans="1:7" s="701" customFormat="1" ht="15">
      <c r="A145" s="696" t="s">
        <v>160</v>
      </c>
      <c r="B145" s="95"/>
      <c r="C145" s="95" t="s">
        <v>256</v>
      </c>
      <c r="D145" s="95"/>
      <c r="E145" s="95"/>
      <c r="F145" s="95"/>
    </row>
    <row r="146" spans="1:7" s="701" customFormat="1" ht="18">
      <c r="A146" s="744"/>
      <c r="B146" s="745"/>
      <c r="C146" s="745"/>
      <c r="D146" s="745"/>
      <c r="E146" s="745"/>
      <c r="F146" s="745"/>
    </row>
    <row r="147" spans="1:7" s="701" customFormat="1" ht="15">
      <c r="A147" s="95" t="s">
        <v>162</v>
      </c>
      <c r="B147" s="95"/>
      <c r="C147" s="697" t="s">
        <v>272</v>
      </c>
      <c r="D147" s="95"/>
      <c r="E147" s="95"/>
      <c r="F147" s="95"/>
    </row>
    <row r="148" spans="1:7" s="701" customFormat="1" ht="15">
      <c r="A148" s="695"/>
      <c r="B148" s="695"/>
      <c r="C148" s="697"/>
      <c r="D148" s="95"/>
      <c r="E148" s="95"/>
      <c r="F148" s="95"/>
    </row>
    <row r="149" spans="1:7" s="701" customFormat="1" ht="15">
      <c r="A149"/>
      <c r="B149"/>
      <c r="C149" s="697" t="s">
        <v>224</v>
      </c>
      <c r="D149" s="72"/>
      <c r="E149" s="72"/>
      <c r="F149" s="72"/>
    </row>
    <row r="150" spans="1:7" s="701" customFormat="1" ht="15.75">
      <c r="A150" s="714"/>
      <c r="B150" s="809"/>
      <c r="C150" s="810"/>
      <c r="D150" s="724"/>
      <c r="E150" s="724"/>
      <c r="F150" s="725"/>
    </row>
    <row r="151" spans="1:7" s="701" customFormat="1" ht="18">
      <c r="A151" s="698" t="s">
        <v>33</v>
      </c>
      <c r="B151" s="699" t="s">
        <v>34</v>
      </c>
      <c r="C151" s="700" t="s">
        <v>35</v>
      </c>
      <c r="D151" s="700" t="s">
        <v>166</v>
      </c>
      <c r="E151" s="700" t="s">
        <v>166</v>
      </c>
      <c r="F151" s="699" t="s">
        <v>205</v>
      </c>
      <c r="G151" s="700" t="s">
        <v>40</v>
      </c>
    </row>
    <row r="152" spans="1:7" s="701" customFormat="1" ht="15">
      <c r="A152" s="702" t="s">
        <v>23</v>
      </c>
      <c r="B152" s="703" t="s">
        <v>41</v>
      </c>
      <c r="C152" s="703" t="s">
        <v>42</v>
      </c>
      <c r="D152" s="703" t="s">
        <v>168</v>
      </c>
      <c r="E152" s="703" t="s">
        <v>169</v>
      </c>
      <c r="F152" s="703" t="s">
        <v>42</v>
      </c>
      <c r="G152" s="703" t="s">
        <v>28</v>
      </c>
    </row>
    <row r="153" spans="1:7" s="701" customFormat="1" ht="16.5" customHeight="1" ph="1">
      <c r="A153" s="704" t="s">
        <v>267</v>
      </c>
      <c r="B153" s="705"/>
      <c r="C153" s="705"/>
      <c r="D153" s="705"/>
      <c r="E153" s="705"/>
      <c r="F153" s="705"/>
      <c r="G153" s="705"/>
    </row>
    <row r="154" spans="1:7" s="701" customFormat="1" ht="15">
      <c r="A154" s="843">
        <f>'General(R)'!B223</f>
        <v>38047</v>
      </c>
      <c r="B154" s="846">
        <f>'General(R)'!C223</f>
        <v>107</v>
      </c>
      <c r="C154" s="848">
        <f>'General(R)'!D223</f>
        <v>107.1</v>
      </c>
      <c r="D154" s="852">
        <f>'General(R)'!E223</f>
        <v>107.1</v>
      </c>
      <c r="E154" s="847">
        <f>'General(R)'!F223</f>
        <v>107.1</v>
      </c>
      <c r="F154" s="848">
        <f>'General(R)'!G223</f>
        <v>106.9</v>
      </c>
      <c r="G154" s="866">
        <f>'General(R)'!H223</f>
        <v>-9.9999999999994316E-2</v>
      </c>
    </row>
    <row r="155" spans="1:7" s="701" customFormat="1" ht="15">
      <c r="A155" s="843">
        <f>'General(R)'!B224</f>
        <v>38139</v>
      </c>
      <c r="B155" s="846">
        <f>'General(R)'!C224</f>
        <v>106.26</v>
      </c>
      <c r="C155" s="848">
        <f>'General(R)'!D224</f>
        <v>0</v>
      </c>
      <c r="D155" s="852">
        <f>'General(R)'!E224</f>
        <v>0</v>
      </c>
      <c r="E155" s="847">
        <f>'General(R)'!F224</f>
        <v>0</v>
      </c>
      <c r="F155" s="848">
        <f>'General(R)'!G224</f>
        <v>106.16</v>
      </c>
      <c r="G155" s="866">
        <f>'General(R)'!H224</f>
        <v>-0.10000000000000853</v>
      </c>
    </row>
    <row r="156" spans="1:7" s="701" customFormat="1" ht="15">
      <c r="A156" s="843">
        <f>'General(R)'!B225</f>
        <v>38231</v>
      </c>
      <c r="B156" s="846">
        <f>'General(R)'!C225</f>
        <v>105.53</v>
      </c>
      <c r="C156" s="848">
        <f>'General(R)'!D225</f>
        <v>0</v>
      </c>
      <c r="D156" s="852">
        <f>'General(R)'!D225</f>
        <v>0</v>
      </c>
      <c r="E156" s="847">
        <f>'General(R)'!F225</f>
        <v>0</v>
      </c>
      <c r="F156" s="848">
        <f>'General(R)'!G225</f>
        <v>105.43</v>
      </c>
      <c r="G156" s="866">
        <f>'General(R)'!H225</f>
        <v>-9.9999999999994316E-2</v>
      </c>
    </row>
    <row r="157" spans="1:7" s="701" customFormat="1" ht="15">
      <c r="A157" s="843">
        <f>'General(R)'!B226</f>
        <v>38322</v>
      </c>
      <c r="B157" s="846">
        <f>'General(R)'!C226</f>
        <v>104.75</v>
      </c>
      <c r="C157" s="848">
        <f>'General(R)'!D226</f>
        <v>0</v>
      </c>
      <c r="D157" s="852">
        <f>'General(R)'!E226</f>
        <v>0</v>
      </c>
      <c r="E157" s="847">
        <f>'General(R)'!F226</f>
        <v>0</v>
      </c>
      <c r="F157" s="848">
        <f>'General(R)'!G226</f>
        <v>104.65</v>
      </c>
      <c r="G157" s="866">
        <f>'General(R)'!H226</f>
        <v>-9.9999999999994316E-2</v>
      </c>
    </row>
    <row r="158" spans="1:7" s="701" customFormat="1" ht="15.75">
      <c r="A158" s="714"/>
      <c r="B158" s="809"/>
      <c r="C158" s="810"/>
      <c r="D158" s="724"/>
      <c r="E158" s="724"/>
      <c r="F158" s="725"/>
    </row>
    <row r="159" spans="1:7" s="701" customFormat="1" ht="18" ph="1">
      <c r="A159" s="698" t="s">
        <v>33</v>
      </c>
      <c r="B159" s="717" t="s">
        <v>21</v>
      </c>
      <c r="C159" s="717"/>
      <c r="D159" s="717" t="s">
        <v>280</v>
      </c>
      <c r="E159" s="717"/>
      <c r="F159" s="717"/>
      <c r="G159" s="701"/>
    </row>
    <row r="160" spans="1:7" s="701" customFormat="1" ht="18">
      <c r="A160" s="702" t="s">
        <v>23</v>
      </c>
      <c r="B160" s="718" t="s">
        <v>24</v>
      </c>
      <c r="C160" s="719" t="s">
        <v>279</v>
      </c>
      <c r="D160" s="718" t="s">
        <v>26</v>
      </c>
      <c r="E160" s="718" t="s">
        <v>27</v>
      </c>
      <c r="F160" s="718" t="s">
        <v>28</v>
      </c>
    </row>
    <row r="161" spans="1:7" s="701" customFormat="1" ht="16.5" customHeight="1">
      <c r="A161" s="704" t="s">
        <v>268</v>
      </c>
      <c r="B161" s="705"/>
      <c r="C161" s="705"/>
      <c r="D161" s="705"/>
      <c r="E161" s="705"/>
      <c r="F161" s="705"/>
    </row>
    <row r="162" spans="1:7" s="701" customFormat="1" ht="15">
      <c r="A162" s="843">
        <f>'General(R)'!B214</f>
        <v>38047</v>
      </c>
      <c r="B162" s="850">
        <f>'General(R)'!C214</f>
        <v>50</v>
      </c>
      <c r="C162" s="849">
        <f>'General(R)'!D214</f>
        <v>1120</v>
      </c>
      <c r="D162" s="853">
        <f>'General(R)'!E214</f>
        <v>220</v>
      </c>
      <c r="E162" s="850">
        <f>'General(R)'!F214</f>
        <v>220</v>
      </c>
      <c r="F162" s="741">
        <f>'General(R)'!G214</f>
        <v>0</v>
      </c>
    </row>
    <row r="163" spans="1:7" s="701" customFormat="1" ht="15" ph="1">
      <c r="A163" s="843">
        <f>'General(R)'!B215</f>
        <v>38139</v>
      </c>
      <c r="B163" s="850">
        <f>'General(R)'!C215</f>
        <v>0</v>
      </c>
      <c r="C163" s="849">
        <f>'General(R)'!D215</f>
        <v>0</v>
      </c>
      <c r="D163" s="853">
        <f>'General(R)'!E215</f>
        <v>0</v>
      </c>
      <c r="E163" s="850">
        <f>'General(R)'!F215</f>
        <v>0</v>
      </c>
      <c r="F163" s="741">
        <f>'General(R)'!G215</f>
        <v>0</v>
      </c>
      <c r="G163" s="701"/>
    </row>
    <row r="164" spans="1:7" s="701" customFormat="1" ht="15">
      <c r="A164" s="843">
        <f>'General(R)'!B216</f>
        <v>38231</v>
      </c>
      <c r="B164" s="850">
        <f>'General(R)'!C216</f>
        <v>0</v>
      </c>
      <c r="C164" s="849">
        <f>'General(R)'!D216</f>
        <v>0</v>
      </c>
      <c r="D164" s="853">
        <f>'General(R)'!E216</f>
        <v>0</v>
      </c>
      <c r="E164" s="850">
        <f>'General(R)'!F216</f>
        <v>0</v>
      </c>
      <c r="F164" s="741">
        <f>'General(R)'!G216</f>
        <v>0</v>
      </c>
    </row>
    <row r="165" spans="1:7" s="701" customFormat="1" ht="15">
      <c r="A165" s="843">
        <f>'General(R)'!B217</f>
        <v>38322</v>
      </c>
      <c r="B165" s="850">
        <f>'General(R)'!C217</f>
        <v>0</v>
      </c>
      <c r="C165" s="849">
        <f>'General(R)'!D217</f>
        <v>0</v>
      </c>
      <c r="D165" s="853">
        <f>'General(R)'!E217</f>
        <v>0</v>
      </c>
      <c r="E165" s="850">
        <f>'General(R)'!F217</f>
        <v>0</v>
      </c>
      <c r="F165" s="741">
        <f>'General(R)'!G217</f>
        <v>0</v>
      </c>
    </row>
    <row r="166" spans="1:7" s="701" customFormat="1" ht="15.75">
      <c r="A166" s="713" t="s">
        <v>32</v>
      </c>
      <c r="B166" s="811">
        <f>'General(R)'!C218</f>
        <v>50</v>
      </c>
      <c r="C166" s="811">
        <f>'General(R)'!D218</f>
        <v>1120</v>
      </c>
      <c r="D166" s="811">
        <f>'General(R)'!E218</f>
        <v>220</v>
      </c>
      <c r="E166" s="811">
        <f>'General(R)'!F218</f>
        <v>220</v>
      </c>
      <c r="F166" s="1081">
        <f>'General(R)'!G218</f>
        <v>0</v>
      </c>
    </row>
    <row r="167" spans="1:7" s="701" customFormat="1" ht="15.75">
      <c r="A167" s="714"/>
      <c r="B167" s="1074"/>
      <c r="C167" s="1074"/>
      <c r="D167" s="1074"/>
      <c r="E167" s="1074"/>
      <c r="F167" s="1074"/>
    </row>
    <row r="168" spans="1:7" s="701" customFormat="1" ht="15">
      <c r="A168" s="696" t="s">
        <v>160</v>
      </c>
      <c r="B168" s="95"/>
      <c r="C168" s="95" t="s">
        <v>257</v>
      </c>
      <c r="D168" s="95"/>
      <c r="E168" s="95"/>
      <c r="F168" s="95"/>
    </row>
    <row r="169" spans="1:7" s="701" customFormat="1" ht="18">
      <c r="A169" s="744"/>
      <c r="B169" s="745"/>
      <c r="C169" s="745"/>
      <c r="D169" s="745"/>
      <c r="E169" s="745"/>
      <c r="F169" s="745"/>
    </row>
    <row r="170" spans="1:7" s="701" customFormat="1" ht="15">
      <c r="A170" s="95" t="s">
        <v>162</v>
      </c>
      <c r="B170" s="95"/>
      <c r="C170" s="697" t="s">
        <v>271</v>
      </c>
      <c r="D170" s="95"/>
      <c r="E170" s="95"/>
      <c r="F170" s="95"/>
    </row>
    <row r="171" spans="1:7" s="701" customFormat="1" ht="15">
      <c r="A171" s="695"/>
      <c r="B171" s="695"/>
      <c r="C171" s="697"/>
      <c r="D171" s="95"/>
      <c r="E171" s="95"/>
      <c r="F171" s="95"/>
    </row>
    <row r="172" spans="1:7" s="701" customFormat="1" ht="15">
      <c r="A172"/>
      <c r="B172"/>
      <c r="C172" s="697" t="s">
        <v>224</v>
      </c>
      <c r="D172" s="72"/>
      <c r="E172" s="72"/>
      <c r="F172" s="72"/>
    </row>
    <row r="173" spans="1:7" s="701" customFormat="1" ht="15.75">
      <c r="A173" s="714"/>
      <c r="B173" s="809"/>
      <c r="C173" s="810"/>
      <c r="D173" s="724"/>
      <c r="E173" s="724"/>
      <c r="F173" s="725"/>
    </row>
    <row r="174" spans="1:7" s="701" customFormat="1" ht="18">
      <c r="A174" s="698" t="s">
        <v>33</v>
      </c>
      <c r="B174" s="699" t="s">
        <v>34</v>
      </c>
      <c r="C174" s="700" t="s">
        <v>35</v>
      </c>
      <c r="D174" s="700" t="s">
        <v>166</v>
      </c>
      <c r="E174" s="700" t="s">
        <v>166</v>
      </c>
      <c r="F174" s="699" t="s">
        <v>205</v>
      </c>
      <c r="G174" s="700" t="s">
        <v>40</v>
      </c>
    </row>
    <row r="175" spans="1:7" s="701" customFormat="1" ht="15">
      <c r="A175" s="702" t="s">
        <v>23</v>
      </c>
      <c r="B175" s="703" t="s">
        <v>41</v>
      </c>
      <c r="C175" s="703" t="s">
        <v>42</v>
      </c>
      <c r="D175" s="703" t="s">
        <v>168</v>
      </c>
      <c r="E175" s="703" t="s">
        <v>169</v>
      </c>
      <c r="F175" s="703" t="s">
        <v>42</v>
      </c>
      <c r="G175" s="703" t="s">
        <v>28</v>
      </c>
    </row>
    <row r="176" spans="1:7" s="701" customFormat="1" ht="17.25" customHeight="1">
      <c r="A176" s="704" t="s">
        <v>269</v>
      </c>
      <c r="B176" s="705"/>
      <c r="C176" s="705"/>
      <c r="D176" s="705"/>
      <c r="E176" s="705"/>
      <c r="F176" s="705"/>
      <c r="G176" s="705"/>
    </row>
    <row r="177" spans="1:11" s="701" customFormat="1" ht="15">
      <c r="A177" s="843">
        <f>'General(R)'!B241</f>
        <v>38047</v>
      </c>
      <c r="B177" s="846">
        <f>'General(R)'!C241</f>
        <v>109.1</v>
      </c>
      <c r="C177" s="848">
        <f>'General(R)'!D241</f>
        <v>0</v>
      </c>
      <c r="D177" s="852">
        <f>'General(R)'!E241</f>
        <v>0</v>
      </c>
      <c r="E177" s="847">
        <f>'General(R)'!F241</f>
        <v>0</v>
      </c>
      <c r="F177" s="848">
        <f>'General(R)'!G241</f>
        <v>109.1</v>
      </c>
      <c r="G177" s="866">
        <f>'General(R)'!H241</f>
        <v>0</v>
      </c>
    </row>
    <row r="178" spans="1:11" s="701" customFormat="1" ht="15">
      <c r="A178" s="843">
        <f>'General(R)'!B242</f>
        <v>38139</v>
      </c>
      <c r="B178" s="846">
        <f>'General(R)'!C242</f>
        <v>108.4</v>
      </c>
      <c r="C178" s="848">
        <f>'General(R)'!D242</f>
        <v>0</v>
      </c>
      <c r="D178" s="852">
        <f>'General(R)'!E242</f>
        <v>0</v>
      </c>
      <c r="E178" s="847">
        <f>'General(R)'!F242</f>
        <v>0</v>
      </c>
      <c r="F178" s="848">
        <f>'General(R)'!G242</f>
        <v>108.4</v>
      </c>
      <c r="G178" s="866">
        <f>'General(R)'!H242</f>
        <v>0</v>
      </c>
    </row>
    <row r="179" spans="1:11" s="701" customFormat="1" ht="15">
      <c r="A179" s="843">
        <f>'General(R)'!B243</f>
        <v>38231</v>
      </c>
      <c r="B179" s="846">
        <f>'General(R)'!C243</f>
        <v>107.71</v>
      </c>
      <c r="C179" s="848">
        <f>'General(R)'!D243</f>
        <v>0</v>
      </c>
      <c r="D179" s="852">
        <f>'General(R)'!E243</f>
        <v>0</v>
      </c>
      <c r="E179" s="847">
        <f>'General(R)'!F243</f>
        <v>0</v>
      </c>
      <c r="F179" s="848">
        <f>'General(R)'!G243</f>
        <v>107.71</v>
      </c>
      <c r="G179" s="866">
        <f>'General(R)'!H243</f>
        <v>0</v>
      </c>
    </row>
    <row r="180" spans="1:11" s="701" customFormat="1" ht="15">
      <c r="A180" s="843">
        <f>'General(R)'!B244</f>
        <v>38322</v>
      </c>
      <c r="B180" s="846">
        <f>'General(R)'!C244</f>
        <v>106.93</v>
      </c>
      <c r="C180" s="848">
        <f>'General(R)'!D244</f>
        <v>0</v>
      </c>
      <c r="D180" s="852">
        <f>'General(R)'!E244</f>
        <v>0</v>
      </c>
      <c r="E180" s="847">
        <f>'General(R)'!F244</f>
        <v>0</v>
      </c>
      <c r="F180" s="848">
        <f>'General(R)'!G244</f>
        <v>106.93</v>
      </c>
      <c r="G180" s="866">
        <f>'General(R)'!H244</f>
        <v>0</v>
      </c>
    </row>
    <row r="181" spans="1:11" s="701" customFormat="1" ht="15.75">
      <c r="A181" s="714"/>
      <c r="B181" s="809"/>
      <c r="C181" s="810"/>
      <c r="D181" s="724"/>
      <c r="E181" s="724"/>
      <c r="F181" s="725"/>
    </row>
    <row r="182" spans="1:11" s="701" customFormat="1" ht="18">
      <c r="A182" s="698" t="s">
        <v>33</v>
      </c>
      <c r="B182" s="717" t="s">
        <v>21</v>
      </c>
      <c r="C182" s="717"/>
      <c r="D182" s="717" t="s">
        <v>280</v>
      </c>
      <c r="E182" s="717"/>
      <c r="F182" s="717"/>
    </row>
    <row r="183" spans="1:11" s="701" customFormat="1" ht="18">
      <c r="A183" s="702" t="s">
        <v>23</v>
      </c>
      <c r="B183" s="718" t="s">
        <v>24</v>
      </c>
      <c r="C183" s="719" t="s">
        <v>279</v>
      </c>
      <c r="D183" s="718" t="s">
        <v>26</v>
      </c>
      <c r="E183" s="718" t="s">
        <v>27</v>
      </c>
      <c r="F183" s="718" t="s">
        <v>28</v>
      </c>
    </row>
    <row r="184" spans="1:11" s="701" customFormat="1" ht="17.25" customHeight="1">
      <c r="A184" s="704" t="s">
        <v>270</v>
      </c>
      <c r="B184" s="705"/>
      <c r="C184" s="705"/>
      <c r="D184" s="705"/>
      <c r="E184" s="705"/>
      <c r="F184" s="705"/>
    </row>
    <row r="185" spans="1:11" s="701" customFormat="1" ht="15" ph="1">
      <c r="A185" s="843">
        <f>'General(R)'!B232</f>
        <v>38047</v>
      </c>
      <c r="B185" s="850">
        <f>'General(R)'!C232</f>
        <v>0</v>
      </c>
      <c r="C185" s="849">
        <f>'General(R)'!D232</f>
        <v>0</v>
      </c>
      <c r="D185" s="853">
        <f>'General(R)'!E232</f>
        <v>0</v>
      </c>
      <c r="E185" s="850">
        <f>'General(R)'!F232</f>
        <v>0</v>
      </c>
      <c r="F185" s="741">
        <f>'General(R)'!G232</f>
        <v>0</v>
      </c>
      <c r="G185" s="701"/>
      <c r="H185" s="701"/>
      <c r="I185" s="701"/>
      <c r="J185" s="701"/>
      <c r="K185" s="701"/>
    </row>
    <row r="186" spans="1:11" s="701" customFormat="1" ht="15">
      <c r="A186" s="843">
        <f>'General(R)'!B233</f>
        <v>38139</v>
      </c>
      <c r="B186" s="850">
        <f>'General(R)'!C233</f>
        <v>0</v>
      </c>
      <c r="C186" s="849">
        <f>'General(R)'!D233</f>
        <v>0</v>
      </c>
      <c r="D186" s="853">
        <f>'General(R)'!E233</f>
        <v>0</v>
      </c>
      <c r="E186" s="850">
        <f>'General(R)'!F233</f>
        <v>0</v>
      </c>
      <c r="F186" s="741">
        <f>'General(R)'!G233</f>
        <v>0</v>
      </c>
    </row>
    <row r="187" spans="1:11" s="701" customFormat="1" ht="15">
      <c r="A187" s="843">
        <f>'General(R)'!B234</f>
        <v>38231</v>
      </c>
      <c r="B187" s="850">
        <f>'General(R)'!C234</f>
        <v>0</v>
      </c>
      <c r="C187" s="849">
        <f>'General(R)'!D234</f>
        <v>0</v>
      </c>
      <c r="D187" s="853">
        <f>'General(R)'!E234</f>
        <v>0</v>
      </c>
      <c r="E187" s="850">
        <f>'General(R)'!F234</f>
        <v>0</v>
      </c>
      <c r="F187" s="741">
        <f>'General(R)'!G234</f>
        <v>0</v>
      </c>
    </row>
    <row r="188" spans="1:11" s="701" customFormat="1" ht="15">
      <c r="A188" s="843">
        <f>'General(R)'!B235</f>
        <v>38322</v>
      </c>
      <c r="B188" s="850">
        <f>'General(R)'!C235</f>
        <v>0</v>
      </c>
      <c r="C188" s="849">
        <f>'General(R)'!D235</f>
        <v>0</v>
      </c>
      <c r="D188" s="853">
        <f>'General(R)'!E235</f>
        <v>0</v>
      </c>
      <c r="E188" s="850">
        <f>'General(R)'!F235</f>
        <v>0</v>
      </c>
      <c r="F188" s="741">
        <f>'General(R)'!G235</f>
        <v>0</v>
      </c>
    </row>
    <row r="189" spans="1:11" s="701" customFormat="1" ht="15.75">
      <c r="A189" s="713" t="str">
        <f>'General(R)'!B236</f>
        <v>Total</v>
      </c>
      <c r="B189" s="811">
        <f>'General(R)'!C236</f>
        <v>0</v>
      </c>
      <c r="C189" s="811">
        <f>'General(R)'!D236</f>
        <v>0</v>
      </c>
      <c r="D189" s="811">
        <f>'General(R)'!E236</f>
        <v>0</v>
      </c>
      <c r="E189" s="811">
        <f>'General(R)'!F236</f>
        <v>0</v>
      </c>
      <c r="F189" s="1081">
        <f>'General(R)'!G236</f>
        <v>0</v>
      </c>
    </row>
    <row r="190" spans="1:11" s="701" customFormat="1" ht="15.75">
      <c r="A190" s="714"/>
      <c r="B190" s="1074"/>
      <c r="C190" s="1074"/>
      <c r="D190" s="1074"/>
      <c r="E190" s="1074"/>
      <c r="F190" s="1074"/>
    </row>
    <row r="191" spans="1:11">
      <c r="A191" s="696" t="s">
        <v>160</v>
      </c>
      <c r="B191" s="95"/>
      <c r="C191" s="95" t="s">
        <v>177</v>
      </c>
      <c r="D191" s="95"/>
      <c r="E191" s="95"/>
      <c r="F191" s="95"/>
      <c r="G191" s="95"/>
      <c r="H191" s="695"/>
      <c r="I191" s="695"/>
      <c r="J191" s="695"/>
      <c r="K191" s="695"/>
    </row>
    <row r="192" spans="1:11" ht="10.5" customHeight="1">
      <c r="A192" s="744"/>
      <c r="B192" s="745"/>
      <c r="C192" s="745"/>
      <c r="D192" s="745"/>
      <c r="E192" s="745"/>
      <c r="F192" s="745"/>
      <c r="G192" s="745"/>
      <c r="H192" s="746"/>
    </row>
    <row r="193" spans="1:10">
      <c r="A193" s="95" t="s">
        <v>162</v>
      </c>
      <c r="B193" s="95"/>
      <c r="C193" s="697" t="s">
        <v>178</v>
      </c>
      <c r="D193" s="95"/>
      <c r="E193" s="95"/>
      <c r="F193" s="95"/>
      <c r="G193" s="95"/>
      <c r="H193" s="695"/>
      <c r="I193" s="695"/>
      <c r="J193" s="695"/>
    </row>
    <row r="194" spans="1:10">
      <c r="A194" s="695"/>
      <c r="B194" s="695"/>
      <c r="C194" s="697" t="s">
        <v>179</v>
      </c>
      <c r="D194" s="95"/>
      <c r="E194" s="95"/>
      <c r="F194" s="95"/>
      <c r="G194" s="695"/>
      <c r="H194" s="695"/>
      <c r="I194" s="695"/>
      <c r="J194" s="695"/>
    </row>
    <row r="195" spans="1:10">
      <c r="C195" s="697" t="s">
        <v>180</v>
      </c>
      <c r="D195" s="72"/>
      <c r="E195" s="72"/>
      <c r="F195" s="72"/>
    </row>
    <row r="196" spans="1:10" ht="13.5" thickBot="1">
      <c r="C196" s="697"/>
      <c r="D196" s="72"/>
      <c r="E196" s="72"/>
      <c r="F196" s="72"/>
    </row>
    <row r="197" spans="1:10" s="701" customFormat="1" ht="15">
      <c r="A197" s="812" t="str">
        <f>'General(R)'!B91</f>
        <v>Options</v>
      </c>
      <c r="B197" s="813" t="str">
        <f>'General(R)'!C91</f>
        <v>Volume</v>
      </c>
      <c r="C197" s="813"/>
      <c r="D197" s="813" t="str">
        <f>'General(R)'!E91</f>
        <v>Open Interest</v>
      </c>
      <c r="E197" s="813"/>
      <c r="F197" s="814"/>
    </row>
    <row r="198" spans="1:10" s="701" customFormat="1" ht="15">
      <c r="A198" s="815" t="str">
        <f>'General(R)'!B92</f>
        <v>Series</v>
      </c>
      <c r="B198" s="718" t="str">
        <f>'General(R)'!C92</f>
        <v xml:space="preserve">Current </v>
      </c>
      <c r="C198" s="718" t="str">
        <f>'General(R)'!D92</f>
        <v>MTD</v>
      </c>
      <c r="D198" s="718" t="str">
        <f>'General(R)'!E92</f>
        <v>Previous</v>
      </c>
      <c r="E198" s="718" t="str">
        <f>'General(R)'!F92</f>
        <v>Current</v>
      </c>
      <c r="F198" s="816" t="str">
        <f>'General(R)'!G92</f>
        <v>Change</v>
      </c>
    </row>
    <row r="199" spans="1:10" s="701" customFormat="1" ht="15.75">
      <c r="A199" s="747" t="str">
        <f>'General(R)'!B93</f>
        <v>Calls</v>
      </c>
      <c r="B199" s="705"/>
      <c r="C199" s="705"/>
      <c r="D199" s="748"/>
      <c r="E199" s="705"/>
      <c r="F199" s="749"/>
    </row>
    <row r="200" spans="1:10" s="701" customFormat="1" ht="15">
      <c r="A200" s="750">
        <f>'General(R)'!B94</f>
        <v>0</v>
      </c>
      <c r="B200" s="850">
        <f>'General(R)'!C94</f>
        <v>0</v>
      </c>
      <c r="C200" s="849">
        <f>'General(R)'!D94</f>
        <v>0</v>
      </c>
      <c r="D200" s="853">
        <f>'General(R)'!E94</f>
        <v>0</v>
      </c>
      <c r="E200" s="850">
        <f>'General(R)'!F94</f>
        <v>0</v>
      </c>
      <c r="F200" s="861">
        <f>'General(R)'!G94</f>
        <v>0</v>
      </c>
    </row>
    <row r="201" spans="1:10" s="701" customFormat="1" ht="15.75" thickBot="1">
      <c r="A201" s="750">
        <f>'General(R)'!B95</f>
        <v>0</v>
      </c>
      <c r="B201" s="854">
        <f>'General(R)'!C95</f>
        <v>0</v>
      </c>
      <c r="C201" s="855">
        <f>'General(R)'!D95</f>
        <v>0</v>
      </c>
      <c r="D201" s="858">
        <f>'General(R)'!E95</f>
        <v>0</v>
      </c>
      <c r="E201" s="854">
        <f>'General(R)'!F95</f>
        <v>0</v>
      </c>
      <c r="F201" s="862">
        <f>'General(R)'!G95</f>
        <v>0</v>
      </c>
    </row>
    <row r="202" spans="1:10" s="701" customFormat="1" ht="15.75" thickBot="1">
      <c r="A202" s="751" t="s">
        <v>50</v>
      </c>
      <c r="B202" s="856">
        <f>'General(R)'!C96</f>
        <v>0</v>
      </c>
      <c r="C202" s="857">
        <f>'General(R)'!D96</f>
        <v>0</v>
      </c>
      <c r="D202" s="859">
        <f>'General(R)'!E96</f>
        <v>0</v>
      </c>
      <c r="E202" s="856">
        <f>'General(R)'!F96</f>
        <v>0</v>
      </c>
      <c r="F202" s="860">
        <f>'General(R)'!G96</f>
        <v>0</v>
      </c>
    </row>
    <row r="203" spans="1:10" s="701" customFormat="1" ht="15.75">
      <c r="A203" s="752" t="str">
        <f>'General(R)'!B97</f>
        <v>Puts</v>
      </c>
      <c r="B203" s="753"/>
      <c r="C203" s="753"/>
      <c r="D203" s="754"/>
      <c r="E203" s="755"/>
      <c r="F203" s="756"/>
    </row>
    <row r="204" spans="1:10" s="701" customFormat="1" ht="15.75" thickBot="1">
      <c r="A204" s="750">
        <f>'General(R)'!B98</f>
        <v>0</v>
      </c>
      <c r="B204" s="854">
        <f>'General(R)'!C98</f>
        <v>0</v>
      </c>
      <c r="C204" s="855">
        <f>'General(R)'!D98</f>
        <v>0</v>
      </c>
      <c r="D204" s="858">
        <f>'General(R)'!E98</f>
        <v>0</v>
      </c>
      <c r="E204" s="854">
        <f>'General(R)'!F98</f>
        <v>0</v>
      </c>
      <c r="F204" s="862">
        <f>'General(R)'!G98</f>
        <v>0</v>
      </c>
    </row>
    <row r="205" spans="1:10" s="701" customFormat="1" ht="15.75" thickBot="1">
      <c r="A205" s="751" t="str">
        <f>'General(R)'!B99</f>
        <v>Sub-total</v>
      </c>
      <c r="B205" s="856">
        <f>'General(R)'!C99</f>
        <v>0</v>
      </c>
      <c r="C205" s="857">
        <f>'General(R)'!D99</f>
        <v>0</v>
      </c>
      <c r="D205" s="859">
        <f>'General(R)'!E99</f>
        <v>0</v>
      </c>
      <c r="E205" s="856">
        <f>'General(R)'!F99</f>
        <v>0</v>
      </c>
      <c r="F205" s="860">
        <f>'General(R)'!G99</f>
        <v>0</v>
      </c>
    </row>
    <row r="206" spans="1:10" s="701" customFormat="1" ht="16.5" thickBot="1">
      <c r="A206" s="757" t="s">
        <v>32</v>
      </c>
      <c r="B206" s="856">
        <f>'General(R)'!C100</f>
        <v>0</v>
      </c>
      <c r="C206" s="857">
        <f>'General(R)'!D100</f>
        <v>0</v>
      </c>
      <c r="D206" s="859">
        <f>'General(R)'!E100</f>
        <v>0</v>
      </c>
      <c r="E206" s="856">
        <f>'General(R)'!F100</f>
        <v>0</v>
      </c>
      <c r="F206" s="860">
        <f>'General(R)'!G100</f>
        <v>0</v>
      </c>
    </row>
    <row r="207" spans="1:10" s="701" customFormat="1" ht="12.75" customHeight="1" thickBot="1">
      <c r="A207" s="758"/>
      <c r="B207" s="759"/>
    </row>
    <row r="208" spans="1:10" s="701" customFormat="1" ht="15">
      <c r="A208" s="812" t="str">
        <f>'General(R)'!B102</f>
        <v>Contract</v>
      </c>
      <c r="B208" s="817" t="s">
        <v>34</v>
      </c>
      <c r="C208" s="818" t="s">
        <v>35</v>
      </c>
      <c r="D208" s="818" t="s">
        <v>36</v>
      </c>
      <c r="E208" s="818" t="s">
        <v>37</v>
      </c>
      <c r="F208" s="817" t="s">
        <v>38</v>
      </c>
      <c r="G208" s="817" t="s">
        <v>39</v>
      </c>
      <c r="H208" s="819" t="s">
        <v>40</v>
      </c>
    </row>
    <row r="209" spans="1:8" s="701" customFormat="1" ht="15">
      <c r="A209" s="820" t="str">
        <f>'General(R)'!B103</f>
        <v>Months</v>
      </c>
      <c r="B209" s="703" t="s">
        <v>41</v>
      </c>
      <c r="C209" s="703" t="s">
        <v>42</v>
      </c>
      <c r="D209" s="703" t="s">
        <v>42</v>
      </c>
      <c r="E209" s="703" t="s">
        <v>42</v>
      </c>
      <c r="F209" s="703" t="s">
        <v>42</v>
      </c>
      <c r="G209" s="703" t="s">
        <v>42</v>
      </c>
      <c r="H209" s="821" t="s">
        <v>28</v>
      </c>
    </row>
    <row r="210" spans="1:8" s="701" customFormat="1" ht="15.75">
      <c r="A210" s="760" t="str">
        <f>'General(R)'!B104</f>
        <v>Calls</v>
      </c>
      <c r="B210" s="705"/>
      <c r="C210" s="705"/>
      <c r="D210" s="705"/>
      <c r="E210" s="705"/>
      <c r="F210" s="705"/>
      <c r="G210" s="705"/>
      <c r="H210" s="749"/>
    </row>
    <row r="211" spans="1:8" s="701" customFormat="1" ht="15">
      <c r="A211" s="750">
        <f>'General(R)'!B105</f>
        <v>0</v>
      </c>
      <c r="B211" s="761">
        <f>'General(R)'!C105</f>
        <v>0</v>
      </c>
      <c r="C211" s="761">
        <f>'General(R)'!D105</f>
        <v>0</v>
      </c>
      <c r="D211" s="761">
        <f>'General(R)'!E105</f>
        <v>0</v>
      </c>
      <c r="E211" s="761">
        <f>'General(R)'!F105</f>
        <v>0</v>
      </c>
      <c r="F211" s="761">
        <f>'General(R)'!G105</f>
        <v>0</v>
      </c>
      <c r="G211" s="761">
        <f>'General(R)'!H105</f>
        <v>0</v>
      </c>
      <c r="H211" s="762">
        <f>'General(R)'!I105</f>
        <v>0</v>
      </c>
    </row>
    <row r="212" spans="1:8" s="701" customFormat="1" ht="15">
      <c r="A212" s="750">
        <f>'General(R)'!B106</f>
        <v>0</v>
      </c>
      <c r="B212" s="761">
        <f>'General(R)'!C106</f>
        <v>0</v>
      </c>
      <c r="C212" s="761">
        <f>'General(R)'!D106</f>
        <v>0</v>
      </c>
      <c r="D212" s="761">
        <f>'General(R)'!E106</f>
        <v>0</v>
      </c>
      <c r="E212" s="761">
        <f>'General(R)'!F106</f>
        <v>0</v>
      </c>
      <c r="F212" s="761">
        <f>'General(R)'!G106</f>
        <v>0</v>
      </c>
      <c r="G212" s="761">
        <f>'General(R)'!H106</f>
        <v>0</v>
      </c>
      <c r="H212" s="762">
        <f>'General(R)'!I106</f>
        <v>0</v>
      </c>
    </row>
    <row r="213" spans="1:8" s="701" customFormat="1" ht="15" customHeight="1">
      <c r="A213" s="763" t="str">
        <f>'General(R)'!B107</f>
        <v>Puts</v>
      </c>
      <c r="B213" s="764"/>
      <c r="C213" s="765"/>
      <c r="D213" s="765"/>
      <c r="E213" s="765"/>
      <c r="F213" s="765"/>
      <c r="G213" s="766"/>
      <c r="H213" s="767"/>
    </row>
    <row r="214" spans="1:8" s="701" customFormat="1" ht="15.75" thickBot="1">
      <c r="A214" s="768">
        <f>'General(R)'!B108</f>
        <v>0</v>
      </c>
      <c r="B214" s="769">
        <f>'General(R)'!C108</f>
        <v>0</v>
      </c>
      <c r="C214" s="769">
        <f>'General(R)'!D108</f>
        <v>0</v>
      </c>
      <c r="D214" s="769">
        <f>'General(R)'!E108</f>
        <v>0</v>
      </c>
      <c r="E214" s="769">
        <f>'General(R)'!F108</f>
        <v>0</v>
      </c>
      <c r="F214" s="769">
        <f>'General(R)'!G108</f>
        <v>0</v>
      </c>
      <c r="G214" s="769">
        <f>'General(R)'!H108</f>
        <v>0</v>
      </c>
      <c r="H214" s="770">
        <f>'General(R)'!I108</f>
        <v>0</v>
      </c>
    </row>
    <row r="215" spans="1:8" s="771" customFormat="1" ht="15" thickBot="1"/>
    <row r="216" spans="1:8" s="771" customFormat="1" ht="16.5" thickBot="1">
      <c r="A216" s="1216" t="s">
        <v>0</v>
      </c>
      <c r="B216" s="1217"/>
      <c r="C216" s="1217"/>
      <c r="D216" s="1218"/>
      <c r="E216" s="772"/>
    </row>
    <row r="217" spans="1:8" s="771" customFormat="1" ht="18.75" ph="1">
      <c r="A217" s="773"/>
      <c r="B217" s="774"/>
      <c r="C217" s="775" t="s">
        <v>2</v>
      </c>
      <c r="D217" s="776" t="s">
        <v>284</v>
      </c>
      <c r="E217" s="777"/>
      <c r="F217" s="771"/>
      <c r="G217" s="771"/>
      <c r="H217" s="771"/>
    </row>
    <row r="218" spans="1:8" s="771" customFormat="1" ht="15.75">
      <c r="A218" s="778" t="s">
        <v>4</v>
      </c>
      <c r="B218" s="779"/>
      <c r="C218" s="780">
        <f>'General(R)'!F25</f>
        <v>9239</v>
      </c>
      <c r="D218" s="781">
        <f>SUM(D219:D225)</f>
        <v>87339</v>
      </c>
    </row>
    <row r="219" spans="1:8" s="771" customFormat="1" ht="15.75" customHeight="1">
      <c r="A219" s="778" t="s">
        <v>218</v>
      </c>
      <c r="B219" s="779"/>
      <c r="C219" s="780">
        <f>'General(R)'!F18</f>
        <v>3324</v>
      </c>
      <c r="D219" s="781">
        <f>'General(R)'!D78</f>
        <v>32060</v>
      </c>
    </row>
    <row r="220" spans="1:8" s="771" customFormat="1" ht="15.75" customHeight="1">
      <c r="A220" s="778" t="s">
        <v>209</v>
      </c>
      <c r="B220" s="779"/>
      <c r="C220" s="780">
        <f>'General(R)'!F19</f>
        <v>0</v>
      </c>
      <c r="D220" s="781">
        <f>'General(R)'!D100</f>
        <v>0</v>
      </c>
    </row>
    <row r="221" spans="1:8" s="771" customFormat="1" ht="15.75" customHeight="1">
      <c r="A221" s="778" t="s">
        <v>219</v>
      </c>
      <c r="B221" s="779"/>
      <c r="C221" s="780">
        <f>'General(R)'!F20</f>
        <v>3867</v>
      </c>
      <c r="D221" s="781">
        <f>'General(R)'!D123</f>
        <v>36436</v>
      </c>
    </row>
    <row r="222" spans="1:8" s="771" customFormat="1" ht="15.75" customHeight="1">
      <c r="A222" s="778" t="s">
        <v>220</v>
      </c>
      <c r="B222" s="779"/>
      <c r="C222" s="780">
        <f>'General(R)'!F21</f>
        <v>1946</v>
      </c>
      <c r="D222" s="781">
        <f>'General(R)'!D164</f>
        <v>16413</v>
      </c>
    </row>
    <row r="223" spans="1:8" s="771" customFormat="1" ht="15.75" customHeight="1" ph="1">
      <c r="A223" s="778" t="s">
        <v>260</v>
      </c>
      <c r="B223" s="807"/>
      <c r="C223" s="780">
        <f>'General(R)'!F22</f>
        <v>52</v>
      </c>
      <c r="D223" s="808">
        <f>'General(R)'!D200</f>
        <v>1310</v>
      </c>
      <c r="E223" s="771"/>
      <c r="F223" s="771"/>
      <c r="G223" s="771"/>
      <c r="H223" s="771"/>
    </row>
    <row r="224" spans="1:8" s="771" customFormat="1" ht="15.75" customHeight="1">
      <c r="A224" s="778" t="s">
        <v>263</v>
      </c>
      <c r="B224" s="779"/>
      <c r="C224" s="787">
        <f>'General(R)'!F23</f>
        <v>50</v>
      </c>
      <c r="D224" s="781">
        <f>'General(R)'!D218</f>
        <v>1120</v>
      </c>
    </row>
    <row r="225" spans="1:5" s="771" customFormat="1" ht="15.75" customHeight="1">
      <c r="A225" s="778" t="s">
        <v>264</v>
      </c>
      <c r="B225" s="779"/>
      <c r="C225" s="787">
        <f>'General(R)'!F24</f>
        <v>0</v>
      </c>
      <c r="D225" s="781">
        <f>'General(R)'!D236</f>
        <v>0</v>
      </c>
    </row>
    <row r="226" spans="1:5" s="771" customFormat="1" ht="31.5">
      <c r="A226" s="782" t="s">
        <v>128</v>
      </c>
      <c r="B226" s="784" t="s">
        <v>7</v>
      </c>
      <c r="C226" s="783" t="str">
        <f>'General(R)'!D37</f>
        <v>16,854 (Highest since Jul-00)</v>
      </c>
      <c r="D226" s="785" t="str">
        <f>'General(R)'!H37</f>
        <v>(21/10/03)</v>
      </c>
    </row>
    <row r="227" spans="1:5" s="771" customFormat="1" ht="15.75" ph="1">
      <c r="A227" s="1076" t="s">
        <v>98</v>
      </c>
      <c r="B227" s="1077"/>
      <c r="C227" s="1078">
        <f>'General(R)'!D38</f>
        <v>11238</v>
      </c>
      <c r="D227" s="1079" t="str">
        <f>'General(R)'!H38</f>
        <v>(07/09/98)</v>
      </c>
      <c r="E227" s="771"/>
    </row>
    <row r="228" spans="1:5" s="771" customFormat="1" ht="15.75">
      <c r="A228" s="1076" t="s">
        <v>127</v>
      </c>
      <c r="B228" s="1077"/>
      <c r="C228" s="1078">
        <f>'General(R)'!D39</f>
        <v>105</v>
      </c>
      <c r="D228" s="1079" t="str">
        <f>'General(R)'!H39</f>
        <v>(01/12/00)</v>
      </c>
    </row>
    <row r="229" spans="1:5" s="771" customFormat="1" ht="15.75">
      <c r="A229" s="1076" t="s">
        <v>129</v>
      </c>
      <c r="B229" s="1077"/>
      <c r="C229" s="1078">
        <f>'General(R)'!D40</f>
        <v>14508</v>
      </c>
      <c r="D229" s="1079" t="str">
        <f>'General(R)'!H40</f>
        <v>(21/10/03)</v>
      </c>
    </row>
    <row r="230" spans="1:5" s="771" customFormat="1" ht="15.75">
      <c r="A230" s="1076" t="s">
        <v>126</v>
      </c>
      <c r="B230" s="1077"/>
      <c r="C230" s="1078">
        <f>'General(R)'!D41</f>
        <v>6001</v>
      </c>
      <c r="D230" s="1079" t="str">
        <f>'General(R)'!H41</f>
        <v>(21/07/03)</v>
      </c>
    </row>
    <row r="231" spans="1:5" s="771" customFormat="1" ht="15.75">
      <c r="A231" s="1076" t="s">
        <v>213</v>
      </c>
      <c r="B231" s="1077"/>
      <c r="C231" s="1078">
        <f>'General(R)'!D42</f>
        <v>3215</v>
      </c>
      <c r="D231" s="1079" t="str">
        <f>'General(R)'!H42</f>
        <v>(16/07/03)</v>
      </c>
    </row>
    <row r="232" spans="1:5" s="771" customFormat="1" ht="15.75">
      <c r="A232" s="1076" t="s">
        <v>250</v>
      </c>
      <c r="B232" s="1077"/>
      <c r="C232" s="1080">
        <f>'General(R)'!D43</f>
        <v>1</v>
      </c>
      <c r="D232" s="1079" t="str">
        <f>'General(R)'!H43</f>
        <v>(19/09/03)</v>
      </c>
    </row>
    <row r="233" spans="1:5" s="771" customFormat="1" ht="15.75">
      <c r="A233" s="1076" t="s">
        <v>265</v>
      </c>
      <c r="B233" s="1077"/>
      <c r="C233" s="1078">
        <f>'General(R)'!D44</f>
        <v>11</v>
      </c>
      <c r="D233" s="1079" t="str">
        <f>'General(R)'!H44</f>
        <v>(19/09/03)</v>
      </c>
    </row>
    <row r="234" spans="1:5" s="771" customFormat="1" ht="15.75">
      <c r="A234" s="778" t="s">
        <v>107</v>
      </c>
      <c r="B234" s="779"/>
      <c r="C234" s="786">
        <f>SUM(C235:C239)</f>
        <v>56612</v>
      </c>
      <c r="D234" s="788"/>
      <c r="E234" s="777"/>
    </row>
    <row r="235" spans="1:5" s="771" customFormat="1" ht="15.75">
      <c r="A235" s="778" t="s">
        <v>5</v>
      </c>
      <c r="B235" s="779"/>
      <c r="C235" s="787">
        <f>'General(R)'!F78</f>
        <v>16406</v>
      </c>
      <c r="D235" s="788"/>
    </row>
    <row r="236" spans="1:5" s="771" customFormat="1" ht="15.75">
      <c r="A236" s="778" t="s">
        <v>6</v>
      </c>
      <c r="B236" s="779"/>
      <c r="C236" s="787">
        <f>'General(R)'!F100</f>
        <v>0</v>
      </c>
      <c r="D236" s="788"/>
    </row>
    <row r="237" spans="1:5" s="771" customFormat="1" ht="15.75">
      <c r="A237" s="778" t="s">
        <v>119</v>
      </c>
      <c r="B237" s="779"/>
      <c r="C237" s="787">
        <f>'General(R)'!F123</f>
        <v>21153</v>
      </c>
      <c r="D237" s="788"/>
    </row>
    <row r="238" spans="1:5" s="771" customFormat="1" ht="15.75">
      <c r="A238" s="778" t="s">
        <v>120</v>
      </c>
      <c r="B238" s="779"/>
      <c r="C238" s="787">
        <f>'General(R)'!F164</f>
        <v>18006</v>
      </c>
      <c r="D238" s="788"/>
    </row>
    <row r="239" spans="1:5" s="771" customFormat="1" ht="15.75">
      <c r="A239" s="778" t="s">
        <v>212</v>
      </c>
      <c r="B239" s="779"/>
      <c r="C239" s="787">
        <f>'General(R)'!F200</f>
        <v>1047</v>
      </c>
      <c r="D239" s="788"/>
    </row>
    <row r="240" spans="1:5" s="771" customFormat="1" ht="15.75">
      <c r="A240" s="778" t="s">
        <v>248</v>
      </c>
      <c r="B240" s="779"/>
      <c r="C240" s="787">
        <f>'General(R)'!F218</f>
        <v>220</v>
      </c>
      <c r="D240" s="788"/>
    </row>
    <row r="241" spans="1:7" s="771" customFormat="1" ht="15.75">
      <c r="A241" s="778" t="s">
        <v>266</v>
      </c>
      <c r="B241" s="779"/>
      <c r="C241" s="787">
        <f>'General(R)'!F236</f>
        <v>0</v>
      </c>
      <c r="D241" s="788"/>
    </row>
    <row r="242" spans="1:7" s="771" customFormat="1" ht="15.75">
      <c r="A242" s="778" t="s">
        <v>108</v>
      </c>
      <c r="B242" s="779"/>
      <c r="C242" s="789"/>
      <c r="D242" s="788"/>
    </row>
    <row r="243" spans="1:7" s="771" customFormat="1" ht="15.75">
      <c r="A243" s="778" t="s">
        <v>5</v>
      </c>
      <c r="B243" s="779"/>
      <c r="C243" s="789">
        <f>'General(R)'!I78</f>
        <v>137618375</v>
      </c>
      <c r="D243" s="788"/>
      <c r="F243" s="790"/>
    </row>
    <row r="244" spans="1:7" s="771" customFormat="1" ht="15.75">
      <c r="A244" s="778" t="s">
        <v>6</v>
      </c>
      <c r="B244" s="779"/>
      <c r="C244" s="789">
        <f>'General(R)'!I100</f>
        <v>0</v>
      </c>
      <c r="D244" s="788"/>
      <c r="F244"/>
    </row>
    <row r="245" spans="1:7" s="771" customFormat="1" ht="15.75">
      <c r="A245" s="778" t="s">
        <v>181</v>
      </c>
      <c r="B245" s="779"/>
      <c r="C245" s="787">
        <f>'General(R)'!I123</f>
        <v>96675</v>
      </c>
      <c r="D245" s="788"/>
      <c r="F245"/>
    </row>
    <row r="246" spans="1:7" s="771" customFormat="1" ht="15.75">
      <c r="A246" s="778" t="s">
        <v>120</v>
      </c>
      <c r="B246" s="779"/>
      <c r="C246" s="789">
        <f>'General(R)'!I164</f>
        <v>1946000000</v>
      </c>
      <c r="D246" s="788"/>
      <c r="F246" s="791"/>
    </row>
    <row r="247" spans="1:7" s="771" customFormat="1" ht="15.75">
      <c r="A247" s="778" t="s">
        <v>212</v>
      </c>
      <c r="B247" s="779"/>
      <c r="C247" s="789">
        <f>'General(R)'!I200</f>
        <v>5200000</v>
      </c>
      <c r="D247" s="788"/>
      <c r="F247" s="791"/>
    </row>
    <row r="248" spans="1:7" s="771" customFormat="1" ht="15.75">
      <c r="A248" s="778" t="s">
        <v>248</v>
      </c>
      <c r="B248" s="779"/>
      <c r="C248" s="789">
        <f>'General(R)'!I218</f>
        <v>5000000</v>
      </c>
      <c r="D248" s="788"/>
      <c r="F248" s="791"/>
    </row>
    <row r="249" spans="1:7" s="771" customFormat="1" ht="15.75" ph="1">
      <c r="A249" s="778" t="s">
        <v>266</v>
      </c>
      <c r="B249" s="779"/>
      <c r="C249" s="789">
        <f>'General(R)'!I236</f>
        <v>0</v>
      </c>
      <c r="D249" s="788"/>
      <c r="E249" s="771"/>
      <c r="F249" s="791"/>
      <c r="G249" s="771"/>
    </row>
    <row r="250" spans="1:7" s="771" customFormat="1" ht="15.75">
      <c r="A250" s="778" t="s">
        <v>105</v>
      </c>
      <c r="B250" s="779"/>
      <c r="C250" s="792">
        <f>F18</f>
        <v>815.98</v>
      </c>
      <c r="D250" s="788"/>
      <c r="F250"/>
    </row>
    <row r="251" spans="1:7" s="771" customFormat="1" ht="15.75">
      <c r="A251" s="778" t="s">
        <v>10</v>
      </c>
      <c r="B251" s="779"/>
      <c r="C251" s="792">
        <f>'General(R)'!F48</f>
        <v>823.5</v>
      </c>
      <c r="D251" s="788"/>
      <c r="F251"/>
    </row>
    <row r="252" spans="1:7" s="771" customFormat="1" ht="15.75">
      <c r="A252" s="778" t="s">
        <v>11</v>
      </c>
      <c r="B252" s="779"/>
      <c r="C252" s="792">
        <f>C251-C250</f>
        <v>7.5199999999999818</v>
      </c>
      <c r="D252" s="788"/>
      <c r="F252"/>
    </row>
    <row r="253" spans="1:7" s="771" customFormat="1" ht="16.5" thickBot="1">
      <c r="A253" s="793" t="s">
        <v>182</v>
      </c>
      <c r="B253" s="794"/>
      <c r="C253" s="795">
        <f>C250+0.3</f>
        <v>816.28</v>
      </c>
      <c r="D253" s="796"/>
      <c r="F253"/>
    </row>
    <row r="254" spans="1:7" s="771" customFormat="1" ht="11.25" customHeight="1">
      <c r="A254" s="797"/>
      <c r="B254" s="790"/>
      <c r="C254" s="798"/>
      <c r="D254" s="790"/>
      <c r="E254" s="790"/>
      <c r="F254"/>
      <c r="G254" s="790"/>
    </row>
    <row r="255" spans="1:7" s="771" customFormat="1" ht="15.75" ph="1">
      <c r="A255" s="799" t="s">
        <v>183</v>
      </c>
      <c r="B255" s="800"/>
      <c r="C255"/>
      <c r="D255"/>
      <c r="E255"/>
      <c r="F255"/>
      <c r="G255"/>
    </row>
    <row r="256" spans="1:7" s="771" customFormat="1" ht="14.25">
      <c r="A256" s="801" t="s">
        <v>184</v>
      </c>
      <c r="B256" s="72"/>
      <c r="C256" s="802" t="s">
        <v>185</v>
      </c>
      <c r="D256" s="791"/>
      <c r="E256" s="791"/>
      <c r="F256"/>
      <c r="G256" s="791"/>
    </row>
    <row r="257" spans="1:8" s="771" customFormat="1" ht="14.25">
      <c r="A257"/>
      <c r="B257"/>
      <c r="C257" s="802" t="s">
        <v>186</v>
      </c>
      <c r="D257"/>
      <c r="E257"/>
      <c r="F257"/>
      <c r="G257"/>
    </row>
    <row r="258" spans="1:8" s="771" customFormat="1" ht="14.25">
      <c r="A258" s="801" t="s">
        <v>187</v>
      </c>
      <c r="B258"/>
      <c r="C258" s="802" t="s">
        <v>188</v>
      </c>
      <c r="D258"/>
      <c r="E258"/>
      <c r="F258"/>
      <c r="G258"/>
    </row>
    <row r="259" spans="1:8" s="771" customFormat="1" ht="14.25" ph="1">
      <c r="A259" s="801" t="s">
        <v>189</v>
      </c>
      <c r="B259"/>
      <c r="C259" s="802" t="s">
        <v>190</v>
      </c>
      <c r="D259"/>
      <c r="E259"/>
      <c r="F259"/>
      <c r="G259"/>
      <c r="H259" s="771"/>
    </row>
    <row r="260" spans="1:8" s="771" customFormat="1" ht="14.25">
      <c r="A260" s="801" t="s">
        <v>191</v>
      </c>
      <c r="B260"/>
      <c r="C260" s="802" t="s">
        <v>192</v>
      </c>
      <c r="D260"/>
      <c r="E260"/>
      <c r="F260"/>
      <c r="G260"/>
    </row>
    <row r="261" spans="1:8" s="771" customFormat="1" ht="14.25">
      <c r="A261" s="801" t="s">
        <v>193</v>
      </c>
      <c r="B261"/>
      <c r="C261" s="802" t="s">
        <v>194</v>
      </c>
      <c r="D261"/>
      <c r="E261"/>
      <c r="F261"/>
      <c r="G261"/>
    </row>
    <row r="262" spans="1:8" s="771" customFormat="1" ht="14.25">
      <c r="A262" s="801" t="s">
        <v>215</v>
      </c>
      <c r="B262"/>
      <c r="C262" s="802" t="s">
        <v>217</v>
      </c>
      <c r="D262"/>
      <c r="E262"/>
      <c r="F262"/>
      <c r="G262"/>
    </row>
    <row r="263" spans="1:8" s="771" customFormat="1" ht="14.25">
      <c r="A263" s="1075" t="s">
        <v>261</v>
      </c>
      <c r="B263"/>
      <c r="C263" s="802" t="s">
        <v>258</v>
      </c>
      <c r="D263"/>
      <c r="E263"/>
      <c r="F263"/>
      <c r="G263"/>
    </row>
    <row r="264" spans="1:8" s="771" customFormat="1" ht="14.25">
      <c r="A264" s="1075" t="s">
        <v>262</v>
      </c>
      <c r="B264"/>
      <c r="C264" s="802" t="s">
        <v>259</v>
      </c>
      <c r="D264"/>
      <c r="E264"/>
      <c r="F264"/>
      <c r="G264"/>
    </row>
    <row r="265" spans="1:8" s="771" customFormat="1" ht="14.25">
      <c r="A265" s="72" t="s">
        <v>273</v>
      </c>
      <c r="B265"/>
      <c r="C265" s="803" t="s">
        <v>195</v>
      </c>
      <c r="D265"/>
      <c r="E265"/>
      <c r="F265" s="12"/>
      <c r="G265"/>
    </row>
    <row r="266" spans="1:8" s="771" customFormat="1" ht="14.25">
      <c r="A266" s="72" t="s">
        <v>274</v>
      </c>
      <c r="B266" s="72"/>
      <c r="C266" s="802" t="s">
        <v>196</v>
      </c>
      <c r="D266"/>
      <c r="E266"/>
      <c r="F266" s="12"/>
      <c r="G266"/>
    </row>
    <row r="267" spans="1:8" s="771" customFormat="1" ht="14.25">
      <c r="A267" s="72" t="s">
        <v>275</v>
      </c>
      <c r="B267" s="72"/>
      <c r="C267" s="802" t="s">
        <v>197</v>
      </c>
      <c r="D267"/>
      <c r="E267"/>
      <c r="F267" s="12"/>
      <c r="G267"/>
    </row>
    <row r="268" spans="1:8" ht="14.25">
      <c r="A268" s="72" t="s">
        <v>276</v>
      </c>
      <c r="B268" s="72"/>
      <c r="C268" s="802" t="s">
        <v>198</v>
      </c>
      <c r="F268" s="12"/>
      <c r="H268" s="771"/>
    </row>
    <row r="269" spans="1:8" ht="14.25">
      <c r="A269" s="72" t="s">
        <v>216</v>
      </c>
      <c r="B269" s="72"/>
      <c r="C269" s="802" t="s">
        <v>199</v>
      </c>
      <c r="F269" s="12"/>
      <c r="H269" s="771"/>
    </row>
    <row r="270" spans="1:8" ht="14.25">
      <c r="A270" s="72"/>
      <c r="B270" s="72"/>
      <c r="C270" s="802" t="s">
        <v>200</v>
      </c>
      <c r="F270" s="12"/>
      <c r="H270" s="771"/>
    </row>
    <row r="271" spans="1:8" ht="14.25">
      <c r="A271" s="72"/>
      <c r="B271" s="72"/>
      <c r="C271" s="802" t="s">
        <v>201</v>
      </c>
      <c r="F271" s="12"/>
      <c r="H271" s="771"/>
    </row>
    <row r="272" spans="1:8" ht="9" customHeight="1">
      <c r="A272" s="72"/>
      <c r="B272" s="72"/>
      <c r="C272" s="802"/>
      <c r="F272" s="12"/>
      <c r="H272" s="771"/>
    </row>
    <row r="273" spans="1:6" ht="15">
      <c r="A273" s="804" t="s">
        <v>202</v>
      </c>
      <c r="F273" s="12"/>
    </row>
    <row r="274" spans="1:6">
      <c r="F274" s="12"/>
    </row>
    <row r="275" spans="1:6">
      <c r="F275" s="12"/>
    </row>
    <row r="276" spans="1:6">
      <c r="F276" s="12"/>
    </row>
    <row r="277" spans="1:6">
      <c r="F277" s="12"/>
    </row>
    <row r="278" spans="1:6">
      <c r="F278" s="12"/>
    </row>
    <row r="279" spans="1:6">
      <c r="F279" s="12"/>
    </row>
    <row r="280" spans="1:6">
      <c r="F280" s="12"/>
    </row>
    <row r="281" spans="1:6">
      <c r="F281" s="12"/>
    </row>
    <row r="282" spans="1:6">
      <c r="F282" s="12"/>
    </row>
    <row r="283" spans="1:6">
      <c r="F283" s="12"/>
    </row>
    <row r="284" spans="1:6">
      <c r="F284" s="12"/>
    </row>
    <row r="285" spans="1:6">
      <c r="F285" s="12"/>
    </row>
    <row r="286" spans="1:6">
      <c r="F286" s="12"/>
    </row>
    <row r="287" spans="1:6">
      <c r="F287" s="12"/>
    </row>
    <row r="288" spans="1:6">
      <c r="F288" s="12"/>
    </row>
    <row r="289" spans="6:6">
      <c r="F289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5" spans="6:6">
      <c r="F295" s="12"/>
    </row>
    <row r="296" spans="6:6">
      <c r="F296" s="12"/>
    </row>
    <row r="297" spans="6:6">
      <c r="F297" s="12"/>
    </row>
    <row r="298" spans="6:6">
      <c r="F298" s="12"/>
    </row>
    <row r="299" spans="6:6">
      <c r="F299" s="12"/>
    </row>
    <row r="300" spans="6:6">
      <c r="F300" s="12"/>
    </row>
    <row r="303" spans="6:6">
      <c r="F303" s="12"/>
    </row>
    <row r="304" spans="6:6">
      <c r="F304" s="12"/>
    </row>
    <row r="305" spans="1:6">
      <c r="F305" s="12"/>
    </row>
    <row r="308" spans="1:6">
      <c r="F308" s="12"/>
    </row>
    <row r="309" spans="1:6">
      <c r="F309" s="12"/>
    </row>
    <row r="310" spans="1:6">
      <c r="F310" s="12"/>
    </row>
    <row r="311" spans="1:6">
      <c r="F311" s="12"/>
    </row>
    <row r="312" spans="1:6" ht="9" customHeight="1"/>
    <row r="313" spans="1:6" ht="15">
      <c r="A313" s="804" t="s">
        <v>203</v>
      </c>
      <c r="F313" s="12"/>
    </row>
    <row r="314" spans="1:6">
      <c r="F314" s="12"/>
    </row>
    <row r="315" spans="1:6">
      <c r="F315" s="12"/>
    </row>
    <row r="316" spans="1:6">
      <c r="F316" s="12"/>
    </row>
    <row r="317" spans="1:6">
      <c r="F317" s="12"/>
    </row>
    <row r="318" spans="1:6">
      <c r="F318" s="12"/>
    </row>
    <row r="319" spans="1:6">
      <c r="F319" s="12"/>
    </row>
    <row r="320" spans="1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5" spans="6:6">
      <c r="F325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  <row r="330" spans="6:6">
      <c r="F330" s="12"/>
    </row>
    <row r="331" spans="6:6">
      <c r="F331" s="12"/>
    </row>
    <row r="332" spans="6:6">
      <c r="F332" s="12"/>
    </row>
    <row r="333" spans="6:6">
      <c r="F333" s="12"/>
    </row>
    <row r="334" spans="6:6">
      <c r="F334" s="12"/>
    </row>
    <row r="335" spans="6:6">
      <c r="F335" s="12"/>
    </row>
    <row r="336" spans="6:6">
      <c r="F336" s="12"/>
    </row>
    <row r="337" spans="6:6">
      <c r="F337" s="12"/>
    </row>
    <row r="338" spans="6:6">
      <c r="F338" s="12"/>
    </row>
    <row r="339" spans="6:6">
      <c r="F339" s="12"/>
    </row>
    <row r="340" spans="6:6">
      <c r="F340" s="12"/>
    </row>
    <row r="341" spans="6:6">
      <c r="F341" s="12"/>
    </row>
    <row r="342" spans="6:6">
      <c r="F342" s="12"/>
    </row>
    <row r="343" spans="6:6">
      <c r="F343" s="12"/>
    </row>
    <row r="344" spans="6:6">
      <c r="F344" s="12"/>
    </row>
    <row r="347" spans="6:6">
      <c r="F347" s="12"/>
    </row>
    <row r="348" spans="6:6">
      <c r="F348" s="12"/>
    </row>
    <row r="349" spans="6:6">
      <c r="F349" s="12"/>
    </row>
    <row r="351" spans="6:6">
      <c r="F351" s="12"/>
    </row>
    <row r="358" spans="1:1" ht="15">
      <c r="A358" s="804" t="s">
        <v>227</v>
      </c>
    </row>
    <row r="395" spans="1:1" ht="15">
      <c r="A395" s="804" t="s">
        <v>228</v>
      </c>
    </row>
    <row r="433" spans="1:2" ht="15">
      <c r="A433" s="771" t="s">
        <v>210</v>
      </c>
    </row>
    <row r="434" spans="1:2" ht="14.25">
      <c r="A434" s="771" t="s">
        <v>204</v>
      </c>
    </row>
    <row r="443" spans="1:2">
      <c r="B443" t="s">
        <v>74</v>
      </c>
    </row>
  </sheetData>
  <mergeCells count="1">
    <mergeCell ref="A216:D216"/>
  </mergeCells>
  <phoneticPr fontId="69" type="noConversion"/>
  <pageMargins left="0.37" right="0" top="0.4" bottom="0.4" header="0.5" footer="0.5"/>
  <pageSetup paperSize="9" scale="71" orientation="portrait" horizontalDpi="300" verticalDpi="300" r:id="rId1"/>
  <headerFooter alignWithMargins="0">
    <oddFooter>&amp;RPage &amp;P</oddFooter>
  </headerFooter>
  <rowBreaks count="6" manualBreakCount="6">
    <brk id="62" max="7" man="1"/>
    <brk id="121" max="16383" man="1"/>
    <brk id="167" max="7" man="1"/>
    <brk id="215" max="16383" man="1"/>
    <brk id="272" max="7" man="1"/>
    <brk id="3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Q1552"/>
  <sheetViews>
    <sheetView showGridLines="0" topLeftCell="A52" zoomScaleSheetLayoutView="100" workbookViewId="0">
      <selection activeCell="D76" sqref="D76"/>
    </sheetView>
  </sheetViews>
  <sheetFormatPr defaultColWidth="7.85546875" defaultRowHeight="12.75"/>
  <cols>
    <col min="1" max="1" width="3" style="1" customWidth="1"/>
    <col min="2" max="2" width="8.140625" style="1" customWidth="1"/>
    <col min="3" max="3" width="15.28515625" style="1" customWidth="1"/>
    <col min="4" max="4" width="10.85546875" style="1098" customWidth="1"/>
    <col min="5" max="5" width="11.42578125" style="1" customWidth="1"/>
    <col min="6" max="6" width="10.85546875" style="1" customWidth="1"/>
    <col min="7" max="7" width="11.42578125" style="1" customWidth="1"/>
    <col min="8" max="8" width="10.42578125" style="1" customWidth="1"/>
    <col min="9" max="9" width="13" style="1" customWidth="1"/>
    <col min="10" max="10" width="10" style="1" customWidth="1"/>
    <col min="11" max="16384" width="7.85546875" style="1"/>
  </cols>
  <sheetData>
    <row r="6" spans="1:10">
      <c r="J6" s="1" t="s">
        <v>242</v>
      </c>
    </row>
    <row r="9" spans="1:10" ht="20.25">
      <c r="B9" s="1035" t="s">
        <v>237</v>
      </c>
      <c r="C9" s="695"/>
      <c r="D9" s="1099"/>
      <c r="E9" s="695"/>
      <c r="F9" s="695"/>
      <c r="G9" s="695"/>
      <c r="H9" s="865" t="s">
        <v>301</v>
      </c>
      <c r="I9" s="695"/>
      <c r="J9" s="695"/>
    </row>
    <row r="10" spans="1:10">
      <c r="G10" s="1" t="s">
        <v>74</v>
      </c>
    </row>
    <row r="11" spans="1:10" ht="15" customHeight="1">
      <c r="B11" s="1182"/>
      <c r="C11" s="2"/>
      <c r="D11" s="1183"/>
      <c r="E11" s="2"/>
      <c r="F11" s="2"/>
      <c r="G11" s="2"/>
      <c r="H11" s="2"/>
      <c r="I11" s="2" t="s">
        <v>292</v>
      </c>
    </row>
    <row r="12" spans="1:10" ht="15" customHeight="1">
      <c r="B12" s="1182"/>
      <c r="C12" s="1184"/>
      <c r="D12" s="1183"/>
      <c r="E12" s="2"/>
      <c r="F12" s="1185"/>
      <c r="G12" s="1184"/>
      <c r="H12" s="2"/>
      <c r="I12" s="2"/>
    </row>
    <row r="13" spans="1:10" ht="15" customHeight="1">
      <c r="B13" s="1182"/>
      <c r="C13" s="1186"/>
      <c r="D13" s="1183"/>
      <c r="E13" s="2"/>
      <c r="F13" s="1082"/>
      <c r="G13" s="2"/>
      <c r="H13" s="2"/>
      <c r="I13" s="2"/>
    </row>
    <row r="14" spans="1:10" ht="15" customHeight="1">
      <c r="B14" s="1182"/>
      <c r="C14" s="1186"/>
      <c r="D14" s="1183"/>
      <c r="E14" s="2"/>
      <c r="F14" s="1082"/>
      <c r="G14" s="2"/>
      <c r="H14" s="2"/>
      <c r="I14" s="2"/>
    </row>
    <row r="15" spans="1:10" ht="13.5" thickBot="1"/>
    <row r="16" spans="1:10" ht="15.75" thickBot="1">
      <c r="A16"/>
      <c r="B16" s="155" t="s">
        <v>0</v>
      </c>
      <c r="C16" s="156"/>
      <c r="D16" s="1100"/>
      <c r="E16" s="127"/>
      <c r="F16" s="127"/>
      <c r="G16" s="127"/>
      <c r="H16" s="127"/>
      <c r="I16" s="157"/>
    </row>
    <row r="17" spans="1:10" ht="12.75" customHeight="1">
      <c r="A17"/>
      <c r="B17" s="904" t="s">
        <v>21</v>
      </c>
      <c r="C17" s="158"/>
      <c r="D17" s="1179" t="s">
        <v>1</v>
      </c>
      <c r="E17" s="159"/>
      <c r="F17" s="160" t="s">
        <v>2</v>
      </c>
      <c r="G17" s="160"/>
      <c r="H17" s="161" t="s">
        <v>3</v>
      </c>
      <c r="I17" s="162"/>
    </row>
    <row r="18" spans="1:10">
      <c r="A18"/>
      <c r="B18" s="163" t="s">
        <v>5</v>
      </c>
      <c r="C18" s="164"/>
      <c r="D18" s="1097"/>
      <c r="E18" s="875">
        <v>2800</v>
      </c>
      <c r="F18" s="392">
        <f>C78</f>
        <v>3324</v>
      </c>
      <c r="G18" s="1066"/>
      <c r="H18" s="338">
        <f>(F18-E18)/E18</f>
        <v>0.18714285714285714</v>
      </c>
      <c r="I18" s="166"/>
    </row>
    <row r="19" spans="1:10">
      <c r="A19"/>
      <c r="B19" s="167" t="s">
        <v>6</v>
      </c>
      <c r="C19" s="165"/>
      <c r="D19" s="1101"/>
      <c r="E19" s="620">
        <v>0</v>
      </c>
      <c r="F19" s="1065">
        <f>C100</f>
        <v>0</v>
      </c>
      <c r="G19" s="1067"/>
      <c r="H19" s="338">
        <v>0</v>
      </c>
      <c r="I19" s="10"/>
    </row>
    <row r="20" spans="1:10">
      <c r="A20"/>
      <c r="B20" s="163" t="s">
        <v>119</v>
      </c>
      <c r="C20" s="165"/>
      <c r="D20" s="1102"/>
      <c r="E20" s="875">
        <v>6086</v>
      </c>
      <c r="F20" s="392">
        <f>C123</f>
        <v>3867</v>
      </c>
      <c r="G20" s="1066"/>
      <c r="H20" s="338">
        <f>(F20-E20)/E20</f>
        <v>-0.36460729543213932</v>
      </c>
      <c r="I20" s="10"/>
    </row>
    <row r="21" spans="1:10" ht="12.75" customHeight="1">
      <c r="A21"/>
      <c r="B21" s="167" t="s">
        <v>120</v>
      </c>
      <c r="C21" s="165"/>
      <c r="D21" s="1102"/>
      <c r="E21" s="619">
        <v>1182</v>
      </c>
      <c r="F21" s="392">
        <f>C164</f>
        <v>1946</v>
      </c>
      <c r="G21" s="1066"/>
      <c r="H21" s="338">
        <f>(F21-E21)/E21</f>
        <v>0.6463620981387479</v>
      </c>
      <c r="I21" s="10"/>
      <c r="J21" s="912"/>
    </row>
    <row r="22" spans="1:10" ht="12.75" customHeight="1">
      <c r="A22"/>
      <c r="B22" s="898" t="s">
        <v>212</v>
      </c>
      <c r="C22" s="899"/>
      <c r="D22" s="1096"/>
      <c r="E22" s="901">
        <v>200</v>
      </c>
      <c r="F22" s="900">
        <f>C200</f>
        <v>52</v>
      </c>
      <c r="G22" s="1068"/>
      <c r="H22" s="338">
        <v>1</v>
      </c>
      <c r="I22" s="902"/>
    </row>
    <row r="23" spans="1:10" ht="12.75" customHeight="1">
      <c r="A23"/>
      <c r="B23" s="898" t="s">
        <v>248</v>
      </c>
      <c r="C23" s="1071"/>
      <c r="D23" s="1097"/>
      <c r="E23" s="901">
        <v>0</v>
      </c>
      <c r="F23" s="392">
        <f>C218</f>
        <v>50</v>
      </c>
      <c r="G23" s="1066"/>
      <c r="H23" s="338" t="e">
        <f>(F23-E23)/E23</f>
        <v>#DIV/0!</v>
      </c>
      <c r="I23" s="10"/>
    </row>
    <row r="24" spans="1:10" ht="12.75" customHeight="1" thickBot="1">
      <c r="A24"/>
      <c r="B24" s="898" t="s">
        <v>249</v>
      </c>
      <c r="C24" s="171"/>
      <c r="D24" s="1103"/>
      <c r="E24" s="901">
        <v>0</v>
      </c>
      <c r="F24" s="39">
        <f>C236</f>
        <v>0</v>
      </c>
      <c r="G24" s="1070"/>
      <c r="H24" s="338">
        <v>0</v>
      </c>
      <c r="I24" s="166"/>
    </row>
    <row r="25" spans="1:10" ht="12.75" customHeight="1" thickBot="1">
      <c r="A25"/>
      <c r="B25" s="913" t="s">
        <v>229</v>
      </c>
      <c r="C25" s="917"/>
      <c r="D25" s="1104"/>
      <c r="E25" s="915">
        <v>10268</v>
      </c>
      <c r="F25" s="128">
        <f>SUM(F18:F24)</f>
        <v>9239</v>
      </c>
      <c r="G25" s="1069"/>
      <c r="H25" s="916">
        <f>(F25-E25)/E25</f>
        <v>-0.1002142578885859</v>
      </c>
      <c r="I25" s="157"/>
    </row>
    <row r="26" spans="1:10" ht="4.5" customHeight="1" thickBot="1">
      <c r="A26"/>
      <c r="B26" s="905"/>
      <c r="C26" s="906"/>
      <c r="D26" s="1105"/>
      <c r="E26" s="908"/>
      <c r="F26" s="907"/>
      <c r="G26" s="909"/>
      <c r="H26" s="910"/>
      <c r="I26" s="911"/>
    </row>
    <row r="27" spans="1:10" ht="12.75" customHeight="1">
      <c r="A27"/>
      <c r="B27" s="904" t="s">
        <v>230</v>
      </c>
      <c r="C27" s="903"/>
      <c r="D27" s="1179" t="s">
        <v>1</v>
      </c>
      <c r="E27" s="159"/>
      <c r="F27" s="160" t="s">
        <v>2</v>
      </c>
      <c r="G27" s="160"/>
      <c r="H27" s="161" t="s">
        <v>3</v>
      </c>
      <c r="I27" s="162"/>
    </row>
    <row r="28" spans="1:10" ht="12.75" customHeight="1">
      <c r="A28"/>
      <c r="B28" s="163" t="s">
        <v>5</v>
      </c>
      <c r="C28" s="165"/>
      <c r="D28" s="1219">
        <v>15476</v>
      </c>
      <c r="E28" s="1220"/>
      <c r="F28" s="1221">
        <f>F78</f>
        <v>16406</v>
      </c>
      <c r="G28" s="1222"/>
      <c r="H28" s="338">
        <f>(F28-D28)/D28</f>
        <v>6.0093047299043682E-2</v>
      </c>
      <c r="I28" s="10"/>
    </row>
    <row r="29" spans="1:10" ht="12.75" customHeight="1">
      <c r="A29"/>
      <c r="B29" s="897" t="s">
        <v>6</v>
      </c>
      <c r="C29" s="165"/>
      <c r="D29" s="1236">
        <v>0</v>
      </c>
      <c r="E29" s="1237"/>
      <c r="F29" s="1234">
        <f>F100</f>
        <v>0</v>
      </c>
      <c r="G29" s="1235"/>
      <c r="H29" s="338">
        <v>0</v>
      </c>
      <c r="I29" s="10"/>
    </row>
    <row r="30" spans="1:10" ht="12.75" customHeight="1">
      <c r="A30"/>
      <c r="B30" s="163" t="s">
        <v>119</v>
      </c>
      <c r="C30" s="165"/>
      <c r="D30" s="1219">
        <v>21067</v>
      </c>
      <c r="E30" s="1220"/>
      <c r="F30" s="1221">
        <f>F123</f>
        <v>21153</v>
      </c>
      <c r="G30" s="1222"/>
      <c r="H30" s="338">
        <f>(F30-D30)/D30</f>
        <v>4.0822138890207436E-3</v>
      </c>
      <c r="I30" s="10"/>
    </row>
    <row r="31" spans="1:10" ht="12.75" customHeight="1">
      <c r="A31"/>
      <c r="B31" s="167" t="s">
        <v>120</v>
      </c>
      <c r="C31" s="165"/>
      <c r="D31" s="1219">
        <v>17306</v>
      </c>
      <c r="E31" s="1220"/>
      <c r="F31" s="1221">
        <f>F164</f>
        <v>18006</v>
      </c>
      <c r="G31" s="1222"/>
      <c r="H31" s="338">
        <f>(F31-D31)/D31</f>
        <v>4.044839939905235E-2</v>
      </c>
      <c r="I31" s="10"/>
    </row>
    <row r="32" spans="1:10" ht="12.75" customHeight="1">
      <c r="A32"/>
      <c r="B32" s="898" t="s">
        <v>212</v>
      </c>
      <c r="C32" s="899"/>
      <c r="D32" s="1228">
        <v>998</v>
      </c>
      <c r="E32" s="1229"/>
      <c r="F32" s="1230">
        <f>F200</f>
        <v>1047</v>
      </c>
      <c r="G32" s="1231"/>
      <c r="H32" s="338">
        <f>(F32-D32)/D32</f>
        <v>4.9098196392785572E-2</v>
      </c>
      <c r="I32" s="902"/>
    </row>
    <row r="33" spans="1:9" ht="12.75" customHeight="1">
      <c r="A33"/>
      <c r="B33" s="898" t="s">
        <v>248</v>
      </c>
      <c r="C33" s="1071"/>
      <c r="D33" s="1228">
        <v>220</v>
      </c>
      <c r="E33" s="1229"/>
      <c r="F33" s="1230">
        <f>F218</f>
        <v>220</v>
      </c>
      <c r="G33" s="1231"/>
      <c r="H33" s="338">
        <f>(F33-D33)/D33</f>
        <v>0</v>
      </c>
      <c r="I33" s="10"/>
    </row>
    <row r="34" spans="1:9" ht="12.75" customHeight="1" thickBot="1">
      <c r="A34"/>
      <c r="B34" s="898" t="s">
        <v>249</v>
      </c>
      <c r="C34" s="1072"/>
      <c r="D34" s="1228">
        <v>0</v>
      </c>
      <c r="E34" s="1229"/>
      <c r="F34" s="1230">
        <f>F236</f>
        <v>0</v>
      </c>
      <c r="G34" s="1231"/>
      <c r="H34" s="338">
        <v>0</v>
      </c>
      <c r="I34" s="1073"/>
    </row>
    <row r="35" spans="1:9" ht="12.75" customHeight="1" thickBot="1">
      <c r="A35"/>
      <c r="B35" s="913" t="s">
        <v>229</v>
      </c>
      <c r="C35" s="914"/>
      <c r="D35" s="1232">
        <v>55067</v>
      </c>
      <c r="E35" s="1233"/>
      <c r="F35" s="1226">
        <f>SUM(F28:F34)</f>
        <v>56832</v>
      </c>
      <c r="G35" s="1227"/>
      <c r="H35" s="916">
        <f>(F35-D35)/D35</f>
        <v>3.2051864092832366E-2</v>
      </c>
      <c r="I35" s="157"/>
    </row>
    <row r="36" spans="1:9" ht="4.5" customHeight="1" thickBot="1">
      <c r="A36"/>
      <c r="B36" s="929"/>
      <c r="C36" s="930"/>
      <c r="D36" s="1106"/>
      <c r="E36" s="932"/>
      <c r="F36" s="931"/>
      <c r="G36" s="931"/>
      <c r="H36" s="933"/>
      <c r="I36" s="934"/>
    </row>
    <row r="37" spans="1:9" ht="25.5">
      <c r="A37"/>
      <c r="B37" s="492" t="s">
        <v>128</v>
      </c>
      <c r="C37" s="493" t="s">
        <v>7</v>
      </c>
      <c r="D37" s="168" t="s">
        <v>293</v>
      </c>
      <c r="E37" s="154"/>
      <c r="F37" s="168"/>
      <c r="G37" s="154"/>
      <c r="H37" s="490" t="s">
        <v>294</v>
      </c>
      <c r="I37" s="491"/>
    </row>
    <row r="38" spans="1:9">
      <c r="A38"/>
      <c r="B38" s="492" t="s">
        <v>98</v>
      </c>
      <c r="C38" s="493"/>
      <c r="D38" s="168">
        <v>11238</v>
      </c>
      <c r="E38" s="154"/>
      <c r="F38" s="168"/>
      <c r="G38" s="154"/>
      <c r="H38" s="490" t="s">
        <v>8</v>
      </c>
      <c r="I38" s="491"/>
    </row>
    <row r="39" spans="1:9">
      <c r="A39"/>
      <c r="B39" s="492" t="s">
        <v>127</v>
      </c>
      <c r="C39" s="493"/>
      <c r="D39" s="168">
        <v>105</v>
      </c>
      <c r="E39" s="154"/>
      <c r="F39" s="168"/>
      <c r="G39" s="154"/>
      <c r="H39" s="490" t="s">
        <v>130</v>
      </c>
      <c r="I39" s="491"/>
    </row>
    <row r="40" spans="1:9">
      <c r="A40"/>
      <c r="B40" s="492" t="s">
        <v>129</v>
      </c>
      <c r="C40" s="493"/>
      <c r="D40" s="168">
        <v>14508</v>
      </c>
      <c r="E40" s="154"/>
      <c r="F40" s="168"/>
      <c r="G40" s="154"/>
      <c r="H40" s="490" t="s">
        <v>294</v>
      </c>
      <c r="I40" s="491"/>
    </row>
    <row r="41" spans="1:9">
      <c r="A41"/>
      <c r="B41" s="492" t="s">
        <v>126</v>
      </c>
      <c r="C41" s="493"/>
      <c r="D41" s="168">
        <v>6001</v>
      </c>
      <c r="E41" s="154"/>
      <c r="F41" s="168"/>
      <c r="G41" s="154"/>
      <c r="H41" s="490" t="s">
        <v>245</v>
      </c>
      <c r="I41" s="491"/>
    </row>
    <row r="42" spans="1:9">
      <c r="A42"/>
      <c r="B42" s="492" t="s">
        <v>213</v>
      </c>
      <c r="C42" s="493"/>
      <c r="D42" s="1180">
        <v>3215</v>
      </c>
      <c r="E42" s="154"/>
      <c r="F42" s="168"/>
      <c r="G42" s="154"/>
      <c r="H42" s="490" t="s">
        <v>244</v>
      </c>
      <c r="I42" s="491"/>
    </row>
    <row r="43" spans="1:9">
      <c r="A43"/>
      <c r="B43" s="492" t="s">
        <v>250</v>
      </c>
      <c r="C43" s="493"/>
      <c r="D43" s="1180">
        <v>1</v>
      </c>
      <c r="E43" s="154"/>
      <c r="F43" s="168"/>
      <c r="G43" s="154"/>
      <c r="H43" s="490" t="s">
        <v>252</v>
      </c>
      <c r="I43" s="491"/>
    </row>
    <row r="44" spans="1:9" ht="13.5" thickBot="1">
      <c r="A44"/>
      <c r="B44" s="492" t="s">
        <v>251</v>
      </c>
      <c r="C44" s="493"/>
      <c r="D44" s="1180">
        <v>11</v>
      </c>
      <c r="E44" s="154"/>
      <c r="F44" s="168"/>
      <c r="G44" s="154"/>
      <c r="H44" s="490" t="s">
        <v>252</v>
      </c>
      <c r="I44" s="491"/>
    </row>
    <row r="45" spans="1:9" ht="4.5" customHeight="1" thickBot="1">
      <c r="A45"/>
      <c r="B45" s="923"/>
      <c r="C45" s="924"/>
      <c r="D45" s="1107"/>
      <c r="E45" s="926"/>
      <c r="F45" s="925"/>
      <c r="G45" s="926"/>
      <c r="H45" s="927"/>
      <c r="I45" s="928"/>
    </row>
    <row r="46" spans="1:9">
      <c r="A46"/>
      <c r="B46" s="918" t="s">
        <v>108</v>
      </c>
      <c r="C46" s="919"/>
      <c r="D46" s="874">
        <v>1318196575</v>
      </c>
      <c r="E46" s="920"/>
      <c r="F46" s="874">
        <f>I78+I100+I164+I200</f>
        <v>2088818375</v>
      </c>
      <c r="G46" s="39"/>
      <c r="H46" s="921">
        <f>(F46-D46)/D46</f>
        <v>0.58460309684843481</v>
      </c>
      <c r="I46" s="922"/>
    </row>
    <row r="47" spans="1:9">
      <c r="A47"/>
      <c r="B47" s="170" t="s">
        <v>105</v>
      </c>
      <c r="C47" s="7"/>
      <c r="D47" s="609">
        <v>818.42</v>
      </c>
      <c r="E47" s="171"/>
      <c r="F47" s="609">
        <f>G87</f>
        <v>815.98</v>
      </c>
      <c r="G47" s="172"/>
      <c r="H47" s="8">
        <f>(F47-D47)/D47</f>
        <v>-2.9813543168543547E-3</v>
      </c>
      <c r="I47" s="9"/>
    </row>
    <row r="48" spans="1:9">
      <c r="A48"/>
      <c r="B48" s="170" t="s">
        <v>10</v>
      </c>
      <c r="C48" s="7"/>
      <c r="D48" s="610">
        <v>827</v>
      </c>
      <c r="E48" s="165"/>
      <c r="F48" s="610">
        <f>H83</f>
        <v>823.5</v>
      </c>
      <c r="G48" s="173"/>
      <c r="H48" s="8">
        <f>(F48-D48)/D48</f>
        <v>-4.2321644498186217E-3</v>
      </c>
      <c r="I48" s="9"/>
    </row>
    <row r="49" spans="1:9">
      <c r="A49"/>
      <c r="B49" s="174" t="s">
        <v>11</v>
      </c>
      <c r="C49" s="175"/>
      <c r="D49" s="611">
        <v>8.58</v>
      </c>
      <c r="E49" s="165"/>
      <c r="F49" s="611">
        <f>F48-F47</f>
        <v>7.5199999999999818</v>
      </c>
      <c r="G49" s="96"/>
      <c r="H49" s="97"/>
      <c r="I49" s="98"/>
    </row>
    <row r="50" spans="1:9">
      <c r="A50"/>
      <c r="B50" s="511" t="s">
        <v>141</v>
      </c>
      <c r="C50" s="164"/>
      <c r="D50" s="610">
        <v>818.7</v>
      </c>
      <c r="E50" s="96"/>
      <c r="F50" s="610">
        <f>F47+0.3</f>
        <v>816.28</v>
      </c>
      <c r="G50" s="173"/>
      <c r="H50" s="169">
        <f>(F50-D50)/D50</f>
        <v>-2.9559057041652287E-3</v>
      </c>
      <c r="I50" s="498"/>
    </row>
    <row r="51" spans="1:9" ht="13.5" thickBot="1">
      <c r="A51"/>
      <c r="B51" s="320" t="s">
        <v>132</v>
      </c>
      <c r="C51" s="494"/>
      <c r="D51" s="612">
        <v>1725</v>
      </c>
      <c r="E51" s="499"/>
      <c r="F51" s="612">
        <f>H130</f>
        <v>1733</v>
      </c>
      <c r="G51" s="495"/>
      <c r="H51" s="496">
        <f>(F51-D51)/D51</f>
        <v>4.6376811594202897E-3</v>
      </c>
      <c r="I51" s="497"/>
    </row>
    <row r="52" spans="1:9">
      <c r="A52"/>
      <c r="B52" s="37"/>
      <c r="C52" s="38"/>
      <c r="D52" s="1103"/>
      <c r="E52" s="38"/>
      <c r="F52" s="23"/>
      <c r="G52" s="40"/>
      <c r="H52" s="38"/>
    </row>
    <row r="53" spans="1:9" ht="15">
      <c r="A53" s="57" t="s">
        <v>12</v>
      </c>
      <c r="F53" s="1039"/>
    </row>
    <row r="54" spans="1:9" s="2" customFormat="1">
      <c r="A54" s="4" t="s">
        <v>13</v>
      </c>
      <c r="B54" s="3"/>
      <c r="C54" s="4" t="s">
        <v>14</v>
      </c>
      <c r="D54" s="1098"/>
      <c r="E54" s="1"/>
      <c r="F54"/>
      <c r="G54" s="1"/>
      <c r="H54" s="1"/>
    </row>
    <row r="55" spans="1:9" s="2" customFormat="1">
      <c r="A55" s="471"/>
      <c r="B55" s="1"/>
      <c r="D55" s="1098"/>
      <c r="E55" s="1"/>
      <c r="F55" s="1"/>
      <c r="G55" s="1"/>
      <c r="H55" s="1"/>
    </row>
    <row r="56" spans="1:9">
      <c r="A56" s="472"/>
      <c r="B56" s="317">
        <v>1</v>
      </c>
      <c r="C56" s="1" t="s">
        <v>131</v>
      </c>
    </row>
    <row r="57" spans="1:9">
      <c r="A57" s="473"/>
      <c r="B57" s="317">
        <v>1.1000000000000001</v>
      </c>
      <c r="C57" s="1" t="s">
        <v>15</v>
      </c>
    </row>
    <row r="58" spans="1:9">
      <c r="A58" s="473"/>
      <c r="B58" s="317">
        <v>2</v>
      </c>
      <c r="C58" s="1" t="s">
        <v>16</v>
      </c>
    </row>
    <row r="59" spans="1:9">
      <c r="A59" s="474"/>
      <c r="B59" s="317">
        <v>3</v>
      </c>
      <c r="C59" s="1" t="s">
        <v>17</v>
      </c>
      <c r="D59" s="1108"/>
      <c r="E59" s="6"/>
      <c r="F59" s="6"/>
      <c r="G59" s="6"/>
      <c r="H59" s="6"/>
    </row>
    <row r="60" spans="1:9" s="6" customFormat="1">
      <c r="A60" s="1"/>
      <c r="C60" s="1"/>
      <c r="D60" s="1108"/>
    </row>
    <row r="61" spans="1:9" s="6" customFormat="1">
      <c r="A61" s="1"/>
      <c r="C61" s="1"/>
      <c r="D61" s="1108"/>
    </row>
    <row r="62" spans="1:9" s="6" customFormat="1">
      <c r="A62" s="1"/>
      <c r="C62" s="1"/>
      <c r="D62" s="1108"/>
    </row>
    <row r="63" spans="1:9">
      <c r="B63" s="6"/>
    </row>
    <row r="64" spans="1:9" ht="13.5" thickBot="1">
      <c r="B64" s="6"/>
    </row>
    <row r="65" spans="1:10" ht="28.5" thickBot="1">
      <c r="A65"/>
      <c r="B65" s="126" t="s">
        <v>18</v>
      </c>
      <c r="C65" s="127"/>
      <c r="D65" s="128"/>
      <c r="E65" s="127"/>
      <c r="F65" s="128"/>
      <c r="G65" s="129"/>
      <c r="H65" s="127"/>
      <c r="I65" s="130"/>
      <c r="J65" s="131"/>
    </row>
    <row r="67" spans="1:10" s="58" customFormat="1" ht="15.75">
      <c r="A67"/>
      <c r="B67" s="99" t="s">
        <v>253</v>
      </c>
      <c r="C67" s="100"/>
      <c r="D67" s="1109"/>
      <c r="E67" s="100"/>
      <c r="F67" s="100"/>
    </row>
    <row r="68" spans="1:10" ht="15">
      <c r="A68" s="11"/>
      <c r="B68" s="11" t="s">
        <v>19</v>
      </c>
    </row>
    <row r="69" spans="1:10" ht="15">
      <c r="A69" s="11"/>
      <c r="B69" s="11"/>
    </row>
    <row r="70" spans="1:10" ht="13.5" thickBot="1">
      <c r="B70" s="176" t="s">
        <v>20</v>
      </c>
    </row>
    <row r="71" spans="1:10">
      <c r="B71" s="482"/>
      <c r="C71" s="178" t="s">
        <v>21</v>
      </c>
      <c r="D71" s="1110"/>
      <c r="E71" s="178" t="s">
        <v>9</v>
      </c>
      <c r="F71" s="178"/>
      <c r="G71" s="178"/>
      <c r="H71" s="179" t="s">
        <v>106</v>
      </c>
      <c r="I71" s="102"/>
    </row>
    <row r="72" spans="1:10">
      <c r="B72" s="483" t="s">
        <v>23</v>
      </c>
      <c r="C72" s="13" t="s">
        <v>24</v>
      </c>
      <c r="D72" s="13" t="s">
        <v>25</v>
      </c>
      <c r="E72" s="13" t="s">
        <v>26</v>
      </c>
      <c r="F72" s="13" t="s">
        <v>27</v>
      </c>
      <c r="G72" s="13" t="s">
        <v>28</v>
      </c>
      <c r="H72" s="59" t="s">
        <v>29</v>
      </c>
      <c r="I72" s="103"/>
      <c r="J72"/>
    </row>
    <row r="73" spans="1:10">
      <c r="B73" s="484" t="s">
        <v>30</v>
      </c>
      <c r="C73" s="14"/>
      <c r="D73" s="1111"/>
      <c r="E73" s="14"/>
      <c r="F73" s="14"/>
      <c r="G73" s="14"/>
      <c r="H73" s="18"/>
      <c r="I73" s="627"/>
      <c r="J73" s="53"/>
    </row>
    <row r="74" spans="1:10">
      <c r="B74" s="839">
        <v>37987</v>
      </c>
      <c r="C74" s="592">
        <v>3074</v>
      </c>
      <c r="D74" s="592">
        <v>30955</v>
      </c>
      <c r="E74" s="592">
        <v>15027</v>
      </c>
      <c r="F74" s="592">
        <v>15822</v>
      </c>
      <c r="G74" s="592">
        <f>F74-E74</f>
        <v>795</v>
      </c>
      <c r="H74" s="640"/>
      <c r="I74" s="646">
        <v>127221775</v>
      </c>
      <c r="J74" s="55"/>
    </row>
    <row r="75" spans="1:10">
      <c r="B75" s="839">
        <v>38018</v>
      </c>
      <c r="C75" s="592">
        <v>250</v>
      </c>
      <c r="D75" s="592">
        <v>1094</v>
      </c>
      <c r="E75" s="592">
        <v>433</v>
      </c>
      <c r="F75" s="592">
        <v>568</v>
      </c>
      <c r="G75" s="592">
        <f>F75-E75</f>
        <v>135</v>
      </c>
      <c r="H75" s="640"/>
      <c r="I75" s="646">
        <v>10396600</v>
      </c>
      <c r="J75" s="55"/>
    </row>
    <row r="76" spans="1:10">
      <c r="B76" s="839">
        <v>38047</v>
      </c>
      <c r="C76" s="592">
        <v>0</v>
      </c>
      <c r="D76" s="592">
        <v>11</v>
      </c>
      <c r="E76" s="592">
        <v>16</v>
      </c>
      <c r="F76" s="592">
        <v>16</v>
      </c>
      <c r="G76" s="592">
        <f>F76-E76</f>
        <v>0</v>
      </c>
      <c r="H76" s="640"/>
      <c r="I76" s="646">
        <v>0</v>
      </c>
      <c r="J76" s="55"/>
    </row>
    <row r="77" spans="1:10">
      <c r="B77" s="839">
        <v>38140</v>
      </c>
      <c r="C77" s="594">
        <v>0</v>
      </c>
      <c r="D77" s="592">
        <v>0</v>
      </c>
      <c r="E77" s="594">
        <v>0</v>
      </c>
      <c r="F77" s="594">
        <v>0</v>
      </c>
      <c r="G77" s="593">
        <f>F77-E77</f>
        <v>0</v>
      </c>
      <c r="H77" s="640"/>
      <c r="I77" s="646">
        <v>0</v>
      </c>
      <c r="J77" s="55"/>
    </row>
    <row r="78" spans="1:10" ht="13.5" thickBot="1">
      <c r="B78" s="628" t="s">
        <v>32</v>
      </c>
      <c r="C78" s="629">
        <f>SUM(C74:C76)</f>
        <v>3324</v>
      </c>
      <c r="D78" s="629">
        <f>SUM(D74:D77)</f>
        <v>32060</v>
      </c>
      <c r="E78" s="629">
        <f>SUM(E74:E76)</f>
        <v>15476</v>
      </c>
      <c r="F78" s="629">
        <f>SUM(F74:F76)</f>
        <v>16406</v>
      </c>
      <c r="G78" s="629">
        <f>SUM(G74:G76)</f>
        <v>930</v>
      </c>
      <c r="H78" s="630"/>
      <c r="I78" s="631">
        <f>SUM(I74:I76)</f>
        <v>137618375</v>
      </c>
      <c r="J78" s="55"/>
    </row>
    <row r="79" spans="1:10" ht="13.5" thickBot="1">
      <c r="B79" s="16"/>
      <c r="C79" s="17"/>
      <c r="D79" s="1112"/>
      <c r="E79" s="16"/>
      <c r="F79" s="16"/>
      <c r="G79" s="12"/>
      <c r="H79" s="16"/>
      <c r="I79" s="12"/>
      <c r="J79" s="56"/>
    </row>
    <row r="80" spans="1:10">
      <c r="B80" s="557" t="s">
        <v>33</v>
      </c>
      <c r="C80" s="558" t="s">
        <v>34</v>
      </c>
      <c r="D80" s="559" t="s">
        <v>35</v>
      </c>
      <c r="E80" s="559" t="s">
        <v>36</v>
      </c>
      <c r="F80" s="559" t="s">
        <v>37</v>
      </c>
      <c r="G80" s="558" t="s">
        <v>38</v>
      </c>
      <c r="H80" s="558" t="s">
        <v>39</v>
      </c>
      <c r="I80" s="560" t="s">
        <v>40</v>
      </c>
      <c r="J80" s="54"/>
    </row>
    <row r="81" spans="2:10">
      <c r="B81" s="561" t="s">
        <v>23</v>
      </c>
      <c r="C81" s="73" t="s">
        <v>41</v>
      </c>
      <c r="D81" s="73" t="s">
        <v>42</v>
      </c>
      <c r="E81" s="73" t="s">
        <v>42</v>
      </c>
      <c r="F81" s="73" t="s">
        <v>42</v>
      </c>
      <c r="G81" s="73" t="s">
        <v>74</v>
      </c>
      <c r="H81" s="73" t="s">
        <v>42</v>
      </c>
      <c r="I81" s="562" t="s">
        <v>28</v>
      </c>
      <c r="J81" s="52"/>
    </row>
    <row r="82" spans="2:10">
      <c r="B82" s="488" t="s">
        <v>30</v>
      </c>
      <c r="C82" s="14"/>
      <c r="D82" s="1111"/>
      <c r="E82" s="14"/>
      <c r="F82" s="14"/>
      <c r="G82" s="14"/>
      <c r="H82" s="14"/>
      <c r="I82" s="194"/>
      <c r="J82" s="29"/>
    </row>
    <row r="83" spans="2:10">
      <c r="B83" s="839">
        <f>B74</f>
        <v>37987</v>
      </c>
      <c r="C83" s="512">
        <v>827</v>
      </c>
      <c r="D83" s="512">
        <v>825</v>
      </c>
      <c r="E83" s="512">
        <v>832.5</v>
      </c>
      <c r="F83" s="512">
        <v>822.5</v>
      </c>
      <c r="G83" s="654">
        <v>823.5</v>
      </c>
      <c r="H83" s="512">
        <v>823.5</v>
      </c>
      <c r="I83" s="195">
        <f>H83-C83</f>
        <v>-3.5</v>
      </c>
      <c r="J83" s="50"/>
    </row>
    <row r="84" spans="2:10">
      <c r="B84" s="839">
        <f>B75</f>
        <v>38018</v>
      </c>
      <c r="C84" s="512">
        <v>831</v>
      </c>
      <c r="D84" s="512">
        <v>828</v>
      </c>
      <c r="E84" s="512">
        <v>836.5</v>
      </c>
      <c r="F84" s="512">
        <v>827</v>
      </c>
      <c r="G84" s="654">
        <v>828.5</v>
      </c>
      <c r="H84" s="512">
        <v>828.5</v>
      </c>
      <c r="I84" s="195">
        <f>H84-C84</f>
        <v>-2.5</v>
      </c>
      <c r="J84" s="50"/>
    </row>
    <row r="85" spans="2:10">
      <c r="B85" s="839">
        <f>B76</f>
        <v>38047</v>
      </c>
      <c r="C85" s="512">
        <v>835.5</v>
      </c>
      <c r="D85" s="1213">
        <v>0</v>
      </c>
      <c r="E85" s="1214">
        <v>0</v>
      </c>
      <c r="F85" s="1213">
        <v>0</v>
      </c>
      <c r="G85" s="1215">
        <v>0</v>
      </c>
      <c r="H85" s="512">
        <v>833</v>
      </c>
      <c r="I85" s="195">
        <f>H85-C85</f>
        <v>-2.5</v>
      </c>
      <c r="J85" s="50"/>
    </row>
    <row r="86" spans="2:10">
      <c r="B86" s="839">
        <f>B77</f>
        <v>38140</v>
      </c>
      <c r="C86" s="512">
        <v>835.5</v>
      </c>
      <c r="D86" s="662">
        <v>0</v>
      </c>
      <c r="E86" s="1052">
        <v>0</v>
      </c>
      <c r="F86" s="662">
        <v>0</v>
      </c>
      <c r="G86" s="593">
        <v>0</v>
      </c>
      <c r="H86" s="512">
        <v>833</v>
      </c>
      <c r="I86" s="195">
        <f>H86-C86</f>
        <v>-2.5</v>
      </c>
      <c r="J86" s="50"/>
    </row>
    <row r="87" spans="2:10">
      <c r="B87" s="632" t="s">
        <v>43</v>
      </c>
      <c r="C87" s="123">
        <v>818.42</v>
      </c>
      <c r="D87" s="1113">
        <v>817.89</v>
      </c>
      <c r="E87" s="123">
        <v>822.37</v>
      </c>
      <c r="F87" s="123">
        <v>815.21</v>
      </c>
      <c r="G87" s="123">
        <v>815.98</v>
      </c>
      <c r="H87" s="123" t="s">
        <v>246</v>
      </c>
      <c r="I87" s="633">
        <f>G87-C87</f>
        <v>-2.4399999999999409</v>
      </c>
      <c r="J87" s="50"/>
    </row>
    <row r="88" spans="2:10" ht="13.5" thickBot="1">
      <c r="B88" s="634" t="s">
        <v>44</v>
      </c>
      <c r="C88" s="635"/>
      <c r="D88" s="1114"/>
      <c r="E88" s="636"/>
      <c r="F88" s="636"/>
      <c r="G88" s="635"/>
      <c r="H88" s="838">
        <f>H83-G87</f>
        <v>7.5199999999999818</v>
      </c>
      <c r="I88" s="637"/>
      <c r="J88" s="50"/>
    </row>
    <row r="89" spans="2:10">
      <c r="J89" s="50"/>
    </row>
    <row r="90" spans="2:10" ht="13.5" thickBot="1">
      <c r="B90" s="176" t="s">
        <v>45</v>
      </c>
      <c r="J90" s="51"/>
    </row>
    <row r="91" spans="2:10">
      <c r="B91" s="177" t="s">
        <v>46</v>
      </c>
      <c r="C91" s="178" t="s">
        <v>21</v>
      </c>
      <c r="D91" s="1110"/>
      <c r="E91" s="178" t="s">
        <v>9</v>
      </c>
      <c r="F91" s="178"/>
      <c r="G91" s="178"/>
      <c r="H91" s="179" t="s">
        <v>22</v>
      </c>
      <c r="I91" s="102"/>
      <c r="J91" s="51"/>
    </row>
    <row r="92" spans="2:10">
      <c r="B92" s="180" t="s">
        <v>47</v>
      </c>
      <c r="C92" s="13" t="s">
        <v>24</v>
      </c>
      <c r="D92" s="13" t="s">
        <v>25</v>
      </c>
      <c r="E92" s="13" t="s">
        <v>26</v>
      </c>
      <c r="F92" s="13" t="s">
        <v>27</v>
      </c>
      <c r="G92" s="13" t="s">
        <v>28</v>
      </c>
      <c r="H92" s="59" t="s">
        <v>29</v>
      </c>
      <c r="I92" s="103"/>
      <c r="J92" s="51"/>
    </row>
    <row r="93" spans="2:10">
      <c r="B93" s="181" t="s">
        <v>48</v>
      </c>
      <c r="C93" s="14"/>
      <c r="D93" s="1111"/>
      <c r="E93" s="601"/>
      <c r="F93" s="601"/>
      <c r="G93" s="601"/>
      <c r="H93" s="18"/>
      <c r="I93" s="614"/>
      <c r="J93" s="51"/>
    </row>
    <row r="94" spans="2:10">
      <c r="B94" s="182"/>
      <c r="C94" s="621">
        <v>0</v>
      </c>
      <c r="D94" s="1115">
        <v>0</v>
      </c>
      <c r="E94" s="638">
        <v>0</v>
      </c>
      <c r="F94" s="644">
        <v>0</v>
      </c>
      <c r="G94" s="639">
        <f>F94-E94</f>
        <v>0</v>
      </c>
      <c r="H94" s="640"/>
      <c r="I94" s="641">
        <v>0</v>
      </c>
      <c r="J94" s="51"/>
    </row>
    <row r="95" spans="2:10" ht="13.5" thickBot="1">
      <c r="B95" s="468"/>
      <c r="C95" s="621">
        <v>0</v>
      </c>
      <c r="D95" s="1116">
        <v>0</v>
      </c>
      <c r="E95" s="604">
        <v>0</v>
      </c>
      <c r="F95" s="645">
        <v>0</v>
      </c>
      <c r="G95" s="639">
        <v>0</v>
      </c>
      <c r="H95" s="630"/>
      <c r="I95" s="615">
        <v>0</v>
      </c>
      <c r="J95" s="51"/>
    </row>
    <row r="96" spans="2:10" ht="13.5" thickBot="1">
      <c r="B96" s="318" t="s">
        <v>50</v>
      </c>
      <c r="C96" s="622">
        <f>SUM(C94:C94)</f>
        <v>0</v>
      </c>
      <c r="D96" s="1117">
        <f>SUM(D94:D95)</f>
        <v>0</v>
      </c>
      <c r="E96" s="595">
        <v>0</v>
      </c>
      <c r="F96" s="613">
        <f>SUM(F94:F94)</f>
        <v>0</v>
      </c>
      <c r="G96" s="613">
        <f>SUM(G94:G94)</f>
        <v>0</v>
      </c>
      <c r="H96" s="319"/>
      <c r="I96" s="599">
        <f>I94</f>
        <v>0</v>
      </c>
      <c r="J96" s="51"/>
    </row>
    <row r="97" spans="2:10">
      <c r="B97" s="183" t="s">
        <v>49</v>
      </c>
      <c r="C97" s="598"/>
      <c r="D97" s="1118"/>
      <c r="E97" s="647"/>
      <c r="F97" s="597"/>
      <c r="G97" s="598"/>
      <c r="H97" s="21"/>
      <c r="I97" s="649"/>
      <c r="J97" s="51"/>
    </row>
    <row r="98" spans="2:10" ht="13.5" thickBot="1">
      <c r="B98" s="468"/>
      <c r="C98" s="469">
        <v>0</v>
      </c>
      <c r="D98" s="1115">
        <v>0</v>
      </c>
      <c r="E98" s="648">
        <v>0</v>
      </c>
      <c r="F98" s="639">
        <v>0</v>
      </c>
      <c r="G98" s="639">
        <f>F98-E98</f>
        <v>0</v>
      </c>
      <c r="H98" s="470"/>
      <c r="I98" s="650"/>
      <c r="J98" s="51"/>
    </row>
    <row r="99" spans="2:10" ht="13.5" thickBot="1">
      <c r="B99" s="456" t="s">
        <v>50</v>
      </c>
      <c r="C99" s="622">
        <f>SUM(C98:C98)</f>
        <v>0</v>
      </c>
      <c r="D99" s="1119">
        <v>0</v>
      </c>
      <c r="E99" s="596">
        <f>SUM(E98:E98)</f>
        <v>0</v>
      </c>
      <c r="F99" s="613">
        <f>SUM(F98:F98)</f>
        <v>0</v>
      </c>
      <c r="G99" s="613">
        <f>SUM(G98:G98)</f>
        <v>0</v>
      </c>
      <c r="H99" s="457"/>
      <c r="I99" s="600">
        <f>SUM(I98)</f>
        <v>0</v>
      </c>
      <c r="J99" s="51"/>
    </row>
    <row r="100" spans="2:10" ht="13.5" thickBot="1">
      <c r="B100" s="184" t="s">
        <v>32</v>
      </c>
      <c r="C100" s="622">
        <f>C96+C99</f>
        <v>0</v>
      </c>
      <c r="D100" s="1119">
        <f>D96+D99</f>
        <v>0</v>
      </c>
      <c r="E100" s="596">
        <f>E96+E99</f>
        <v>0</v>
      </c>
      <c r="F100" s="613">
        <f>F96+F99</f>
        <v>0</v>
      </c>
      <c r="G100" s="613">
        <f>G96+G99</f>
        <v>0</v>
      </c>
      <c r="H100" s="185"/>
      <c r="I100" s="599">
        <f>I96+I99</f>
        <v>0</v>
      </c>
      <c r="J100" s="51"/>
    </row>
    <row r="101" spans="2:10" ht="13.5" thickBot="1">
      <c r="B101" s="186"/>
      <c r="C101" s="17"/>
      <c r="D101" s="1112"/>
      <c r="E101" s="16"/>
      <c r="F101" s="16"/>
      <c r="G101" s="12"/>
      <c r="H101" s="16"/>
      <c r="I101" s="12"/>
      <c r="J101" s="51"/>
    </row>
    <row r="102" spans="2:10">
      <c r="B102" s="187" t="s">
        <v>33</v>
      </c>
      <c r="C102" s="188" t="s">
        <v>34</v>
      </c>
      <c r="D102" s="189" t="s">
        <v>35</v>
      </c>
      <c r="E102" s="189" t="s">
        <v>36</v>
      </c>
      <c r="F102" s="189" t="s">
        <v>37</v>
      </c>
      <c r="G102" s="188" t="s">
        <v>38</v>
      </c>
      <c r="H102" s="188" t="s">
        <v>39</v>
      </c>
      <c r="I102" s="190" t="s">
        <v>40</v>
      </c>
      <c r="J102" s="51"/>
    </row>
    <row r="103" spans="2:10">
      <c r="B103" s="191" t="s">
        <v>23</v>
      </c>
      <c r="C103" s="192" t="s">
        <v>41</v>
      </c>
      <c r="D103" s="192" t="s">
        <v>42</v>
      </c>
      <c r="E103" s="192" t="s">
        <v>42</v>
      </c>
      <c r="F103" s="192" t="s">
        <v>42</v>
      </c>
      <c r="G103" s="192" t="s">
        <v>42</v>
      </c>
      <c r="H103" s="192" t="s">
        <v>42</v>
      </c>
      <c r="I103" s="193" t="s">
        <v>28</v>
      </c>
      <c r="J103" s="51"/>
    </row>
    <row r="104" spans="2:10">
      <c r="B104" s="181" t="s">
        <v>48</v>
      </c>
      <c r="C104" s="601"/>
      <c r="D104" s="1120"/>
      <c r="E104" s="601"/>
      <c r="F104" s="601"/>
      <c r="G104" s="601"/>
      <c r="H104" s="14"/>
      <c r="I104" s="194"/>
      <c r="J104" s="51"/>
    </row>
    <row r="105" spans="2:10">
      <c r="B105" s="182"/>
      <c r="C105" s="623">
        <v>0</v>
      </c>
      <c r="D105" s="1121">
        <v>0</v>
      </c>
      <c r="E105" s="616">
        <v>0</v>
      </c>
      <c r="F105" s="594">
        <v>0</v>
      </c>
      <c r="G105" s="594">
        <v>0</v>
      </c>
      <c r="H105" s="616">
        <v>0</v>
      </c>
      <c r="I105" s="626">
        <f>H105-C105</f>
        <v>0</v>
      </c>
      <c r="J105" s="51"/>
    </row>
    <row r="106" spans="2:10">
      <c r="B106" s="468"/>
      <c r="C106" s="623">
        <v>0</v>
      </c>
      <c r="D106" s="1121">
        <v>0</v>
      </c>
      <c r="E106" s="616">
        <v>0</v>
      </c>
      <c r="F106" s="594">
        <v>0</v>
      </c>
      <c r="G106" s="594">
        <v>0</v>
      </c>
      <c r="H106" s="616">
        <v>0</v>
      </c>
      <c r="I106" s="626">
        <f>H106-C106</f>
        <v>0</v>
      </c>
      <c r="J106" s="51"/>
    </row>
    <row r="107" spans="2:10">
      <c r="B107" s="183" t="s">
        <v>49</v>
      </c>
      <c r="C107" s="602" t="s">
        <v>74</v>
      </c>
      <c r="D107" s="603"/>
      <c r="E107" s="603"/>
      <c r="F107" s="603"/>
      <c r="G107" s="603"/>
      <c r="H107" s="339"/>
      <c r="I107" s="195"/>
      <c r="J107" s="51"/>
    </row>
    <row r="108" spans="2:10" ht="13.5" thickBot="1">
      <c r="B108" s="651"/>
      <c r="C108" s="652">
        <v>0</v>
      </c>
      <c r="D108" s="1122">
        <v>0</v>
      </c>
      <c r="E108" s="652">
        <v>0</v>
      </c>
      <c r="F108" s="605">
        <v>0</v>
      </c>
      <c r="G108" s="605">
        <v>0</v>
      </c>
      <c r="H108" s="652">
        <v>0</v>
      </c>
      <c r="I108" s="653">
        <f>H108-C108</f>
        <v>0</v>
      </c>
      <c r="J108" s="51"/>
    </row>
    <row r="109" spans="2:10">
      <c r="B109" s="196"/>
      <c r="C109" s="197"/>
      <c r="D109" s="1123"/>
      <c r="E109" s="198"/>
      <c r="F109" s="198"/>
      <c r="G109" s="198"/>
      <c r="H109" s="199"/>
      <c r="I109" s="200"/>
      <c r="J109" s="51"/>
    </row>
    <row r="110" spans="2:10" ht="13.5" thickBot="1">
      <c r="B110" s="176" t="s">
        <v>121</v>
      </c>
      <c r="J110" s="51"/>
    </row>
    <row r="111" spans="2:10">
      <c r="B111" s="482"/>
      <c r="C111" s="178" t="s">
        <v>21</v>
      </c>
      <c r="D111" s="1110"/>
      <c r="E111" s="178" t="s">
        <v>9</v>
      </c>
      <c r="F111" s="178"/>
      <c r="G111" s="178"/>
      <c r="H111" s="179" t="s">
        <v>106</v>
      </c>
      <c r="I111" s="102"/>
      <c r="J111" s="51"/>
    </row>
    <row r="112" spans="2:10">
      <c r="B112" s="483" t="s">
        <v>23</v>
      </c>
      <c r="C112" s="13" t="s">
        <v>24</v>
      </c>
      <c r="D112" s="13" t="s">
        <v>25</v>
      </c>
      <c r="E112" s="13" t="s">
        <v>26</v>
      </c>
      <c r="F112" s="13" t="s">
        <v>27</v>
      </c>
      <c r="G112" s="13" t="s">
        <v>28</v>
      </c>
      <c r="H112" s="59" t="s">
        <v>124</v>
      </c>
      <c r="I112" s="103"/>
      <c r="J112" s="51"/>
    </row>
    <row r="113" spans="2:10">
      <c r="B113" s="484" t="s">
        <v>129</v>
      </c>
      <c r="C113" s="477"/>
      <c r="D113" s="1124"/>
      <c r="E113" s="478"/>
      <c r="F113" s="478"/>
      <c r="G113" s="478"/>
      <c r="H113" s="479"/>
      <c r="I113" s="480"/>
      <c r="J113" s="51"/>
    </row>
    <row r="114" spans="2:10">
      <c r="B114" s="841">
        <v>37987</v>
      </c>
      <c r="C114" s="1036">
        <v>202</v>
      </c>
      <c r="D114" s="1126">
        <v>2825</v>
      </c>
      <c r="E114" s="1036">
        <v>1100</v>
      </c>
      <c r="F114" s="1036">
        <v>994</v>
      </c>
      <c r="G114" s="506">
        <f t="shared" ref="G114:G122" si="0">F114-E114</f>
        <v>-106</v>
      </c>
      <c r="H114" s="1037"/>
      <c r="I114" s="1038">
        <f t="shared" ref="I114:I122" si="1">C114*25</f>
        <v>5050</v>
      </c>
      <c r="J114" s="51"/>
    </row>
    <row r="115" spans="2:10">
      <c r="B115" s="839">
        <v>38018</v>
      </c>
      <c r="C115" s="608">
        <v>432</v>
      </c>
      <c r="D115" s="1125">
        <v>3608</v>
      </c>
      <c r="E115" s="608">
        <v>6214</v>
      </c>
      <c r="F115" s="608">
        <v>6152</v>
      </c>
      <c r="G115" s="506">
        <f t="shared" si="0"/>
        <v>-62</v>
      </c>
      <c r="H115" s="479"/>
      <c r="I115" s="1034">
        <f t="shared" si="1"/>
        <v>10800</v>
      </c>
      <c r="J115" s="51"/>
    </row>
    <row r="116" spans="2:10">
      <c r="B116" s="840">
        <v>38047</v>
      </c>
      <c r="C116" s="805">
        <v>2244</v>
      </c>
      <c r="D116" s="1125">
        <v>23464</v>
      </c>
      <c r="E116" s="805">
        <v>9346</v>
      </c>
      <c r="F116" s="805">
        <v>9412</v>
      </c>
      <c r="G116" s="1040">
        <f t="shared" si="0"/>
        <v>66</v>
      </c>
      <c r="H116" s="502"/>
      <c r="I116" s="806">
        <f t="shared" si="1"/>
        <v>56100</v>
      </c>
      <c r="J116" s="51"/>
    </row>
    <row r="117" spans="2:10">
      <c r="B117" s="840">
        <v>38079</v>
      </c>
      <c r="C117" s="805">
        <v>711</v>
      </c>
      <c r="D117" s="1125">
        <v>5168</v>
      </c>
      <c r="E117" s="805">
        <v>2689</v>
      </c>
      <c r="F117" s="805">
        <v>2734</v>
      </c>
      <c r="G117" s="1040">
        <f t="shared" si="0"/>
        <v>45</v>
      </c>
      <c r="H117" s="502"/>
      <c r="I117" s="806">
        <f>C117*25</f>
        <v>17775</v>
      </c>
      <c r="J117" s="51"/>
    </row>
    <row r="118" spans="2:10">
      <c r="B118" s="840">
        <v>38108</v>
      </c>
      <c r="C118" s="805">
        <v>203</v>
      </c>
      <c r="D118" s="1125">
        <v>1074</v>
      </c>
      <c r="E118" s="805">
        <v>1052</v>
      </c>
      <c r="F118" s="805">
        <v>1185</v>
      </c>
      <c r="G118" s="1040">
        <f t="shared" si="0"/>
        <v>133</v>
      </c>
      <c r="H118" s="502"/>
      <c r="I118" s="806">
        <f t="shared" si="1"/>
        <v>5075</v>
      </c>
      <c r="J118" s="51"/>
    </row>
    <row r="119" spans="2:10">
      <c r="B119" s="840">
        <v>38140</v>
      </c>
      <c r="C119" s="805">
        <v>75</v>
      </c>
      <c r="D119" s="1125">
        <v>272</v>
      </c>
      <c r="E119" s="805">
        <v>460</v>
      </c>
      <c r="F119" s="805">
        <v>470</v>
      </c>
      <c r="G119" s="1040">
        <f t="shared" si="0"/>
        <v>10</v>
      </c>
      <c r="H119" s="502"/>
      <c r="I119" s="806">
        <f>C119*25</f>
        <v>1875</v>
      </c>
      <c r="J119" s="51"/>
    </row>
    <row r="120" spans="2:10">
      <c r="B120" s="840">
        <v>38169</v>
      </c>
      <c r="C120" s="805">
        <v>0</v>
      </c>
      <c r="D120" s="1125">
        <v>25</v>
      </c>
      <c r="E120" s="805">
        <v>136</v>
      </c>
      <c r="F120" s="805">
        <v>136</v>
      </c>
      <c r="G120" s="1040">
        <f t="shared" si="0"/>
        <v>0</v>
      </c>
      <c r="H120" s="502"/>
      <c r="I120" s="806">
        <f t="shared" si="1"/>
        <v>0</v>
      </c>
      <c r="J120" s="51"/>
    </row>
    <row r="121" spans="2:10">
      <c r="B121" s="839">
        <v>38232</v>
      </c>
      <c r="C121" s="608">
        <v>0</v>
      </c>
      <c r="D121" s="1125">
        <f>'[3]CPO-Jan''04'!$I$27</f>
        <v>0</v>
      </c>
      <c r="E121" s="608">
        <v>70</v>
      </c>
      <c r="F121" s="608">
        <v>70</v>
      </c>
      <c r="G121" s="1040">
        <f t="shared" si="0"/>
        <v>0</v>
      </c>
      <c r="H121" s="479"/>
      <c r="I121" s="806">
        <f>C121*25</f>
        <v>0</v>
      </c>
      <c r="J121" s="51"/>
    </row>
    <row r="122" spans="2:10">
      <c r="B122" s="839">
        <v>38293</v>
      </c>
      <c r="C122" s="608">
        <v>0</v>
      </c>
      <c r="D122" s="1125">
        <f>'[3]CPO-Jan''04'!$J$27</f>
        <v>0</v>
      </c>
      <c r="E122" s="608">
        <v>0</v>
      </c>
      <c r="F122" s="608">
        <v>0</v>
      </c>
      <c r="G122" s="1040">
        <f t="shared" si="0"/>
        <v>0</v>
      </c>
      <c r="H122" s="479"/>
      <c r="I122" s="806">
        <f t="shared" si="1"/>
        <v>0</v>
      </c>
      <c r="J122" s="51"/>
    </row>
    <row r="123" spans="2:10" ht="13.5" thickBot="1">
      <c r="B123" s="1055" t="s">
        <v>32</v>
      </c>
      <c r="C123" s="1056">
        <f>SUM(C114:C122)</f>
        <v>3867</v>
      </c>
      <c r="D123" s="1127">
        <f>SUM(D114:D122)</f>
        <v>36436</v>
      </c>
      <c r="E123" s="1057">
        <f>SUM(E114:E122)</f>
        <v>21067</v>
      </c>
      <c r="F123" s="1057">
        <f>SUM(F114:F122)</f>
        <v>21153</v>
      </c>
      <c r="G123" s="1063">
        <f>SUM(G114:G120)</f>
        <v>86</v>
      </c>
      <c r="H123" s="1058"/>
      <c r="I123" s="1064">
        <f>SUM(I114:I120)</f>
        <v>96675</v>
      </c>
      <c r="J123" s="51"/>
    </row>
    <row r="124" spans="2:10" ht="13.5" thickBot="1">
      <c r="B124" s="196"/>
      <c r="C124" s="197"/>
      <c r="D124" s="1123"/>
      <c r="E124" s="198"/>
      <c r="F124" s="198"/>
      <c r="G124" s="198"/>
      <c r="H124" s="199"/>
      <c r="I124" s="200"/>
      <c r="J124" s="51"/>
    </row>
    <row r="125" spans="2:10">
      <c r="B125" s="187" t="s">
        <v>33</v>
      </c>
      <c r="C125" s="188" t="s">
        <v>34</v>
      </c>
      <c r="D125" s="189" t="s">
        <v>35</v>
      </c>
      <c r="E125" s="189" t="s">
        <v>36</v>
      </c>
      <c r="F125" s="189" t="s">
        <v>37</v>
      </c>
      <c r="G125" s="188" t="s">
        <v>122</v>
      </c>
      <c r="H125" s="188" t="s">
        <v>123</v>
      </c>
      <c r="I125" s="190" t="s">
        <v>40</v>
      </c>
      <c r="J125" s="51"/>
    </row>
    <row r="126" spans="2:10">
      <c r="B126" s="485" t="s">
        <v>23</v>
      </c>
      <c r="C126" s="486" t="s">
        <v>41</v>
      </c>
      <c r="D126" s="486" t="s">
        <v>42</v>
      </c>
      <c r="E126" s="486" t="s">
        <v>42</v>
      </c>
      <c r="F126" s="486" t="s">
        <v>42</v>
      </c>
      <c r="G126" s="486" t="s">
        <v>42</v>
      </c>
      <c r="H126" s="486" t="s">
        <v>42</v>
      </c>
      <c r="I126" s="487" t="s">
        <v>28</v>
      </c>
      <c r="J126" s="51"/>
    </row>
    <row r="127" spans="2:10">
      <c r="B127" s="488" t="s">
        <v>129</v>
      </c>
      <c r="C127" s="477"/>
      <c r="D127" s="1124"/>
      <c r="E127" s="478"/>
      <c r="F127" s="478"/>
      <c r="G127" s="478"/>
      <c r="H127" s="481"/>
      <c r="I127" s="195"/>
      <c r="J127" s="51"/>
    </row>
    <row r="128" spans="2:10">
      <c r="B128" s="841">
        <v>37987</v>
      </c>
      <c r="C128" s="606">
        <v>1762</v>
      </c>
      <c r="D128" s="1128">
        <v>1770</v>
      </c>
      <c r="E128" s="606">
        <v>1790</v>
      </c>
      <c r="F128" s="606">
        <v>1768</v>
      </c>
      <c r="G128" s="606">
        <v>1782</v>
      </c>
      <c r="H128" s="606">
        <v>1781</v>
      </c>
      <c r="I128" s="508">
        <f t="shared" ref="I128:I136" si="2">H128-C128</f>
        <v>19</v>
      </c>
      <c r="J128" s="51"/>
    </row>
    <row r="129" spans="2:10">
      <c r="B129" s="839">
        <v>38018</v>
      </c>
      <c r="C129" s="606">
        <v>1739</v>
      </c>
      <c r="D129" s="1128">
        <v>1751</v>
      </c>
      <c r="E129" s="606">
        <v>1760</v>
      </c>
      <c r="F129" s="606">
        <v>1744</v>
      </c>
      <c r="G129" s="606">
        <v>1754</v>
      </c>
      <c r="H129" s="606">
        <v>1757</v>
      </c>
      <c r="I129" s="508">
        <f t="shared" si="2"/>
        <v>18</v>
      </c>
      <c r="J129" s="51"/>
    </row>
    <row r="130" spans="2:10">
      <c r="B130" s="840">
        <v>38047</v>
      </c>
      <c r="C130" s="606">
        <v>1725</v>
      </c>
      <c r="D130" s="1128">
        <v>1734</v>
      </c>
      <c r="E130" s="606">
        <v>1746</v>
      </c>
      <c r="F130" s="606">
        <v>1723</v>
      </c>
      <c r="G130" s="606">
        <v>1736</v>
      </c>
      <c r="H130" s="606">
        <v>1733</v>
      </c>
      <c r="I130" s="508">
        <f t="shared" si="2"/>
        <v>8</v>
      </c>
      <c r="J130" s="51"/>
    </row>
    <row r="131" spans="2:10">
      <c r="B131" s="840">
        <v>38078</v>
      </c>
      <c r="C131" s="606">
        <v>1703</v>
      </c>
      <c r="D131" s="1128">
        <v>1713</v>
      </c>
      <c r="E131" s="606">
        <v>1728</v>
      </c>
      <c r="F131" s="606">
        <v>1703</v>
      </c>
      <c r="G131" s="606">
        <v>1717</v>
      </c>
      <c r="H131" s="606">
        <v>1712</v>
      </c>
      <c r="I131" s="508">
        <f t="shared" si="2"/>
        <v>9</v>
      </c>
      <c r="J131" s="51"/>
    </row>
    <row r="132" spans="2:10">
      <c r="B132" s="840">
        <v>38108</v>
      </c>
      <c r="C132" s="1050">
        <v>1690</v>
      </c>
      <c r="D132" s="1128">
        <v>1705</v>
      </c>
      <c r="E132" s="606">
        <v>1715</v>
      </c>
      <c r="F132" s="606">
        <v>1692</v>
      </c>
      <c r="G132" s="1050">
        <v>1703</v>
      </c>
      <c r="H132" s="1050">
        <v>1700</v>
      </c>
      <c r="I132" s="1051">
        <f t="shared" si="2"/>
        <v>10</v>
      </c>
      <c r="J132" s="51"/>
    </row>
    <row r="133" spans="2:10">
      <c r="B133" s="840">
        <v>38140</v>
      </c>
      <c r="C133" s="1050">
        <v>1680</v>
      </c>
      <c r="D133" s="1129">
        <v>1690</v>
      </c>
      <c r="E133" s="1050">
        <v>1703</v>
      </c>
      <c r="F133" s="1050">
        <v>1690</v>
      </c>
      <c r="G133" s="1050">
        <v>1699</v>
      </c>
      <c r="H133" s="1050">
        <v>1693</v>
      </c>
      <c r="I133" s="1051">
        <f t="shared" si="2"/>
        <v>13</v>
      </c>
      <c r="J133" s="51"/>
    </row>
    <row r="134" spans="2:10">
      <c r="B134" s="840">
        <v>38169</v>
      </c>
      <c r="C134" s="1059">
        <v>1671</v>
      </c>
      <c r="D134" s="1130">
        <v>0</v>
      </c>
      <c r="E134" s="1059">
        <v>0</v>
      </c>
      <c r="F134" s="1059">
        <v>0</v>
      </c>
      <c r="G134" s="1059">
        <v>0</v>
      </c>
      <c r="H134" s="1059">
        <v>1684</v>
      </c>
      <c r="I134" s="1060">
        <f t="shared" si="2"/>
        <v>13</v>
      </c>
      <c r="J134" s="51"/>
    </row>
    <row r="135" spans="2:10">
      <c r="B135" s="840">
        <v>38231</v>
      </c>
      <c r="C135" s="606">
        <v>1655</v>
      </c>
      <c r="D135" s="1128">
        <v>0</v>
      </c>
      <c r="E135" s="606">
        <v>0</v>
      </c>
      <c r="F135" s="606">
        <v>0</v>
      </c>
      <c r="G135" s="606">
        <v>0</v>
      </c>
      <c r="H135" s="606">
        <v>1668</v>
      </c>
      <c r="I135" s="508">
        <f t="shared" si="2"/>
        <v>13</v>
      </c>
      <c r="J135" s="51"/>
    </row>
    <row r="136" spans="2:10" ht="13.5" thickBot="1">
      <c r="B136" s="842">
        <v>38292</v>
      </c>
      <c r="C136" s="1061">
        <v>1655</v>
      </c>
      <c r="D136" s="1131">
        <v>0</v>
      </c>
      <c r="E136" s="1061">
        <v>0</v>
      </c>
      <c r="F136" s="1061">
        <v>0</v>
      </c>
      <c r="G136" s="1061">
        <v>0</v>
      </c>
      <c r="H136" s="1061">
        <v>1668</v>
      </c>
      <c r="I136" s="1062">
        <f t="shared" si="2"/>
        <v>13</v>
      </c>
      <c r="J136" s="51"/>
    </row>
    <row r="137" spans="2:10">
      <c r="B137" s="196"/>
      <c r="C137" s="197"/>
      <c r="D137" s="1123"/>
      <c r="E137" s="198"/>
      <c r="F137" s="198"/>
      <c r="G137" s="198"/>
      <c r="H137" s="199" t="s">
        <v>242</v>
      </c>
      <c r="I137" s="200"/>
      <c r="J137" s="51"/>
    </row>
    <row r="138" spans="2:10" ht="13.5" thickBot="1">
      <c r="B138" s="176" t="s">
        <v>125</v>
      </c>
      <c r="J138" s="51"/>
    </row>
    <row r="139" spans="2:10">
      <c r="B139" s="482"/>
      <c r="C139" s="178" t="s">
        <v>21</v>
      </c>
      <c r="D139" s="1110"/>
      <c r="E139" s="500" t="s">
        <v>9</v>
      </c>
      <c r="F139" s="501"/>
      <c r="G139" s="501"/>
      <c r="H139" s="509" t="s">
        <v>106</v>
      </c>
      <c r="I139" s="102"/>
      <c r="J139" s="51"/>
    </row>
    <row r="140" spans="2:10">
      <c r="B140" s="483" t="s">
        <v>23</v>
      </c>
      <c r="C140" s="13" t="s">
        <v>24</v>
      </c>
      <c r="D140" s="13" t="s">
        <v>25</v>
      </c>
      <c r="E140" s="13" t="s">
        <v>26</v>
      </c>
      <c r="F140" s="13" t="s">
        <v>27</v>
      </c>
      <c r="G140" s="13" t="s">
        <v>28</v>
      </c>
      <c r="H140" s="510" t="s">
        <v>140</v>
      </c>
      <c r="I140" s="103"/>
      <c r="J140" s="51"/>
    </row>
    <row r="141" spans="2:10">
      <c r="B141" s="484" t="s">
        <v>126</v>
      </c>
      <c r="C141" s="477"/>
      <c r="D141" s="1124"/>
      <c r="E141" s="478"/>
      <c r="F141" s="478"/>
      <c r="G141" s="478"/>
      <c r="H141" s="479"/>
      <c r="I141" s="480"/>
      <c r="J141" s="51"/>
    </row>
    <row r="142" spans="2:10">
      <c r="B142" s="839">
        <v>37987</v>
      </c>
      <c r="C142" s="455">
        <v>0</v>
      </c>
      <c r="D142" s="1132">
        <f>'[3]KLIBOR-Jan''04'!$B$27</f>
        <v>0</v>
      </c>
      <c r="E142" s="455">
        <v>0</v>
      </c>
      <c r="F142" s="455">
        <v>0</v>
      </c>
      <c r="G142" s="624">
        <v>0</v>
      </c>
      <c r="H142" s="479">
        <v>0</v>
      </c>
      <c r="I142" s="607">
        <v>0</v>
      </c>
      <c r="J142" s="51"/>
    </row>
    <row r="143" spans="2:10">
      <c r="B143" s="839">
        <v>38019</v>
      </c>
      <c r="C143" s="455">
        <v>0</v>
      </c>
      <c r="D143" s="1132">
        <f>'[3]KLIBOR-Jan''04'!$C$27</f>
        <v>0</v>
      </c>
      <c r="E143" s="455">
        <v>0</v>
      </c>
      <c r="F143" s="455">
        <v>0</v>
      </c>
      <c r="G143" s="624">
        <v>0</v>
      </c>
      <c r="H143" s="479">
        <v>0</v>
      </c>
      <c r="I143" s="607">
        <v>0</v>
      </c>
      <c r="J143" s="51"/>
    </row>
    <row r="144" spans="2:10">
      <c r="B144" s="839">
        <v>38047</v>
      </c>
      <c r="C144" s="455">
        <v>30</v>
      </c>
      <c r="D144" s="1132">
        <v>356</v>
      </c>
      <c r="E144" s="455">
        <v>1657</v>
      </c>
      <c r="F144" s="455">
        <v>1657</v>
      </c>
      <c r="G144" s="624">
        <f t="shared" ref="G144:G155" si="3">F144-E144</f>
        <v>0</v>
      </c>
      <c r="H144" s="479"/>
      <c r="I144" s="607">
        <f t="shared" ref="I144:I154" si="4">C144*1000000</f>
        <v>30000000</v>
      </c>
      <c r="J144" s="51"/>
    </row>
    <row r="145" spans="2:10">
      <c r="B145" s="839">
        <v>38139</v>
      </c>
      <c r="C145" s="455">
        <v>556</v>
      </c>
      <c r="D145" s="1132">
        <v>2828</v>
      </c>
      <c r="E145" s="455">
        <v>1320</v>
      </c>
      <c r="F145" s="455">
        <v>1401</v>
      </c>
      <c r="G145" s="624">
        <f t="shared" si="3"/>
        <v>81</v>
      </c>
      <c r="H145" s="479"/>
      <c r="I145" s="607">
        <f t="shared" si="4"/>
        <v>556000000</v>
      </c>
      <c r="J145" s="51"/>
    </row>
    <row r="146" spans="2:10">
      <c r="B146" s="839">
        <v>38231</v>
      </c>
      <c r="C146" s="455">
        <v>530</v>
      </c>
      <c r="D146" s="1132">
        <v>2000</v>
      </c>
      <c r="E146" s="455">
        <v>1481</v>
      </c>
      <c r="F146" s="455">
        <v>1981</v>
      </c>
      <c r="G146" s="624">
        <f t="shared" si="3"/>
        <v>500</v>
      </c>
      <c r="H146" s="479"/>
      <c r="I146" s="607">
        <f t="shared" si="4"/>
        <v>530000000</v>
      </c>
      <c r="J146" s="51"/>
    </row>
    <row r="147" spans="2:10">
      <c r="B147" s="839">
        <v>38322</v>
      </c>
      <c r="C147" s="455">
        <v>50</v>
      </c>
      <c r="D147" s="1132">
        <v>569</v>
      </c>
      <c r="E147" s="455">
        <v>1271</v>
      </c>
      <c r="F147" s="455">
        <v>1271</v>
      </c>
      <c r="G147" s="624">
        <f t="shared" si="3"/>
        <v>0</v>
      </c>
      <c r="H147" s="479"/>
      <c r="I147" s="607">
        <f t="shared" si="4"/>
        <v>50000000</v>
      </c>
      <c r="J147" s="51"/>
    </row>
    <row r="148" spans="2:10">
      <c r="B148" s="839">
        <v>38412</v>
      </c>
      <c r="C148" s="455">
        <v>70</v>
      </c>
      <c r="D148" s="1132">
        <v>686</v>
      </c>
      <c r="E148" s="455">
        <v>1054</v>
      </c>
      <c r="F148" s="455">
        <v>1044</v>
      </c>
      <c r="G148" s="624">
        <f t="shared" si="3"/>
        <v>-10</v>
      </c>
      <c r="H148" s="479"/>
      <c r="I148" s="607">
        <f t="shared" si="4"/>
        <v>70000000</v>
      </c>
      <c r="J148" s="51"/>
    </row>
    <row r="149" spans="2:10">
      <c r="B149" s="839">
        <v>38504</v>
      </c>
      <c r="C149" s="455">
        <v>60</v>
      </c>
      <c r="D149" s="1132">
        <v>810</v>
      </c>
      <c r="E149" s="455">
        <v>943</v>
      </c>
      <c r="F149" s="455">
        <v>913</v>
      </c>
      <c r="G149" s="624">
        <f t="shared" si="3"/>
        <v>-30</v>
      </c>
      <c r="H149" s="479"/>
      <c r="I149" s="607">
        <f t="shared" si="4"/>
        <v>60000000</v>
      </c>
      <c r="J149" s="51"/>
    </row>
    <row r="150" spans="2:10">
      <c r="B150" s="839">
        <v>38596</v>
      </c>
      <c r="C150" s="455">
        <v>70</v>
      </c>
      <c r="D150" s="1132">
        <v>762</v>
      </c>
      <c r="E150" s="455">
        <v>930</v>
      </c>
      <c r="F150" s="455">
        <v>875</v>
      </c>
      <c r="G150" s="624">
        <f t="shared" si="3"/>
        <v>-55</v>
      </c>
      <c r="H150" s="479"/>
      <c r="I150" s="607">
        <f t="shared" si="4"/>
        <v>70000000</v>
      </c>
      <c r="J150" s="51"/>
    </row>
    <row r="151" spans="2:10">
      <c r="B151" s="839">
        <v>38687</v>
      </c>
      <c r="C151" s="455">
        <v>40</v>
      </c>
      <c r="D151" s="1132">
        <v>508</v>
      </c>
      <c r="E151" s="455">
        <v>1018</v>
      </c>
      <c r="F151" s="455">
        <v>998</v>
      </c>
      <c r="G151" s="624">
        <f t="shared" si="3"/>
        <v>-20</v>
      </c>
      <c r="H151" s="479"/>
      <c r="I151" s="607">
        <f t="shared" si="4"/>
        <v>40000000</v>
      </c>
      <c r="J151" s="51"/>
    </row>
    <row r="152" spans="2:10">
      <c r="B152" s="839">
        <v>38777</v>
      </c>
      <c r="C152" s="455">
        <v>100</v>
      </c>
      <c r="D152" s="1132">
        <v>1664</v>
      </c>
      <c r="E152" s="455">
        <v>1121</v>
      </c>
      <c r="F152" s="455">
        <v>1111</v>
      </c>
      <c r="G152" s="624">
        <f t="shared" si="3"/>
        <v>-10</v>
      </c>
      <c r="H152" s="479"/>
      <c r="I152" s="607">
        <f t="shared" si="4"/>
        <v>100000000</v>
      </c>
      <c r="J152" s="51"/>
    </row>
    <row r="153" spans="2:10">
      <c r="B153" s="839">
        <v>38869</v>
      </c>
      <c r="C153" s="455">
        <v>80</v>
      </c>
      <c r="D153" s="1132">
        <v>926</v>
      </c>
      <c r="E153" s="455">
        <v>510</v>
      </c>
      <c r="F153" s="455">
        <v>540</v>
      </c>
      <c r="G153" s="624">
        <f t="shared" si="3"/>
        <v>30</v>
      </c>
      <c r="H153" s="479"/>
      <c r="I153" s="607">
        <f t="shared" si="4"/>
        <v>80000000</v>
      </c>
      <c r="J153" s="51"/>
    </row>
    <row r="154" spans="2:10">
      <c r="B154" s="841">
        <v>38961</v>
      </c>
      <c r="C154" s="621">
        <v>30</v>
      </c>
      <c r="D154" s="1132">
        <v>1284</v>
      </c>
      <c r="E154" s="455">
        <v>543</v>
      </c>
      <c r="F154" s="455">
        <v>533</v>
      </c>
      <c r="G154" s="624">
        <f t="shared" si="3"/>
        <v>-10</v>
      </c>
      <c r="H154" s="502"/>
      <c r="I154" s="658">
        <f t="shared" si="4"/>
        <v>30000000</v>
      </c>
      <c r="J154" s="51"/>
    </row>
    <row r="155" spans="2:10">
      <c r="B155" s="840">
        <v>39052</v>
      </c>
      <c r="C155" s="621">
        <v>55</v>
      </c>
      <c r="D155" s="1132">
        <v>806</v>
      </c>
      <c r="E155" s="621">
        <v>781</v>
      </c>
      <c r="F155" s="621">
        <v>801</v>
      </c>
      <c r="G155" s="624">
        <f t="shared" si="3"/>
        <v>20</v>
      </c>
      <c r="H155" s="502"/>
      <c r="I155" s="658">
        <f t="shared" ref="I155:I161" si="5">C155*1000000</f>
        <v>55000000</v>
      </c>
      <c r="J155" s="51"/>
    </row>
    <row r="156" spans="2:10">
      <c r="B156" s="840">
        <v>39142</v>
      </c>
      <c r="C156" s="621">
        <v>65</v>
      </c>
      <c r="D156" s="1132">
        <v>444</v>
      </c>
      <c r="E156" s="621">
        <v>794</v>
      </c>
      <c r="F156" s="621">
        <v>814</v>
      </c>
      <c r="G156" s="624">
        <f t="shared" ref="G156:G161" si="6">F156-E156</f>
        <v>20</v>
      </c>
      <c r="H156" s="502"/>
      <c r="I156" s="658">
        <f t="shared" si="5"/>
        <v>65000000</v>
      </c>
      <c r="J156" s="51"/>
    </row>
    <row r="157" spans="2:10">
      <c r="B157" s="840">
        <v>39234</v>
      </c>
      <c r="C157" s="621">
        <v>30</v>
      </c>
      <c r="D157" s="1132">
        <v>360</v>
      </c>
      <c r="E157" s="621">
        <v>609</v>
      </c>
      <c r="F157" s="621">
        <v>639</v>
      </c>
      <c r="G157" s="1019">
        <f t="shared" si="6"/>
        <v>30</v>
      </c>
      <c r="H157" s="502"/>
      <c r="I157" s="658">
        <f t="shared" si="5"/>
        <v>30000000</v>
      </c>
      <c r="J157" s="51"/>
    </row>
    <row r="158" spans="2:10">
      <c r="B158" s="840">
        <v>39326</v>
      </c>
      <c r="C158" s="621">
        <v>30</v>
      </c>
      <c r="D158" s="1132">
        <v>345</v>
      </c>
      <c r="E158" s="621">
        <v>616</v>
      </c>
      <c r="F158" s="621">
        <v>646</v>
      </c>
      <c r="G158" s="1019">
        <f t="shared" si="6"/>
        <v>30</v>
      </c>
      <c r="H158" s="502"/>
      <c r="I158" s="658">
        <f t="shared" si="5"/>
        <v>30000000</v>
      </c>
      <c r="J158" s="51"/>
    </row>
    <row r="159" spans="2:10">
      <c r="B159" s="840">
        <v>39417</v>
      </c>
      <c r="C159" s="621">
        <v>30</v>
      </c>
      <c r="D159" s="1132">
        <v>385</v>
      </c>
      <c r="E159" s="621">
        <v>787</v>
      </c>
      <c r="F159" s="621">
        <v>814</v>
      </c>
      <c r="G159" s="624">
        <f t="shared" si="6"/>
        <v>27</v>
      </c>
      <c r="H159" s="502"/>
      <c r="I159" s="658">
        <f t="shared" si="5"/>
        <v>30000000</v>
      </c>
      <c r="J159" s="51"/>
    </row>
    <row r="160" spans="2:10">
      <c r="B160" s="840">
        <v>39508</v>
      </c>
      <c r="C160" s="621">
        <v>30</v>
      </c>
      <c r="D160" s="1132">
        <v>415</v>
      </c>
      <c r="E160" s="621">
        <v>642</v>
      </c>
      <c r="F160" s="621">
        <v>669</v>
      </c>
      <c r="G160" s="624">
        <f>F160-E160</f>
        <v>27</v>
      </c>
      <c r="H160" s="502"/>
      <c r="I160" s="658">
        <f>C160*1000000</f>
        <v>30000000</v>
      </c>
      <c r="J160" s="51"/>
    </row>
    <row r="161" spans="2:10">
      <c r="B161" s="840">
        <v>39600</v>
      </c>
      <c r="C161" s="621">
        <v>30</v>
      </c>
      <c r="D161" s="1132">
        <v>410</v>
      </c>
      <c r="E161" s="621">
        <v>674</v>
      </c>
      <c r="F161" s="621">
        <v>704</v>
      </c>
      <c r="G161" s="624">
        <f t="shared" si="6"/>
        <v>30</v>
      </c>
      <c r="H161" s="502"/>
      <c r="I161" s="658">
        <f t="shared" si="5"/>
        <v>30000000</v>
      </c>
      <c r="J161" s="51"/>
    </row>
    <row r="162" spans="2:10">
      <c r="B162" s="840">
        <v>39692</v>
      </c>
      <c r="C162" s="621">
        <v>30</v>
      </c>
      <c r="D162" s="1132">
        <v>410</v>
      </c>
      <c r="E162" s="621">
        <v>230</v>
      </c>
      <c r="F162" s="621">
        <v>260</v>
      </c>
      <c r="G162" s="624">
        <f>F162-E162</f>
        <v>30</v>
      </c>
      <c r="H162" s="502"/>
      <c r="I162" s="658">
        <f>C162*1000000</f>
        <v>30000000</v>
      </c>
      <c r="J162" s="51"/>
    </row>
    <row r="163" spans="2:10" ht="13.5" thickBot="1">
      <c r="B163" s="840">
        <v>39783</v>
      </c>
      <c r="C163" s="621">
        <v>30</v>
      </c>
      <c r="D163" s="1132">
        <v>445</v>
      </c>
      <c r="E163" s="621">
        <v>325</v>
      </c>
      <c r="F163" s="621">
        <v>335</v>
      </c>
      <c r="G163" s="624">
        <f>F163-E163</f>
        <v>10</v>
      </c>
      <c r="H163" s="502"/>
      <c r="I163" s="658">
        <f>C163*1000000</f>
        <v>30000000</v>
      </c>
      <c r="J163" s="51"/>
    </row>
    <row r="164" spans="2:10" ht="13.5" thickBot="1">
      <c r="B164" s="503" t="s">
        <v>32</v>
      </c>
      <c r="C164" s="1020">
        <f>SUM(C142:C163)</f>
        <v>1946</v>
      </c>
      <c r="D164" s="1133">
        <f>SUM(D142:D163)</f>
        <v>16413</v>
      </c>
      <c r="E164" s="1021">
        <f>SUM(E142:E163)</f>
        <v>17306</v>
      </c>
      <c r="F164" s="1021">
        <f>SUM(F142:F163)</f>
        <v>18006</v>
      </c>
      <c r="G164" s="1022">
        <f>F164-E164</f>
        <v>700</v>
      </c>
      <c r="H164" s="504"/>
      <c r="I164" s="1023">
        <f>SUM(I142:I163)</f>
        <v>1946000000</v>
      </c>
      <c r="J164" s="51"/>
    </row>
    <row r="165" spans="2:10" ht="13.5" thickBot="1">
      <c r="B165" s="196"/>
      <c r="C165" s="197"/>
      <c r="D165" s="1123"/>
      <c r="E165" s="198"/>
      <c r="F165" s="198"/>
      <c r="G165" s="198"/>
      <c r="H165" s="199"/>
      <c r="I165" s="200"/>
      <c r="J165" s="51"/>
    </row>
    <row r="166" spans="2:10">
      <c r="B166" s="557" t="s">
        <v>33</v>
      </c>
      <c r="C166" s="558" t="s">
        <v>34</v>
      </c>
      <c r="D166" s="559" t="s">
        <v>35</v>
      </c>
      <c r="E166" s="559" t="s">
        <v>36</v>
      </c>
      <c r="F166" s="559" t="s">
        <v>37</v>
      </c>
      <c r="G166" s="558" t="s">
        <v>39</v>
      </c>
      <c r="H166" s="560" t="s">
        <v>42</v>
      </c>
      <c r="I166" s="200"/>
      <c r="J166" s="51"/>
    </row>
    <row r="167" spans="2:10">
      <c r="B167" s="561" t="s">
        <v>23</v>
      </c>
      <c r="C167" s="73" t="s">
        <v>41</v>
      </c>
      <c r="D167" s="73" t="s">
        <v>42</v>
      </c>
      <c r="E167" s="73" t="s">
        <v>42</v>
      </c>
      <c r="F167" s="73" t="s">
        <v>42</v>
      </c>
      <c r="G167" s="73" t="s">
        <v>42</v>
      </c>
      <c r="H167" s="562" t="s">
        <v>28</v>
      </c>
      <c r="J167" s="51"/>
    </row>
    <row r="168" spans="2:10">
      <c r="B168" s="488" t="s">
        <v>126</v>
      </c>
      <c r="C168" s="478"/>
      <c r="D168" s="1124"/>
      <c r="E168" s="478"/>
      <c r="F168" s="478"/>
      <c r="G168" s="478"/>
      <c r="H168" s="1053"/>
      <c r="I168" s="200"/>
      <c r="J168" s="51"/>
    </row>
    <row r="169" spans="2:10">
      <c r="B169" s="839">
        <v>37987</v>
      </c>
      <c r="C169" s="591">
        <v>96.99</v>
      </c>
      <c r="D169" s="1134">
        <v>0</v>
      </c>
      <c r="E169" s="617">
        <v>0</v>
      </c>
      <c r="F169" s="618">
        <v>0</v>
      </c>
      <c r="G169" s="591">
        <v>96.99</v>
      </c>
      <c r="H169" s="1054">
        <f>G169-C169</f>
        <v>0</v>
      </c>
      <c r="I169" s="489"/>
      <c r="J169" s="51"/>
    </row>
    <row r="170" spans="2:10">
      <c r="B170" s="839">
        <v>38019</v>
      </c>
      <c r="C170" s="591">
        <v>96.99</v>
      </c>
      <c r="D170" s="1134">
        <v>0</v>
      </c>
      <c r="E170" s="617">
        <v>0</v>
      </c>
      <c r="F170" s="618">
        <v>0</v>
      </c>
      <c r="G170" s="591">
        <v>96.99</v>
      </c>
      <c r="H170" s="1054">
        <f>G170-C170</f>
        <v>0</v>
      </c>
      <c r="I170" s="489"/>
      <c r="J170" s="51"/>
    </row>
    <row r="171" spans="2:10">
      <c r="B171" s="839">
        <v>38047</v>
      </c>
      <c r="C171" s="591">
        <v>96.97</v>
      </c>
      <c r="D171" s="1134">
        <v>0</v>
      </c>
      <c r="E171" s="617">
        <v>0</v>
      </c>
      <c r="F171" s="1181">
        <v>0</v>
      </c>
      <c r="G171" s="591">
        <v>96.97</v>
      </c>
      <c r="H171" s="1054">
        <f>G171-C171</f>
        <v>0</v>
      </c>
      <c r="I171" s="489"/>
      <c r="J171" s="51"/>
    </row>
    <row r="172" spans="2:10">
      <c r="B172" s="839">
        <v>38139</v>
      </c>
      <c r="C172" s="591">
        <v>96.94</v>
      </c>
      <c r="D172" s="1134">
        <v>96.94</v>
      </c>
      <c r="E172" s="617">
        <v>96.94</v>
      </c>
      <c r="F172" s="1181">
        <v>96.94</v>
      </c>
      <c r="G172" s="591">
        <v>96.94</v>
      </c>
      <c r="H172" s="1054">
        <f>G172-C172</f>
        <v>0</v>
      </c>
      <c r="I172" s="489"/>
      <c r="J172" s="51"/>
    </row>
    <row r="173" spans="2:10">
      <c r="B173" s="839">
        <v>38231</v>
      </c>
      <c r="C173" s="591">
        <v>96.86</v>
      </c>
      <c r="D173" s="1134">
        <v>96.86</v>
      </c>
      <c r="E173" s="617">
        <v>96.86</v>
      </c>
      <c r="F173" s="1181">
        <v>96.86</v>
      </c>
      <c r="G173" s="591">
        <v>96.86</v>
      </c>
      <c r="H173" s="625">
        <f t="shared" ref="H173:H182" si="7">G173-C173</f>
        <v>0</v>
      </c>
      <c r="I173" s="489"/>
      <c r="J173" s="51"/>
    </row>
    <row r="174" spans="2:10">
      <c r="B174" s="839">
        <v>38322</v>
      </c>
      <c r="C174" s="591">
        <v>96.75</v>
      </c>
      <c r="D174" s="1134">
        <v>96.7</v>
      </c>
      <c r="E174" s="617">
        <v>96.7</v>
      </c>
      <c r="F174" s="1181">
        <v>96.7</v>
      </c>
      <c r="G174" s="591">
        <v>96.7</v>
      </c>
      <c r="H174" s="625">
        <f t="shared" si="7"/>
        <v>-4.9999999999997158E-2</v>
      </c>
      <c r="I174" s="489"/>
      <c r="J174" s="51"/>
    </row>
    <row r="175" spans="2:10">
      <c r="B175" s="839">
        <v>38412</v>
      </c>
      <c r="C175" s="591">
        <v>96.55</v>
      </c>
      <c r="D175" s="1134">
        <v>96.55</v>
      </c>
      <c r="E175" s="617">
        <v>96.55</v>
      </c>
      <c r="F175" s="1181">
        <v>96.5</v>
      </c>
      <c r="G175" s="591">
        <v>96.5</v>
      </c>
      <c r="H175" s="625">
        <f t="shared" si="7"/>
        <v>-4.9999999999997158E-2</v>
      </c>
      <c r="I175" s="489"/>
      <c r="J175" s="51"/>
    </row>
    <row r="176" spans="2:10">
      <c r="B176" s="839">
        <v>38504</v>
      </c>
      <c r="C176" s="591">
        <v>96.42</v>
      </c>
      <c r="D176" s="1134">
        <v>96.45</v>
      </c>
      <c r="E176" s="617">
        <v>96.45</v>
      </c>
      <c r="F176" s="1181">
        <v>96.45</v>
      </c>
      <c r="G176" s="591">
        <v>96.37</v>
      </c>
      <c r="H176" s="625">
        <f t="shared" si="7"/>
        <v>-4.9999999999997158E-2</v>
      </c>
      <c r="I176" s="489" t="s">
        <v>74</v>
      </c>
      <c r="J176" s="51"/>
    </row>
    <row r="177" spans="2:10">
      <c r="B177" s="839">
        <v>38596</v>
      </c>
      <c r="C177" s="591">
        <v>96.02</v>
      </c>
      <c r="D177" s="1134">
        <v>96.12</v>
      </c>
      <c r="E177" s="617">
        <v>96.12</v>
      </c>
      <c r="F177" s="618">
        <v>96.12</v>
      </c>
      <c r="G177" s="591">
        <v>96.02</v>
      </c>
      <c r="H177" s="625">
        <f t="shared" si="7"/>
        <v>0</v>
      </c>
      <c r="I177" s="489"/>
      <c r="J177" s="51"/>
    </row>
    <row r="178" spans="2:10">
      <c r="B178" s="839">
        <v>38687</v>
      </c>
      <c r="C178" s="591">
        <v>95.85</v>
      </c>
      <c r="D178" s="1134">
        <v>95.95</v>
      </c>
      <c r="E178" s="617">
        <v>95.95</v>
      </c>
      <c r="F178" s="618">
        <v>95.95</v>
      </c>
      <c r="G178" s="591">
        <v>95.85</v>
      </c>
      <c r="H178" s="625">
        <f t="shared" si="7"/>
        <v>0</v>
      </c>
      <c r="I178" s="489"/>
      <c r="J178" s="51"/>
    </row>
    <row r="179" spans="2:10">
      <c r="B179" s="839">
        <v>38777</v>
      </c>
      <c r="C179" s="591">
        <v>95.75</v>
      </c>
      <c r="D179" s="1134">
        <v>95.8</v>
      </c>
      <c r="E179" s="617">
        <v>95.85</v>
      </c>
      <c r="F179" s="618">
        <v>95.8</v>
      </c>
      <c r="G179" s="591">
        <v>95.76</v>
      </c>
      <c r="H179" s="625">
        <f t="shared" si="7"/>
        <v>1.0000000000005116E-2</v>
      </c>
      <c r="I179" s="489"/>
      <c r="J179" s="51"/>
    </row>
    <row r="180" spans="2:10">
      <c r="B180" s="839">
        <v>38869</v>
      </c>
      <c r="C180" s="591">
        <v>95.55</v>
      </c>
      <c r="D180" s="1134">
        <v>95.62</v>
      </c>
      <c r="E180" s="617">
        <v>95.65</v>
      </c>
      <c r="F180" s="618">
        <v>95.58</v>
      </c>
      <c r="G180" s="591">
        <v>95.58</v>
      </c>
      <c r="H180" s="625">
        <f t="shared" si="7"/>
        <v>3.0000000000001137E-2</v>
      </c>
      <c r="I180" s="489"/>
      <c r="J180" s="51"/>
    </row>
    <row r="181" spans="2:10">
      <c r="B181" s="841">
        <v>38961</v>
      </c>
      <c r="C181" s="655">
        <v>95.31</v>
      </c>
      <c r="D181" s="1135">
        <v>0</v>
      </c>
      <c r="E181" s="663">
        <v>0</v>
      </c>
      <c r="F181" s="656">
        <v>0</v>
      </c>
      <c r="G181" s="655">
        <v>95.34</v>
      </c>
      <c r="H181" s="657">
        <f t="shared" si="7"/>
        <v>3.0000000000001137E-2</v>
      </c>
      <c r="I181" s="489"/>
      <c r="J181" s="51"/>
    </row>
    <row r="182" spans="2:10">
      <c r="B182" s="840">
        <v>39052</v>
      </c>
      <c r="C182" s="655">
        <v>95.09</v>
      </c>
      <c r="D182" s="1135">
        <v>95.19</v>
      </c>
      <c r="E182" s="663">
        <v>95.19</v>
      </c>
      <c r="F182" s="656">
        <v>95.09</v>
      </c>
      <c r="G182" s="655">
        <v>95.09</v>
      </c>
      <c r="H182" s="625">
        <f t="shared" si="7"/>
        <v>0</v>
      </c>
      <c r="I182" s="489"/>
      <c r="J182" s="51"/>
    </row>
    <row r="183" spans="2:10">
      <c r="B183" s="839">
        <v>39142</v>
      </c>
      <c r="C183" s="591">
        <v>94.98</v>
      </c>
      <c r="D183" s="1134">
        <v>95.08</v>
      </c>
      <c r="E183" s="617">
        <v>95.08</v>
      </c>
      <c r="F183" s="618">
        <v>95.08</v>
      </c>
      <c r="G183" s="591">
        <v>94.98</v>
      </c>
      <c r="H183" s="625">
        <f t="shared" ref="H183:H188" si="8">G183-C183</f>
        <v>0</v>
      </c>
      <c r="I183" s="489"/>
      <c r="J183" s="51"/>
    </row>
    <row r="184" spans="2:10">
      <c r="B184" s="841">
        <v>39234</v>
      </c>
      <c r="C184" s="1024">
        <v>94.8</v>
      </c>
      <c r="D184" s="1136">
        <v>0</v>
      </c>
      <c r="E184" s="1025">
        <v>0</v>
      </c>
      <c r="F184" s="1026">
        <v>0</v>
      </c>
      <c r="G184" s="1024">
        <v>94.8</v>
      </c>
      <c r="H184" s="625">
        <f t="shared" si="8"/>
        <v>0</v>
      </c>
      <c r="I184" s="489"/>
      <c r="J184" s="51"/>
    </row>
    <row r="185" spans="2:10">
      <c r="B185" s="840">
        <v>39326</v>
      </c>
      <c r="C185" s="655">
        <v>94.55</v>
      </c>
      <c r="D185" s="1135">
        <v>0</v>
      </c>
      <c r="E185" s="663">
        <v>0</v>
      </c>
      <c r="F185" s="656">
        <v>0</v>
      </c>
      <c r="G185" s="655">
        <v>94.55</v>
      </c>
      <c r="H185" s="625">
        <f t="shared" si="8"/>
        <v>0</v>
      </c>
      <c r="I185" s="489"/>
      <c r="J185" s="51"/>
    </row>
    <row r="186" spans="2:10">
      <c r="B186" s="840">
        <v>39417</v>
      </c>
      <c r="C186" s="655">
        <v>94.41</v>
      </c>
      <c r="D186" s="1135">
        <v>0</v>
      </c>
      <c r="E186" s="663">
        <v>0</v>
      </c>
      <c r="F186" s="656">
        <v>0</v>
      </c>
      <c r="G186" s="655">
        <v>94.41</v>
      </c>
      <c r="H186" s="625">
        <f t="shared" si="8"/>
        <v>0</v>
      </c>
      <c r="I186" s="489"/>
      <c r="J186" s="51"/>
    </row>
    <row r="187" spans="2:10">
      <c r="B187" s="840">
        <v>39508</v>
      </c>
      <c r="C187" s="655">
        <v>94.21</v>
      </c>
      <c r="D187" s="1135">
        <v>0</v>
      </c>
      <c r="E187" s="663">
        <v>0</v>
      </c>
      <c r="F187" s="656">
        <v>0</v>
      </c>
      <c r="G187" s="655">
        <v>94.21</v>
      </c>
      <c r="H187" s="657">
        <f t="shared" si="8"/>
        <v>0</v>
      </c>
      <c r="I187" s="489"/>
      <c r="J187" s="51"/>
    </row>
    <row r="188" spans="2:10">
      <c r="B188" s="840">
        <v>39600</v>
      </c>
      <c r="C188" s="655">
        <v>94.04</v>
      </c>
      <c r="D188" s="1135">
        <v>0</v>
      </c>
      <c r="E188" s="663">
        <v>0</v>
      </c>
      <c r="F188" s="656">
        <v>0</v>
      </c>
      <c r="G188" s="655">
        <v>94.04</v>
      </c>
      <c r="H188" s="657">
        <f t="shared" si="8"/>
        <v>0</v>
      </c>
      <c r="I188" s="489"/>
      <c r="J188" s="51"/>
    </row>
    <row r="189" spans="2:10">
      <c r="B189" s="840">
        <v>39692</v>
      </c>
      <c r="C189" s="655">
        <v>93.84</v>
      </c>
      <c r="D189" s="1135">
        <v>0</v>
      </c>
      <c r="E189" s="663">
        <v>0</v>
      </c>
      <c r="F189" s="656">
        <v>0</v>
      </c>
      <c r="G189" s="655">
        <v>93.84</v>
      </c>
      <c r="H189" s="657">
        <f>G189-C189</f>
        <v>0</v>
      </c>
      <c r="I189" s="489"/>
      <c r="J189" s="51"/>
    </row>
    <row r="190" spans="2:10" ht="13.5" thickBot="1">
      <c r="B190" s="842">
        <v>39783</v>
      </c>
      <c r="C190" s="1027">
        <v>93.58</v>
      </c>
      <c r="D190" s="1137">
        <v>0</v>
      </c>
      <c r="E190" s="1028">
        <v>0</v>
      </c>
      <c r="F190" s="1029">
        <v>0</v>
      </c>
      <c r="G190" s="1027">
        <v>93.58</v>
      </c>
      <c r="H190" s="1030">
        <f>G190-C190</f>
        <v>0</v>
      </c>
      <c r="I190" s="489"/>
      <c r="J190" s="51"/>
    </row>
    <row r="191" spans="2:10">
      <c r="J191" s="51"/>
    </row>
    <row r="192" spans="2:10" ht="13.5" thickBot="1">
      <c r="B192" s="176" t="s">
        <v>214</v>
      </c>
      <c r="J192" s="51"/>
    </row>
    <row r="193" spans="2:10">
      <c r="B193" s="482"/>
      <c r="C193" s="178" t="s">
        <v>21</v>
      </c>
      <c r="D193" s="1110"/>
      <c r="E193" s="178" t="s">
        <v>9</v>
      </c>
      <c r="F193" s="178"/>
      <c r="G193" s="178"/>
      <c r="H193" s="179" t="s">
        <v>106</v>
      </c>
      <c r="I193" s="102"/>
      <c r="J193" s="51"/>
    </row>
    <row r="194" spans="2:10">
      <c r="B194" s="483" t="s">
        <v>23</v>
      </c>
      <c r="C194" s="13" t="s">
        <v>24</v>
      </c>
      <c r="D194" s="13" t="s">
        <v>25</v>
      </c>
      <c r="E194" s="13" t="s">
        <v>26</v>
      </c>
      <c r="F194" s="13" t="s">
        <v>27</v>
      </c>
      <c r="G194" s="13" t="s">
        <v>28</v>
      </c>
      <c r="H194" s="59" t="s">
        <v>29</v>
      </c>
      <c r="I194" s="103"/>
      <c r="J194" s="51"/>
    </row>
    <row r="195" spans="2:10">
      <c r="B195" s="484" t="s">
        <v>213</v>
      </c>
      <c r="C195" s="14"/>
      <c r="D195" s="1111"/>
      <c r="E195" s="14"/>
      <c r="F195" s="14"/>
      <c r="G195" s="14"/>
      <c r="H195" s="18"/>
      <c r="I195" s="627"/>
      <c r="J195" s="51"/>
    </row>
    <row r="196" spans="2:10">
      <c r="B196" s="839">
        <v>38047</v>
      </c>
      <c r="C196" s="864">
        <v>52</v>
      </c>
      <c r="D196" s="1138">
        <v>1310</v>
      </c>
      <c r="E196" s="624">
        <v>998</v>
      </c>
      <c r="F196" s="624">
        <v>1047</v>
      </c>
      <c r="G196" s="624">
        <f>F196-E196</f>
        <v>49</v>
      </c>
      <c r="H196" s="640"/>
      <c r="I196" s="607">
        <f>C196*100000</f>
        <v>5200000</v>
      </c>
      <c r="J196" s="51"/>
    </row>
    <row r="197" spans="2:10">
      <c r="B197" s="839">
        <v>38139</v>
      </c>
      <c r="C197" s="864">
        <v>0</v>
      </c>
      <c r="D197" s="1138">
        <f>'[3]FMG5-Jan''04'!$C$27</f>
        <v>0</v>
      </c>
      <c r="E197" s="624">
        <v>0</v>
      </c>
      <c r="F197" s="624">
        <v>0</v>
      </c>
      <c r="G197" s="624">
        <f>F197-E197</f>
        <v>0</v>
      </c>
      <c r="H197" s="640"/>
      <c r="I197" s="607">
        <f>C197*100000</f>
        <v>0</v>
      </c>
      <c r="J197" s="51"/>
    </row>
    <row r="198" spans="2:10">
      <c r="B198" s="839">
        <v>38231</v>
      </c>
      <c r="C198" s="1041">
        <v>0</v>
      </c>
      <c r="D198" s="1138">
        <f>'[3]FMG5-Jan''04'!$D$27</f>
        <v>0</v>
      </c>
      <c r="E198" s="1019">
        <v>0</v>
      </c>
      <c r="F198" s="1019">
        <v>0</v>
      </c>
      <c r="G198" s="1019">
        <v>0</v>
      </c>
      <c r="H198" s="640"/>
      <c r="I198" s="607">
        <f>C198*100000</f>
        <v>0</v>
      </c>
      <c r="J198" s="51"/>
    </row>
    <row r="199" spans="2:10">
      <c r="B199" s="839">
        <v>38322</v>
      </c>
      <c r="C199" s="1041">
        <v>0</v>
      </c>
      <c r="D199" s="1138">
        <f>'[3]FMG5-Jan''04'!$E$27</f>
        <v>0</v>
      </c>
      <c r="E199" s="1019">
        <v>0</v>
      </c>
      <c r="F199" s="1019">
        <v>0</v>
      </c>
      <c r="G199" s="1019">
        <v>0</v>
      </c>
      <c r="H199" s="640"/>
      <c r="I199" s="607">
        <f>C199*100000</f>
        <v>0</v>
      </c>
      <c r="J199" s="51"/>
    </row>
    <row r="200" spans="2:10" ht="13.5" thickBot="1">
      <c r="B200" s="628" t="s">
        <v>32</v>
      </c>
      <c r="C200" s="863">
        <f>SUM(C196:C199)</f>
        <v>52</v>
      </c>
      <c r="D200" s="629">
        <f>SUM(D196:D199)</f>
        <v>1310</v>
      </c>
      <c r="E200" s="873">
        <f>SUM(E196:E199)</f>
        <v>998</v>
      </c>
      <c r="F200" s="629">
        <f>SUM(F196:F199)</f>
        <v>1047</v>
      </c>
      <c r="G200" s="629">
        <f>SUM(G196:G199)</f>
        <v>49</v>
      </c>
      <c r="H200" s="630"/>
      <c r="I200" s="836">
        <f>SUM(I196:I199)</f>
        <v>5200000</v>
      </c>
      <c r="J200" s="51"/>
    </row>
    <row r="201" spans="2:10" ht="13.5" thickBot="1">
      <c r="B201" s="16"/>
      <c r="C201" s="17"/>
      <c r="D201" s="1112"/>
      <c r="E201" s="16"/>
      <c r="F201" s="16"/>
      <c r="G201" s="12"/>
      <c r="H201" s="16"/>
      <c r="I201" s="12"/>
      <c r="J201" s="51"/>
    </row>
    <row r="202" spans="2:10">
      <c r="B202" s="557" t="s">
        <v>33</v>
      </c>
      <c r="C202" s="558" t="s">
        <v>34</v>
      </c>
      <c r="D202" s="559" t="s">
        <v>35</v>
      </c>
      <c r="E202" s="559" t="s">
        <v>36</v>
      </c>
      <c r="F202" s="559" t="s">
        <v>37</v>
      </c>
      <c r="G202" s="558" t="s">
        <v>39</v>
      </c>
      <c r="H202" s="560" t="s">
        <v>40</v>
      </c>
      <c r="I202" s="51"/>
    </row>
    <row r="203" spans="2:10">
      <c r="B203" s="561" t="s">
        <v>23</v>
      </c>
      <c r="C203" s="73" t="s">
        <v>41</v>
      </c>
      <c r="D203" s="73" t="s">
        <v>42</v>
      </c>
      <c r="E203" s="73" t="s">
        <v>42</v>
      </c>
      <c r="F203" s="73" t="s">
        <v>42</v>
      </c>
      <c r="G203" s="73" t="s">
        <v>42</v>
      </c>
      <c r="H203" s="562" t="s">
        <v>28</v>
      </c>
      <c r="I203" s="51"/>
      <c r="J203" s="872"/>
    </row>
    <row r="204" spans="2:10">
      <c r="B204" s="488" t="s">
        <v>213</v>
      </c>
      <c r="C204" s="14"/>
      <c r="D204" s="1111"/>
      <c r="E204" s="14"/>
      <c r="F204" s="14"/>
      <c r="G204" s="14"/>
      <c r="H204" s="194"/>
      <c r="I204" s="51"/>
    </row>
    <row r="205" spans="2:10">
      <c r="B205" s="840">
        <f>B196</f>
        <v>38047</v>
      </c>
      <c r="C205" s="935">
        <v>108.75</v>
      </c>
      <c r="D205" s="936">
        <v>109</v>
      </c>
      <c r="E205" s="936">
        <v>109</v>
      </c>
      <c r="F205" s="936">
        <v>108.9</v>
      </c>
      <c r="G205" s="935">
        <v>108.65</v>
      </c>
      <c r="H205" s="1031">
        <f>G205-C205</f>
        <v>-9.9999999999994316E-2</v>
      </c>
      <c r="I205" s="51"/>
    </row>
    <row r="206" spans="2:10">
      <c r="B206" s="840">
        <f>B197</f>
        <v>38139</v>
      </c>
      <c r="C206" s="935">
        <v>108.04</v>
      </c>
      <c r="D206" s="936">
        <v>0</v>
      </c>
      <c r="E206" s="936">
        <v>0</v>
      </c>
      <c r="F206" s="936">
        <v>0</v>
      </c>
      <c r="G206" s="935">
        <v>107.94</v>
      </c>
      <c r="H206" s="1031">
        <f>G206-C206</f>
        <v>-0.10000000000000853</v>
      </c>
      <c r="I206" s="51"/>
    </row>
    <row r="207" spans="2:10">
      <c r="B207" s="840">
        <f>B198</f>
        <v>38231</v>
      </c>
      <c r="C207" s="935">
        <v>107.45</v>
      </c>
      <c r="D207" s="936">
        <v>0</v>
      </c>
      <c r="E207" s="936">
        <v>0</v>
      </c>
      <c r="F207" s="936">
        <v>0</v>
      </c>
      <c r="G207" s="935">
        <v>107.35</v>
      </c>
      <c r="H207" s="1031">
        <f>G207-C207</f>
        <v>-0.10000000000000853</v>
      </c>
      <c r="I207" s="51"/>
    </row>
    <row r="208" spans="2:10" ht="13.5" thickBot="1">
      <c r="B208" s="842">
        <f>B199</f>
        <v>38322</v>
      </c>
      <c r="C208" s="876">
        <v>106.69</v>
      </c>
      <c r="D208" s="837">
        <v>0</v>
      </c>
      <c r="E208" s="837">
        <v>0</v>
      </c>
      <c r="F208" s="837">
        <v>0</v>
      </c>
      <c r="G208" s="876">
        <v>106.59</v>
      </c>
      <c r="H208" s="1003">
        <f>G208-C208</f>
        <v>-9.9999999999994316E-2</v>
      </c>
      <c r="I208" s="51"/>
    </row>
    <row r="209" spans="2:10">
      <c r="J209" s="51"/>
    </row>
    <row r="210" spans="2:10" ht="13.5" thickBot="1">
      <c r="B210" s="176" t="s">
        <v>254</v>
      </c>
      <c r="J210" s="51"/>
    </row>
    <row r="211" spans="2:10">
      <c r="B211" s="482"/>
      <c r="C211" s="178" t="s">
        <v>21</v>
      </c>
      <c r="D211" s="1110"/>
      <c r="E211" s="178" t="s">
        <v>9</v>
      </c>
      <c r="F211" s="178"/>
      <c r="G211" s="178"/>
      <c r="H211" s="179" t="s">
        <v>106</v>
      </c>
      <c r="I211" s="102"/>
      <c r="J211" s="51"/>
    </row>
    <row r="212" spans="2:10">
      <c r="B212" s="483" t="s">
        <v>23</v>
      </c>
      <c r="C212" s="13" t="s">
        <v>24</v>
      </c>
      <c r="D212" s="13" t="s">
        <v>25</v>
      </c>
      <c r="E212" s="13" t="s">
        <v>26</v>
      </c>
      <c r="F212" s="13" t="s">
        <v>27</v>
      </c>
      <c r="G212" s="13" t="s">
        <v>28</v>
      </c>
      <c r="H212" s="59" t="s">
        <v>29</v>
      </c>
      <c r="I212" s="103"/>
      <c r="J212" s="51"/>
    </row>
    <row r="213" spans="2:10">
      <c r="B213" s="484" t="s">
        <v>250</v>
      </c>
      <c r="C213" s="14"/>
      <c r="D213" s="1111"/>
      <c r="E213" s="14"/>
      <c r="F213" s="14"/>
      <c r="G213" s="14"/>
      <c r="H213" s="18"/>
      <c r="I213" s="627"/>
      <c r="J213" s="51"/>
    </row>
    <row r="214" spans="2:10">
      <c r="B214" s="839">
        <v>38047</v>
      </c>
      <c r="C214" s="864">
        <v>50</v>
      </c>
      <c r="D214" s="1138">
        <v>1120</v>
      </c>
      <c r="E214" s="624">
        <v>220</v>
      </c>
      <c r="F214" s="624">
        <v>220</v>
      </c>
      <c r="G214" s="624">
        <f>F214-E214</f>
        <v>0</v>
      </c>
      <c r="H214" s="640"/>
      <c r="I214" s="607">
        <f>C214*100000</f>
        <v>5000000</v>
      </c>
      <c r="J214" s="51"/>
    </row>
    <row r="215" spans="2:10">
      <c r="B215" s="839">
        <v>38139</v>
      </c>
      <c r="C215" s="864">
        <v>0</v>
      </c>
      <c r="D215" s="1138">
        <f>'[3]FMG3-Jan''04'!$C$27</f>
        <v>0</v>
      </c>
      <c r="E215" s="624">
        <v>0</v>
      </c>
      <c r="F215" s="624">
        <v>0</v>
      </c>
      <c r="G215" s="624">
        <f>F215-E215</f>
        <v>0</v>
      </c>
      <c r="H215" s="640"/>
      <c r="I215" s="607">
        <f>C215*100000</f>
        <v>0</v>
      </c>
      <c r="J215" s="51"/>
    </row>
    <row r="216" spans="2:10">
      <c r="B216" s="839">
        <v>38231</v>
      </c>
      <c r="C216" s="1041">
        <v>0</v>
      </c>
      <c r="D216" s="1138">
        <f>'[3]FMG3-Jan''04'!$D$27</f>
        <v>0</v>
      </c>
      <c r="E216" s="1019">
        <v>0</v>
      </c>
      <c r="F216" s="1019">
        <v>0</v>
      </c>
      <c r="G216" s="1019">
        <v>0</v>
      </c>
      <c r="H216" s="640"/>
      <c r="I216" s="607">
        <f>C216*100000</f>
        <v>0</v>
      </c>
      <c r="J216" s="51"/>
    </row>
    <row r="217" spans="2:10">
      <c r="B217" s="839">
        <v>38322</v>
      </c>
      <c r="C217" s="1041">
        <v>0</v>
      </c>
      <c r="D217" s="1138">
        <f>'[3]FMG3-Jan''04'!$E$27</f>
        <v>0</v>
      </c>
      <c r="E217" s="1019">
        <v>0</v>
      </c>
      <c r="F217" s="1019">
        <v>0</v>
      </c>
      <c r="G217" s="1019">
        <v>0</v>
      </c>
      <c r="H217" s="640"/>
      <c r="I217" s="607">
        <f>C217*100000</f>
        <v>0</v>
      </c>
      <c r="J217" s="51"/>
    </row>
    <row r="218" spans="2:10" ht="13.5" thickBot="1">
      <c r="B218" s="628" t="s">
        <v>32</v>
      </c>
      <c r="C218" s="863">
        <f>SUM(C214:C217)</f>
        <v>50</v>
      </c>
      <c r="D218" s="629">
        <f>SUM(D214:D217)</f>
        <v>1120</v>
      </c>
      <c r="E218" s="629">
        <f>SUM(E214:E217)</f>
        <v>220</v>
      </c>
      <c r="F218" s="629">
        <f>SUM(F214:F217)</f>
        <v>220</v>
      </c>
      <c r="G218" s="629">
        <f>SUM(G214:G217)</f>
        <v>0</v>
      </c>
      <c r="H218" s="630"/>
      <c r="I218" s="836">
        <f>SUM(I214:I217)</f>
        <v>5000000</v>
      </c>
      <c r="J218" s="51"/>
    </row>
    <row r="219" spans="2:10" ht="13.5" thickBot="1">
      <c r="B219" s="16"/>
      <c r="C219" s="17"/>
      <c r="D219" s="1112"/>
      <c r="E219" s="16"/>
      <c r="F219" s="16"/>
      <c r="G219" s="12"/>
      <c r="H219" s="16"/>
      <c r="I219" s="12"/>
      <c r="J219" s="51"/>
    </row>
    <row r="220" spans="2:10">
      <c r="B220" s="557" t="s">
        <v>33</v>
      </c>
      <c r="C220" s="558" t="s">
        <v>34</v>
      </c>
      <c r="D220" s="559" t="s">
        <v>35</v>
      </c>
      <c r="E220" s="559" t="s">
        <v>36</v>
      </c>
      <c r="F220" s="559" t="s">
        <v>37</v>
      </c>
      <c r="G220" s="558" t="s">
        <v>39</v>
      </c>
      <c r="H220" s="560" t="s">
        <v>40</v>
      </c>
      <c r="I220" s="51"/>
      <c r="J220" s="51"/>
    </row>
    <row r="221" spans="2:10">
      <c r="B221" s="561" t="s">
        <v>23</v>
      </c>
      <c r="C221" s="73" t="s">
        <v>41</v>
      </c>
      <c r="D221" s="73" t="s">
        <v>42</v>
      </c>
      <c r="E221" s="73" t="s">
        <v>42</v>
      </c>
      <c r="F221" s="73" t="s">
        <v>42</v>
      </c>
      <c r="G221" s="73" t="s">
        <v>42</v>
      </c>
      <c r="H221" s="562" t="s">
        <v>28</v>
      </c>
      <c r="I221" s="51"/>
      <c r="J221" s="51"/>
    </row>
    <row r="222" spans="2:10">
      <c r="B222" s="488" t="s">
        <v>250</v>
      </c>
      <c r="C222" s="14"/>
      <c r="D222" s="1111"/>
      <c r="E222" s="14"/>
      <c r="F222" s="14"/>
      <c r="G222" s="14"/>
      <c r="H222" s="194"/>
      <c r="I222" s="51"/>
      <c r="J222" s="51"/>
    </row>
    <row r="223" spans="2:10">
      <c r="B223" s="840">
        <f>B214</f>
        <v>38047</v>
      </c>
      <c r="C223" s="935">
        <v>107</v>
      </c>
      <c r="D223" s="936">
        <v>107.1</v>
      </c>
      <c r="E223" s="936">
        <v>107.1</v>
      </c>
      <c r="F223" s="936">
        <v>107.1</v>
      </c>
      <c r="G223" s="935">
        <v>106.9</v>
      </c>
      <c r="H223" s="1031">
        <f>G223-C223</f>
        <v>-9.9999999999994316E-2</v>
      </c>
      <c r="I223" s="51"/>
      <c r="J223" s="51"/>
    </row>
    <row r="224" spans="2:10">
      <c r="B224" s="840">
        <f>B215</f>
        <v>38139</v>
      </c>
      <c r="C224" s="935">
        <v>106.26</v>
      </c>
      <c r="D224" s="936">
        <v>0</v>
      </c>
      <c r="E224" s="936"/>
      <c r="F224" s="936">
        <v>0</v>
      </c>
      <c r="G224" s="935">
        <v>106.16</v>
      </c>
      <c r="H224" s="1031">
        <f>G224-C224</f>
        <v>-0.10000000000000853</v>
      </c>
      <c r="I224" s="51"/>
      <c r="J224" s="51"/>
    </row>
    <row r="225" spans="2:10">
      <c r="B225" s="840">
        <f>B216</f>
        <v>38231</v>
      </c>
      <c r="C225" s="935">
        <v>105.53</v>
      </c>
      <c r="D225" s="936">
        <v>0</v>
      </c>
      <c r="E225" s="936">
        <v>0</v>
      </c>
      <c r="F225" s="936">
        <v>0</v>
      </c>
      <c r="G225" s="935">
        <v>105.43</v>
      </c>
      <c r="H225" s="1031">
        <f>G225-C225</f>
        <v>-9.9999999999994316E-2</v>
      </c>
      <c r="I225" s="51"/>
      <c r="J225" s="51"/>
    </row>
    <row r="226" spans="2:10" ht="13.5" thickBot="1">
      <c r="B226" s="842">
        <f>B217</f>
        <v>38322</v>
      </c>
      <c r="C226" s="876">
        <v>104.75</v>
      </c>
      <c r="D226" s="837">
        <v>0</v>
      </c>
      <c r="E226" s="837">
        <v>0</v>
      </c>
      <c r="F226" s="837">
        <v>0</v>
      </c>
      <c r="G226" s="876">
        <v>104.65</v>
      </c>
      <c r="H226" s="1003">
        <f>G226-C226</f>
        <v>-9.9999999999994316E-2</v>
      </c>
      <c r="I226" s="51"/>
      <c r="J226" s="51"/>
    </row>
    <row r="227" spans="2:10">
      <c r="J227" s="51"/>
    </row>
    <row r="228" spans="2:10" ht="13.5" thickBot="1">
      <c r="B228" s="176" t="s">
        <v>255</v>
      </c>
      <c r="J228" s="51"/>
    </row>
    <row r="229" spans="2:10">
      <c r="B229" s="482"/>
      <c r="C229" s="178" t="s">
        <v>21</v>
      </c>
      <c r="D229" s="1110"/>
      <c r="E229" s="178" t="s">
        <v>9</v>
      </c>
      <c r="F229" s="178"/>
      <c r="G229" s="178"/>
      <c r="H229" s="179" t="s">
        <v>106</v>
      </c>
      <c r="I229" s="102"/>
      <c r="J229" s="51"/>
    </row>
    <row r="230" spans="2:10">
      <c r="B230" s="483" t="s">
        <v>23</v>
      </c>
      <c r="C230" s="13" t="s">
        <v>24</v>
      </c>
      <c r="D230" s="13" t="s">
        <v>25</v>
      </c>
      <c r="E230" s="13" t="s">
        <v>26</v>
      </c>
      <c r="F230" s="13" t="s">
        <v>27</v>
      </c>
      <c r="G230" s="13" t="s">
        <v>28</v>
      </c>
      <c r="H230" s="59" t="s">
        <v>29</v>
      </c>
      <c r="I230" s="103"/>
      <c r="J230" s="51"/>
    </row>
    <row r="231" spans="2:10">
      <c r="B231" s="484" t="s">
        <v>251</v>
      </c>
      <c r="C231" s="14"/>
      <c r="D231" s="1111"/>
      <c r="E231" s="14"/>
      <c r="F231" s="14"/>
      <c r="G231" s="14"/>
      <c r="H231" s="18"/>
      <c r="I231" s="627"/>
      <c r="J231" s="51"/>
    </row>
    <row r="232" spans="2:10">
      <c r="B232" s="839">
        <v>38047</v>
      </c>
      <c r="C232" s="864">
        <v>0</v>
      </c>
      <c r="D232" s="1138">
        <f>'[3]FMGA-Jan''04'!$B$27</f>
        <v>0</v>
      </c>
      <c r="E232" s="624">
        <v>0</v>
      </c>
      <c r="F232" s="624">
        <v>0</v>
      </c>
      <c r="G232" s="1049">
        <f>F232-E232</f>
        <v>0</v>
      </c>
      <c r="H232" s="640"/>
      <c r="I232" s="607">
        <f>C232*100000</f>
        <v>0</v>
      </c>
      <c r="J232" s="51"/>
    </row>
    <row r="233" spans="2:10">
      <c r="B233" s="839">
        <v>38139</v>
      </c>
      <c r="C233" s="864">
        <v>0</v>
      </c>
      <c r="D233" s="1138">
        <f>'[3]FMGA-Jan''04'!$C$27</f>
        <v>0</v>
      </c>
      <c r="E233" s="624">
        <v>0</v>
      </c>
      <c r="F233" s="624">
        <v>0</v>
      </c>
      <c r="G233" s="624">
        <f>F233-E233</f>
        <v>0</v>
      </c>
      <c r="H233" s="640"/>
      <c r="I233" s="607">
        <f>C233*100000</f>
        <v>0</v>
      </c>
      <c r="J233" s="51"/>
    </row>
    <row r="234" spans="2:10">
      <c r="B234" s="839">
        <v>38231</v>
      </c>
      <c r="C234" s="1041">
        <v>0</v>
      </c>
      <c r="D234" s="1138">
        <f>'[3]FMGA-Jan''04'!$D$27</f>
        <v>0</v>
      </c>
      <c r="E234" s="1019">
        <v>0</v>
      </c>
      <c r="F234" s="1019">
        <v>0</v>
      </c>
      <c r="G234" s="1019">
        <v>0</v>
      </c>
      <c r="H234" s="640"/>
      <c r="I234" s="607">
        <f>C234*100000</f>
        <v>0</v>
      </c>
      <c r="J234" s="51"/>
    </row>
    <row r="235" spans="2:10">
      <c r="B235" s="839">
        <v>38322</v>
      </c>
      <c r="C235" s="1041">
        <v>0</v>
      </c>
      <c r="D235" s="1138">
        <f>'[3]FMGA-Jan''04'!$E$27</f>
        <v>0</v>
      </c>
      <c r="E235" s="1019">
        <v>0</v>
      </c>
      <c r="F235" s="1019">
        <v>0</v>
      </c>
      <c r="G235" s="1019">
        <v>0</v>
      </c>
      <c r="H235" s="640"/>
      <c r="I235" s="607">
        <f>C235*100000</f>
        <v>0</v>
      </c>
      <c r="J235" s="51"/>
    </row>
    <row r="236" spans="2:10" ht="13.5" thickBot="1">
      <c r="B236" s="628" t="s">
        <v>32</v>
      </c>
      <c r="C236" s="863">
        <f>SUM(C232:C235)</f>
        <v>0</v>
      </c>
      <c r="D236" s="629">
        <f>SUM(D232:D235)</f>
        <v>0</v>
      </c>
      <c r="E236" s="873">
        <f>SUM(E232:E235)</f>
        <v>0</v>
      </c>
      <c r="F236" s="629">
        <f>SUM(F232:F235)</f>
        <v>0</v>
      </c>
      <c r="G236" s="629">
        <f>SUM(G232:G235)</f>
        <v>0</v>
      </c>
      <c r="H236" s="630"/>
      <c r="I236" s="836">
        <f>SUM(I232:I235)</f>
        <v>0</v>
      </c>
      <c r="J236" s="51"/>
    </row>
    <row r="237" spans="2:10" ht="13.5" thickBot="1">
      <c r="B237" s="16"/>
      <c r="C237" s="17"/>
      <c r="D237" s="1112"/>
      <c r="E237" s="16"/>
      <c r="F237" s="16"/>
      <c r="G237" s="12"/>
      <c r="H237" s="16"/>
      <c r="I237" s="12"/>
      <c r="J237" s="51"/>
    </row>
    <row r="238" spans="2:10">
      <c r="B238" s="557" t="s">
        <v>33</v>
      </c>
      <c r="C238" s="558" t="s">
        <v>34</v>
      </c>
      <c r="D238" s="559" t="s">
        <v>35</v>
      </c>
      <c r="E238" s="559" t="s">
        <v>36</v>
      </c>
      <c r="F238" s="559" t="s">
        <v>37</v>
      </c>
      <c r="G238" s="558" t="s">
        <v>39</v>
      </c>
      <c r="H238" s="560" t="s">
        <v>40</v>
      </c>
      <c r="I238" s="51"/>
      <c r="J238" s="51"/>
    </row>
    <row r="239" spans="2:10">
      <c r="B239" s="561" t="s">
        <v>23</v>
      </c>
      <c r="C239" s="73" t="s">
        <v>41</v>
      </c>
      <c r="D239" s="73" t="s">
        <v>42</v>
      </c>
      <c r="E239" s="73" t="s">
        <v>42</v>
      </c>
      <c r="F239" s="73" t="s">
        <v>42</v>
      </c>
      <c r="G239" s="73" t="s">
        <v>42</v>
      </c>
      <c r="H239" s="562" t="s">
        <v>28</v>
      </c>
      <c r="I239" s="51"/>
      <c r="J239" s="51"/>
    </row>
    <row r="240" spans="2:10">
      <c r="B240" s="488" t="s">
        <v>251</v>
      </c>
      <c r="C240" s="14"/>
      <c r="D240" s="1111"/>
      <c r="E240" s="14"/>
      <c r="F240" s="14"/>
      <c r="G240" s="14"/>
      <c r="H240" s="194"/>
      <c r="I240" s="51"/>
      <c r="J240" s="51"/>
    </row>
    <row r="241" spans="2:10">
      <c r="B241" s="840">
        <f>B232</f>
        <v>38047</v>
      </c>
      <c r="C241" s="935">
        <v>109.1</v>
      </c>
      <c r="D241" s="936">
        <v>0</v>
      </c>
      <c r="E241" s="936">
        <v>0</v>
      </c>
      <c r="F241" s="936">
        <v>0</v>
      </c>
      <c r="G241" s="935">
        <v>109.1</v>
      </c>
      <c r="H241" s="1031">
        <f>G241-C241</f>
        <v>0</v>
      </c>
      <c r="I241" s="51"/>
      <c r="J241" s="51"/>
    </row>
    <row r="242" spans="2:10">
      <c r="B242" s="840">
        <f>B233</f>
        <v>38139</v>
      </c>
      <c r="C242" s="935">
        <v>108.4</v>
      </c>
      <c r="D242" s="936">
        <v>0</v>
      </c>
      <c r="E242" s="936">
        <v>0</v>
      </c>
      <c r="F242" s="936">
        <v>0</v>
      </c>
      <c r="G242" s="935">
        <v>108.4</v>
      </c>
      <c r="H242" s="1031">
        <f>G242-C242</f>
        <v>0</v>
      </c>
      <c r="I242" s="51"/>
      <c r="J242" s="51"/>
    </row>
    <row r="243" spans="2:10">
      <c r="B243" s="840">
        <f>B234</f>
        <v>38231</v>
      </c>
      <c r="C243" s="935">
        <v>107.71</v>
      </c>
      <c r="D243" s="936">
        <v>0</v>
      </c>
      <c r="E243" s="936">
        <v>0</v>
      </c>
      <c r="F243" s="936">
        <v>0</v>
      </c>
      <c r="G243" s="935">
        <v>107.71</v>
      </c>
      <c r="H243" s="1031">
        <f>G243-C243</f>
        <v>0</v>
      </c>
      <c r="I243" s="51"/>
      <c r="J243" s="51"/>
    </row>
    <row r="244" spans="2:10" ht="13.5" thickBot="1">
      <c r="B244" s="842">
        <f>B235</f>
        <v>38322</v>
      </c>
      <c r="C244" s="876">
        <v>106.93</v>
      </c>
      <c r="D244" s="837">
        <v>0</v>
      </c>
      <c r="E244" s="837">
        <v>0</v>
      </c>
      <c r="F244" s="837">
        <v>0</v>
      </c>
      <c r="G244" s="876">
        <v>106.93</v>
      </c>
      <c r="H244" s="1003">
        <f>G244-C244</f>
        <v>0</v>
      </c>
      <c r="I244" s="51"/>
      <c r="J244" s="51"/>
    </row>
    <row r="245" spans="2:10">
      <c r="J245" s="51"/>
    </row>
    <row r="246" spans="2:10">
      <c r="J246" s="51"/>
    </row>
    <row r="247" spans="2:10" ht="12" customHeight="1">
      <c r="B247" s="11" t="s">
        <v>153</v>
      </c>
      <c r="J247" s="51"/>
    </row>
    <row r="248" spans="2:10" ht="9" customHeight="1" thickBot="1">
      <c r="B248" s="11"/>
      <c r="J248" s="51"/>
    </row>
    <row r="249" spans="2:10" ht="9" customHeight="1">
      <c r="B249" s="203"/>
      <c r="C249" s="204" t="s">
        <v>155</v>
      </c>
      <c r="D249" s="1139"/>
      <c r="E249" s="205"/>
      <c r="F249" s="205"/>
      <c r="G249" s="205"/>
      <c r="H249" s="205"/>
      <c r="I249" s="205"/>
      <c r="J249" s="206"/>
    </row>
    <row r="250" spans="2:10" ht="9" customHeight="1">
      <c r="B250" s="207" t="s">
        <v>54</v>
      </c>
      <c r="C250" s="208" t="s">
        <v>55</v>
      </c>
      <c r="D250" s="1140"/>
      <c r="E250" s="210" t="s">
        <v>56</v>
      </c>
      <c r="F250" s="211"/>
      <c r="G250" s="209" t="s">
        <v>57</v>
      </c>
      <c r="H250" s="212"/>
      <c r="I250" s="213" t="s">
        <v>58</v>
      </c>
      <c r="J250" s="214"/>
    </row>
    <row r="251" spans="2:10" ht="9" customHeight="1">
      <c r="B251" s="207"/>
      <c r="C251" s="215"/>
      <c r="D251" s="1140"/>
      <c r="E251" s="216" t="s">
        <v>59</v>
      </c>
      <c r="F251" s="217"/>
      <c r="G251" s="218"/>
      <c r="H251" s="209"/>
      <c r="I251" s="216" t="s">
        <v>60</v>
      </c>
      <c r="J251" s="219"/>
    </row>
    <row r="252" spans="2:10" ht="9" customHeight="1" thickBot="1">
      <c r="B252" s="220" t="s">
        <v>61</v>
      </c>
      <c r="C252" s="109" t="s">
        <v>62</v>
      </c>
      <c r="D252" s="1141" t="s">
        <v>63</v>
      </c>
      <c r="E252" s="109" t="s">
        <v>62</v>
      </c>
      <c r="F252" s="221" t="s">
        <v>63</v>
      </c>
      <c r="G252" s="109" t="s">
        <v>62</v>
      </c>
      <c r="H252" s="221" t="s">
        <v>63</v>
      </c>
      <c r="I252" s="109" t="s">
        <v>62</v>
      </c>
      <c r="J252" s="222" t="s">
        <v>63</v>
      </c>
    </row>
    <row r="253" spans="2:10" ht="9" customHeight="1">
      <c r="B253" s="223">
        <v>35034</v>
      </c>
      <c r="C253" s="224">
        <v>672</v>
      </c>
      <c r="D253" s="225" t="s">
        <v>64</v>
      </c>
      <c r="E253" s="226">
        <v>67</v>
      </c>
      <c r="F253" s="225" t="s">
        <v>64</v>
      </c>
      <c r="G253" s="227" t="s">
        <v>64</v>
      </c>
      <c r="H253" s="228" t="s">
        <v>64</v>
      </c>
      <c r="I253" s="229"/>
      <c r="J253" s="230" t="s">
        <v>64</v>
      </c>
    </row>
    <row r="254" spans="2:10" ht="9" customHeight="1">
      <c r="B254" s="231">
        <v>35065</v>
      </c>
      <c r="C254" s="232">
        <f>C456+C754</f>
        <v>62526</v>
      </c>
      <c r="D254" s="1142">
        <f t="shared" ref="D254:D285" si="9">(C254-C253)/C253</f>
        <v>92.044642857142861</v>
      </c>
      <c r="E254" s="234">
        <f>C254/22</f>
        <v>2842.090909090909</v>
      </c>
      <c r="F254" s="233">
        <f t="shared" ref="F254:F269" si="10">(E254-E253)/E253</f>
        <v>41.419267299864316</v>
      </c>
      <c r="G254" s="235">
        <f>C253+C254</f>
        <v>63198</v>
      </c>
      <c r="H254" s="236" t="s">
        <v>31</v>
      </c>
      <c r="I254" s="237">
        <f>G254/22</f>
        <v>2872.6363636363635</v>
      </c>
      <c r="J254" s="238" t="s">
        <v>31</v>
      </c>
    </row>
    <row r="255" spans="2:10" ht="9" customHeight="1">
      <c r="B255" s="231">
        <v>35096</v>
      </c>
      <c r="C255" s="232">
        <f>C457+C755</f>
        <v>33829</v>
      </c>
      <c r="D255" s="1142">
        <f t="shared" si="9"/>
        <v>-0.45896107219396731</v>
      </c>
      <c r="E255" s="234">
        <f>C255/15</f>
        <v>2255.2666666666669</v>
      </c>
      <c r="F255" s="233">
        <f t="shared" si="10"/>
        <v>-0.20647623921781863</v>
      </c>
      <c r="G255" s="235">
        <f>G254+C255</f>
        <v>97027</v>
      </c>
      <c r="H255" s="239">
        <f t="shared" ref="H255:H265" si="11">(G255-G254)/G254*100</f>
        <v>53.528592676983443</v>
      </c>
      <c r="I255" s="240">
        <f>G255/37</f>
        <v>2622.3513513513512</v>
      </c>
      <c r="J255" s="241">
        <f t="shared" ref="J255:J265" si="12">(I255-I254)/I254*100</f>
        <v>-8.7127286785503806</v>
      </c>
    </row>
    <row r="256" spans="2:10" ht="9" customHeight="1">
      <c r="B256" s="231">
        <v>35125</v>
      </c>
      <c r="C256" s="232">
        <f>C458+C756</f>
        <v>38563</v>
      </c>
      <c r="D256" s="1142">
        <f t="shared" si="9"/>
        <v>0.1399391055011972</v>
      </c>
      <c r="E256" s="234">
        <f>C256/21</f>
        <v>1836.3333333333333</v>
      </c>
      <c r="F256" s="233">
        <f t="shared" si="10"/>
        <v>-0.18575778178485924</v>
      </c>
      <c r="G256" s="235">
        <f>G255+C256</f>
        <v>135590</v>
      </c>
      <c r="H256" s="239">
        <f t="shared" si="11"/>
        <v>39.744607171199767</v>
      </c>
      <c r="I256" s="240">
        <f>G256/58</f>
        <v>2337.7586206896553</v>
      </c>
      <c r="J256" s="241">
        <f t="shared" si="12"/>
        <v>-10.852578183889792</v>
      </c>
    </row>
    <row r="257" spans="2:10" ht="9" customHeight="1">
      <c r="B257" s="231">
        <v>35156</v>
      </c>
      <c r="C257" s="232">
        <f>C459+C757</f>
        <v>45656</v>
      </c>
      <c r="D257" s="1142">
        <f t="shared" si="9"/>
        <v>0.18393278531234603</v>
      </c>
      <c r="E257" s="234">
        <f>C257/21</f>
        <v>2174.0952380952381</v>
      </c>
      <c r="F257" s="233">
        <f t="shared" si="10"/>
        <v>0.18393278531234608</v>
      </c>
      <c r="G257" s="235">
        <f t="shared" ref="G257:G265" si="13">G256+C257</f>
        <v>181246</v>
      </c>
      <c r="H257" s="239">
        <f t="shared" si="11"/>
        <v>33.672099712368173</v>
      </c>
      <c r="I257" s="240">
        <f>G257/79</f>
        <v>2294.253164556962</v>
      </c>
      <c r="J257" s="241">
        <f t="shared" si="12"/>
        <v>-1.8609900845904657</v>
      </c>
    </row>
    <row r="258" spans="2:10" ht="9" customHeight="1">
      <c r="B258" s="231">
        <v>35186</v>
      </c>
      <c r="C258" s="232">
        <f t="shared" ref="C258:C289" si="14">C460+C758+C957</f>
        <v>33874</v>
      </c>
      <c r="D258" s="1142">
        <f t="shared" si="9"/>
        <v>-0.25806027685298755</v>
      </c>
      <c r="E258" s="234">
        <f>C258/20</f>
        <v>1693.7</v>
      </c>
      <c r="F258" s="233">
        <f>(E258-E257)/E257</f>
        <v>-0.22096329069563692</v>
      </c>
      <c r="G258" s="235">
        <f t="shared" si="13"/>
        <v>215120</v>
      </c>
      <c r="H258" s="239">
        <f t="shared" si="11"/>
        <v>18.689515906557936</v>
      </c>
      <c r="I258" s="240">
        <f>G258/99</f>
        <v>2172.9292929292928</v>
      </c>
      <c r="J258" s="241">
        <f t="shared" si="12"/>
        <v>-5.2881640745648815</v>
      </c>
    </row>
    <row r="259" spans="2:10" ht="9" customHeight="1">
      <c r="B259" s="231">
        <v>35217</v>
      </c>
      <c r="C259" s="232">
        <f t="shared" si="14"/>
        <v>55978</v>
      </c>
      <c r="D259" s="1142">
        <f t="shared" si="9"/>
        <v>0.65253586821751197</v>
      </c>
      <c r="E259" s="234">
        <f>C259/20</f>
        <v>2798.9</v>
      </c>
      <c r="F259" s="233">
        <f t="shared" si="10"/>
        <v>0.65253586821751197</v>
      </c>
      <c r="G259" s="235">
        <f t="shared" si="13"/>
        <v>271098</v>
      </c>
      <c r="H259" s="239">
        <f t="shared" si="11"/>
        <v>26.021755299367793</v>
      </c>
      <c r="I259" s="240">
        <f>G259/119</f>
        <v>2278.1344537815125</v>
      </c>
      <c r="J259" s="241">
        <f t="shared" si="12"/>
        <v>4.8416283582975792</v>
      </c>
    </row>
    <row r="260" spans="2:10" ht="9" customHeight="1">
      <c r="B260" s="231">
        <v>35247</v>
      </c>
      <c r="C260" s="232">
        <f t="shared" si="14"/>
        <v>55163</v>
      </c>
      <c r="D260" s="1143">
        <f t="shared" si="9"/>
        <v>-1.455929115009468E-2</v>
      </c>
      <c r="E260" s="234">
        <f>C260/22</f>
        <v>2507.409090909091</v>
      </c>
      <c r="F260" s="233">
        <f t="shared" si="10"/>
        <v>-0.1041448101364497</v>
      </c>
      <c r="G260" s="235">
        <f t="shared" si="13"/>
        <v>326261</v>
      </c>
      <c r="H260" s="239">
        <f t="shared" si="11"/>
        <v>20.347992238968935</v>
      </c>
      <c r="I260" s="240">
        <f>G260/141</f>
        <v>2313.9078014184397</v>
      </c>
      <c r="J260" s="241">
        <f t="shared" si="12"/>
        <v>1.5702913222503789</v>
      </c>
    </row>
    <row r="261" spans="2:10" ht="9" customHeight="1">
      <c r="B261" s="231">
        <v>35278</v>
      </c>
      <c r="C261" s="232">
        <f t="shared" si="14"/>
        <v>68751</v>
      </c>
      <c r="D261" s="1142">
        <f t="shared" si="9"/>
        <v>0.24632452912278158</v>
      </c>
      <c r="E261" s="234">
        <f>C261/22</f>
        <v>3125.0454545454545</v>
      </c>
      <c r="F261" s="233">
        <f t="shared" si="10"/>
        <v>0.24632452912278152</v>
      </c>
      <c r="G261" s="235">
        <f t="shared" si="13"/>
        <v>395012</v>
      </c>
      <c r="H261" s="239">
        <f t="shared" si="11"/>
        <v>21.072392961463368</v>
      </c>
      <c r="I261" s="240">
        <f>G261/163</f>
        <v>2423.3865030674847</v>
      </c>
      <c r="J261" s="241">
        <f t="shared" si="12"/>
        <v>4.7313337887505229</v>
      </c>
    </row>
    <row r="262" spans="2:10" ht="9" customHeight="1">
      <c r="B262" s="231">
        <v>35309</v>
      </c>
      <c r="C262" s="232">
        <f t="shared" si="14"/>
        <v>64422</v>
      </c>
      <c r="D262" s="1142">
        <f t="shared" si="9"/>
        <v>-6.2966356852991234E-2</v>
      </c>
      <c r="E262" s="234">
        <f>C262/21</f>
        <v>3067.7142857142858</v>
      </c>
      <c r="F262" s="233">
        <f t="shared" si="10"/>
        <v>-1.834570717932411E-2</v>
      </c>
      <c r="G262" s="235">
        <f t="shared" si="13"/>
        <v>459434</v>
      </c>
      <c r="H262" s="239">
        <f t="shared" si="11"/>
        <v>16.30887162921633</v>
      </c>
      <c r="I262" s="240">
        <f>G262/184</f>
        <v>2496.9239130434785</v>
      </c>
      <c r="J262" s="241">
        <f t="shared" si="12"/>
        <v>3.034489541099255</v>
      </c>
    </row>
    <row r="263" spans="2:10" ht="9" customHeight="1">
      <c r="B263" s="231">
        <v>35339</v>
      </c>
      <c r="C263" s="232">
        <f t="shared" si="14"/>
        <v>59817</v>
      </c>
      <c r="D263" s="1142">
        <f t="shared" si="9"/>
        <v>-7.148179193443234E-2</v>
      </c>
      <c r="E263" s="234">
        <f>C263/23</f>
        <v>2600.7391304347825</v>
      </c>
      <c r="F263" s="233">
        <f t="shared" si="10"/>
        <v>-0.15222250567926435</v>
      </c>
      <c r="G263" s="235">
        <f t="shared" si="13"/>
        <v>519251</v>
      </c>
      <c r="H263" s="239">
        <f t="shared" si="11"/>
        <v>13.019715563062375</v>
      </c>
      <c r="I263" s="240">
        <f>G263/207</f>
        <v>2508.4589371980678</v>
      </c>
      <c r="J263" s="241">
        <f t="shared" si="12"/>
        <v>0.46196938938877791</v>
      </c>
    </row>
    <row r="264" spans="2:10" ht="9" customHeight="1">
      <c r="B264" s="231">
        <v>35370</v>
      </c>
      <c r="C264" s="232">
        <f t="shared" si="14"/>
        <v>49190</v>
      </c>
      <c r="D264" s="1142">
        <f t="shared" si="9"/>
        <v>-0.17765852516843039</v>
      </c>
      <c r="E264" s="234">
        <f>C264/20</f>
        <v>2459.5</v>
      </c>
      <c r="F264" s="233">
        <f t="shared" si="10"/>
        <v>-5.4307303943694901E-2</v>
      </c>
      <c r="G264" s="235">
        <f t="shared" si="13"/>
        <v>568441</v>
      </c>
      <c r="H264" s="239">
        <f t="shared" si="11"/>
        <v>9.4732605233307208</v>
      </c>
      <c r="I264" s="240">
        <f>G264/227</f>
        <v>2504.1453744493392</v>
      </c>
      <c r="J264" s="241">
        <f t="shared" si="12"/>
        <v>-0.17196066815216923</v>
      </c>
    </row>
    <row r="265" spans="2:10" ht="9" customHeight="1">
      <c r="B265" s="231">
        <v>35400</v>
      </c>
      <c r="C265" s="232">
        <f t="shared" si="14"/>
        <v>48513</v>
      </c>
      <c r="D265" s="1142">
        <f t="shared" si="9"/>
        <v>-1.3762959951209595E-2</v>
      </c>
      <c r="E265" s="234">
        <f>C265/21</f>
        <v>2310.1428571428573</v>
      </c>
      <c r="F265" s="233">
        <f t="shared" si="10"/>
        <v>-6.072662852496144E-2</v>
      </c>
      <c r="G265" s="235">
        <f t="shared" si="13"/>
        <v>616954</v>
      </c>
      <c r="H265" s="239">
        <f t="shared" si="11"/>
        <v>8.5343949503994256</v>
      </c>
      <c r="I265" s="240">
        <f>G265/248</f>
        <v>2487.7177419354839</v>
      </c>
      <c r="J265" s="241">
        <f t="shared" si="12"/>
        <v>-0.6560175252392344</v>
      </c>
    </row>
    <row r="266" spans="2:10" ht="9" customHeight="1">
      <c r="B266" s="243">
        <v>35431</v>
      </c>
      <c r="C266" s="232">
        <f t="shared" si="14"/>
        <v>65355</v>
      </c>
      <c r="D266" s="1142">
        <f t="shared" si="9"/>
        <v>0.34716467750912128</v>
      </c>
      <c r="E266" s="234">
        <f>C266/22</f>
        <v>2970.681818181818</v>
      </c>
      <c r="F266" s="233">
        <f t="shared" si="10"/>
        <v>0.28592991944052465</v>
      </c>
      <c r="G266" s="235">
        <f>C266</f>
        <v>65355</v>
      </c>
      <c r="H266" s="236" t="s">
        <v>31</v>
      </c>
      <c r="I266" s="245">
        <f>G266/22</f>
        <v>2970.681818181818</v>
      </c>
      <c r="J266" s="238" t="s">
        <v>31</v>
      </c>
    </row>
    <row r="267" spans="2:10" ht="9" customHeight="1">
      <c r="B267" s="243">
        <v>35462</v>
      </c>
      <c r="C267" s="232">
        <f t="shared" si="14"/>
        <v>44451</v>
      </c>
      <c r="D267" s="1143">
        <f t="shared" si="9"/>
        <v>-0.31985310993803073</v>
      </c>
      <c r="E267" s="247">
        <f>C267/16</f>
        <v>2778.1875</v>
      </c>
      <c r="F267" s="233">
        <f t="shared" si="10"/>
        <v>-6.479802616479223E-2</v>
      </c>
      <c r="G267" s="235">
        <f>G266+C267</f>
        <v>109806</v>
      </c>
      <c r="H267" s="248">
        <f>(G267-G266)/G266</f>
        <v>0.68014689006196927</v>
      </c>
      <c r="I267" s="240">
        <f>G267/38</f>
        <v>2889.6315789473683</v>
      </c>
      <c r="J267" s="249">
        <f>(I267-I266)/I266</f>
        <v>-2.7283379437807256E-2</v>
      </c>
    </row>
    <row r="268" spans="2:10" ht="9" customHeight="1">
      <c r="B268" s="243">
        <v>35490</v>
      </c>
      <c r="C268" s="232">
        <f t="shared" si="14"/>
        <v>59865</v>
      </c>
      <c r="D268" s="1142">
        <f t="shared" si="9"/>
        <v>0.34676385233178109</v>
      </c>
      <c r="E268" s="234">
        <f>C268/21</f>
        <v>2850.7142857142858</v>
      </c>
      <c r="F268" s="233">
        <f t="shared" si="10"/>
        <v>2.6105792252785594E-2</v>
      </c>
      <c r="G268" s="235">
        <f t="shared" ref="G268:G277" si="15">G267+C268</f>
        <v>169671</v>
      </c>
      <c r="H268" s="248">
        <f t="shared" ref="H268:H277" si="16">(G268-G267)/G267</f>
        <v>0.54518878749795097</v>
      </c>
      <c r="I268" s="240">
        <f t="shared" ref="I268:I277" si="17">G268/38</f>
        <v>4465.0263157894733</v>
      </c>
      <c r="J268" s="249">
        <f t="shared" ref="J268:J277" si="18">(I268-I267)/I267</f>
        <v>0.54518878749795086</v>
      </c>
    </row>
    <row r="269" spans="2:10" ht="9" customHeight="1">
      <c r="B269" s="243">
        <v>35521</v>
      </c>
      <c r="C269" s="232">
        <f t="shared" si="14"/>
        <v>61853</v>
      </c>
      <c r="D269" s="1142">
        <f t="shared" si="9"/>
        <v>3.3208051449093792E-2</v>
      </c>
      <c r="E269" s="252">
        <f>C269/21</f>
        <v>2945.3809523809523</v>
      </c>
      <c r="F269" s="233">
        <f t="shared" si="10"/>
        <v>3.3208051449093744E-2</v>
      </c>
      <c r="G269" s="235">
        <f t="shared" si="15"/>
        <v>231524</v>
      </c>
      <c r="H269" s="248">
        <f t="shared" si="16"/>
        <v>0.3645466815189396</v>
      </c>
      <c r="I269" s="240">
        <f t="shared" si="17"/>
        <v>6092.7368421052633</v>
      </c>
      <c r="J269" s="249">
        <f t="shared" si="18"/>
        <v>0.36454668151893976</v>
      </c>
    </row>
    <row r="270" spans="2:10" ht="9" customHeight="1">
      <c r="B270" s="243">
        <v>35551</v>
      </c>
      <c r="C270" s="232">
        <f t="shared" si="14"/>
        <v>68542</v>
      </c>
      <c r="D270" s="1142">
        <f t="shared" si="9"/>
        <v>0.10814350152781595</v>
      </c>
      <c r="E270" s="252">
        <f>C270/19</f>
        <v>3607.4736842105262</v>
      </c>
      <c r="F270" s="233">
        <f>(E270-E269)/E269</f>
        <v>0.224790185899165</v>
      </c>
      <c r="G270" s="235">
        <f t="shared" si="15"/>
        <v>300066</v>
      </c>
      <c r="H270" s="248">
        <f t="shared" si="16"/>
        <v>0.29604706207563797</v>
      </c>
      <c r="I270" s="240">
        <f t="shared" si="17"/>
        <v>7896.4736842105267</v>
      </c>
      <c r="J270" s="249">
        <f t="shared" si="18"/>
        <v>0.29604706207563797</v>
      </c>
    </row>
    <row r="271" spans="2:10" ht="9" customHeight="1">
      <c r="B271" s="243">
        <v>35582</v>
      </c>
      <c r="C271" s="232">
        <f t="shared" si="14"/>
        <v>70929</v>
      </c>
      <c r="D271" s="1142">
        <f t="shared" si="9"/>
        <v>3.4825362551428318E-2</v>
      </c>
      <c r="E271" s="252">
        <f>C271/21</f>
        <v>3377.5714285714284</v>
      </c>
      <c r="F271" s="233">
        <f>(E271-E270)/E270</f>
        <v>-6.3729433882041053E-2</v>
      </c>
      <c r="G271" s="235">
        <f t="shared" si="15"/>
        <v>370995</v>
      </c>
      <c r="H271" s="248">
        <f t="shared" si="16"/>
        <v>0.23637799684069505</v>
      </c>
      <c r="I271" s="240">
        <f t="shared" si="17"/>
        <v>9763.0263157894733</v>
      </c>
      <c r="J271" s="249">
        <f t="shared" si="18"/>
        <v>0.23637799684069494</v>
      </c>
    </row>
    <row r="272" spans="2:10" ht="9" customHeight="1">
      <c r="B272" s="243">
        <v>35612</v>
      </c>
      <c r="C272" s="232">
        <f t="shared" si="14"/>
        <v>84320</v>
      </c>
      <c r="D272" s="1142">
        <f t="shared" si="9"/>
        <v>0.18879442823104794</v>
      </c>
      <c r="E272" s="252">
        <f>C272/22</f>
        <v>3832.7272727272725</v>
      </c>
      <c r="F272" s="233">
        <f>(E272-E271)/E271</f>
        <v>0.13475831785690939</v>
      </c>
      <c r="G272" s="235">
        <f t="shared" si="15"/>
        <v>455315</v>
      </c>
      <c r="H272" s="248">
        <f t="shared" si="16"/>
        <v>0.2272806911144355</v>
      </c>
      <c r="I272" s="240">
        <f t="shared" si="17"/>
        <v>11981.973684210527</v>
      </c>
      <c r="J272" s="249">
        <f t="shared" si="18"/>
        <v>0.22728069111443558</v>
      </c>
    </row>
    <row r="273" spans="2:10" ht="9" customHeight="1">
      <c r="B273" s="243">
        <v>35643</v>
      </c>
      <c r="C273" s="232">
        <f t="shared" si="14"/>
        <v>94865</v>
      </c>
      <c r="D273" s="1142">
        <f t="shared" si="9"/>
        <v>0.12505929791271347</v>
      </c>
      <c r="E273" s="252">
        <f>C273/21</f>
        <v>4517.3809523809523</v>
      </c>
      <c r="F273" s="233">
        <f>(E273-E272)/E272</f>
        <v>0.1786335501942713</v>
      </c>
      <c r="G273" s="235">
        <f t="shared" si="15"/>
        <v>550180</v>
      </c>
      <c r="H273" s="248">
        <f t="shared" si="16"/>
        <v>0.208350263004733</v>
      </c>
      <c r="I273" s="240">
        <f t="shared" si="17"/>
        <v>14478.421052631578</v>
      </c>
      <c r="J273" s="249">
        <f t="shared" si="18"/>
        <v>0.20835026300473289</v>
      </c>
    </row>
    <row r="274" spans="2:10" ht="9" customHeight="1">
      <c r="B274" s="243">
        <v>35674</v>
      </c>
      <c r="C274" s="232">
        <f t="shared" si="14"/>
        <v>116665</v>
      </c>
      <c r="D274" s="1142">
        <f t="shared" si="9"/>
        <v>0.22980024244979708</v>
      </c>
      <c r="E274" s="252">
        <f>C274/21</f>
        <v>5555.4761904761908</v>
      </c>
      <c r="F274" s="233">
        <f>(E274-E273)/E273</f>
        <v>0.22980024244979719</v>
      </c>
      <c r="G274" s="235">
        <f t="shared" si="15"/>
        <v>666845</v>
      </c>
      <c r="H274" s="248">
        <f t="shared" si="16"/>
        <v>0.21204878403431604</v>
      </c>
      <c r="I274" s="240">
        <f t="shared" si="17"/>
        <v>17548.552631578947</v>
      </c>
      <c r="J274" s="249">
        <f t="shared" si="18"/>
        <v>0.21204878403431604</v>
      </c>
    </row>
    <row r="275" spans="2:10" ht="9" customHeight="1">
      <c r="B275" s="257">
        <v>35704</v>
      </c>
      <c r="C275" s="232">
        <f t="shared" si="14"/>
        <v>100983</v>
      </c>
      <c r="D275" s="1142">
        <f t="shared" si="9"/>
        <v>-0.13441906312947327</v>
      </c>
      <c r="E275" s="252">
        <f>C275/22</f>
        <v>4590.136363636364</v>
      </c>
      <c r="F275" s="259">
        <v>-0.1986999625888515</v>
      </c>
      <c r="G275" s="235">
        <f t="shared" si="15"/>
        <v>767828</v>
      </c>
      <c r="H275" s="248">
        <f t="shared" si="16"/>
        <v>0.15143399140729855</v>
      </c>
      <c r="I275" s="240">
        <f t="shared" si="17"/>
        <v>20206</v>
      </c>
      <c r="J275" s="249">
        <f t="shared" si="18"/>
        <v>0.1514339914072986</v>
      </c>
    </row>
    <row r="276" spans="2:10" ht="9" customHeight="1">
      <c r="B276" s="243">
        <v>35735</v>
      </c>
      <c r="C276" s="232">
        <f t="shared" si="14"/>
        <v>89059</v>
      </c>
      <c r="D276" s="1142">
        <f t="shared" si="9"/>
        <v>-0.11807928067100402</v>
      </c>
      <c r="E276" s="252">
        <f>C276/20</f>
        <v>4452.95</v>
      </c>
      <c r="F276" s="233">
        <f>(E276-E275)/E275</f>
        <v>-2.9887208738104545E-2</v>
      </c>
      <c r="G276" s="235">
        <f t="shared" si="15"/>
        <v>856887</v>
      </c>
      <c r="H276" s="248">
        <f t="shared" si="16"/>
        <v>0.11598821611089984</v>
      </c>
      <c r="I276" s="240">
        <f t="shared" si="17"/>
        <v>22549.657894736843</v>
      </c>
      <c r="J276" s="249">
        <f t="shared" si="18"/>
        <v>0.11598821611089991</v>
      </c>
    </row>
    <row r="277" spans="2:10" ht="9" customHeight="1">
      <c r="B277" s="243">
        <v>35765</v>
      </c>
      <c r="C277" s="232">
        <f t="shared" si="14"/>
        <v>86122</v>
      </c>
      <c r="D277" s="1142">
        <f t="shared" si="9"/>
        <v>-3.297813808823364E-2</v>
      </c>
      <c r="E277" s="252">
        <f>C277/22</f>
        <v>3914.6363636363635</v>
      </c>
      <c r="F277" s="233">
        <f>(E277-E276)/E276</f>
        <v>-0.12088921644384876</v>
      </c>
      <c r="G277" s="235">
        <f t="shared" si="15"/>
        <v>943009</v>
      </c>
      <c r="H277" s="248">
        <f t="shared" si="16"/>
        <v>0.10050566760844779</v>
      </c>
      <c r="I277" s="240">
        <f t="shared" si="17"/>
        <v>24816.026315789473</v>
      </c>
      <c r="J277" s="249">
        <f t="shared" si="18"/>
        <v>0.1005056676084477</v>
      </c>
    </row>
    <row r="278" spans="2:10" ht="9" customHeight="1">
      <c r="B278" s="243">
        <v>35796</v>
      </c>
      <c r="C278" s="232">
        <f t="shared" si="14"/>
        <v>76141</v>
      </c>
      <c r="D278" s="1142">
        <f t="shared" si="9"/>
        <v>-0.11589373214741878</v>
      </c>
      <c r="E278" s="252">
        <f>48767/17</f>
        <v>2868.6470588235293</v>
      </c>
      <c r="F278" s="233">
        <v>0.19556397018428101</v>
      </c>
      <c r="G278" s="235">
        <f>C278</f>
        <v>76141</v>
      </c>
      <c r="H278" s="260" t="s">
        <v>31</v>
      </c>
      <c r="I278" s="245">
        <f>G278/17</f>
        <v>4478.8823529411766</v>
      </c>
      <c r="J278" s="261" t="s">
        <v>31</v>
      </c>
    </row>
    <row r="279" spans="2:10" ht="9" customHeight="1">
      <c r="B279" s="243">
        <v>35827</v>
      </c>
      <c r="C279" s="232">
        <f t="shared" si="14"/>
        <v>106473</v>
      </c>
      <c r="D279" s="1142">
        <f t="shared" si="9"/>
        <v>0.39836618904401044</v>
      </c>
      <c r="E279" s="252">
        <f>C279/19</f>
        <v>5603.8421052631575</v>
      </c>
      <c r="F279" s="233">
        <f t="shared" ref="F279:F289" si="19">(E279-E278)/E278</f>
        <v>0.95347911065830748</v>
      </c>
      <c r="G279" s="245">
        <f>G278+C279</f>
        <v>182614</v>
      </c>
      <c r="H279" s="250">
        <f t="shared" ref="H279:H288" si="20">(G279-G278)/G278</f>
        <v>1.3983661890440104</v>
      </c>
      <c r="I279" s="245">
        <f>G279/36</f>
        <v>5072.6111111111113</v>
      </c>
      <c r="J279" s="251">
        <f>(I279-I278)/I278</f>
        <v>0.13256181149300494</v>
      </c>
    </row>
    <row r="280" spans="2:10" ht="9" customHeight="1">
      <c r="B280" s="243">
        <v>35855</v>
      </c>
      <c r="C280" s="232">
        <f t="shared" si="14"/>
        <v>102748</v>
      </c>
      <c r="D280" s="1142">
        <f t="shared" si="9"/>
        <v>-3.4985395358447684E-2</v>
      </c>
      <c r="E280" s="252">
        <f>C280/22</f>
        <v>4670.363636363636</v>
      </c>
      <c r="F280" s="233">
        <f t="shared" si="19"/>
        <v>-0.16657829599138663</v>
      </c>
      <c r="G280" s="245">
        <f t="shared" ref="G280:G289" si="21">G279+C280</f>
        <v>285362</v>
      </c>
      <c r="H280" s="250">
        <f t="shared" si="20"/>
        <v>0.56265127536771553</v>
      </c>
      <c r="I280" s="245">
        <f>G280/58</f>
        <v>4920.0344827586205</v>
      </c>
      <c r="J280" s="251">
        <f t="shared" ref="J280:J289" si="22">(I280-I279)/I279</f>
        <v>-3.007851873728011E-2</v>
      </c>
    </row>
    <row r="281" spans="2:10" ht="9" customHeight="1">
      <c r="B281" s="243">
        <v>35886</v>
      </c>
      <c r="C281" s="232">
        <f t="shared" si="14"/>
        <v>121132</v>
      </c>
      <c r="D281" s="1142">
        <f t="shared" si="9"/>
        <v>0.17892319071904075</v>
      </c>
      <c r="E281" s="252">
        <f>C281/20</f>
        <v>6056.6</v>
      </c>
      <c r="F281" s="233">
        <f t="shared" si="19"/>
        <v>0.29681550979094501</v>
      </c>
      <c r="G281" s="245">
        <f t="shared" si="21"/>
        <v>406494</v>
      </c>
      <c r="H281" s="250">
        <f t="shared" si="20"/>
        <v>0.42448539048646983</v>
      </c>
      <c r="I281" s="245">
        <f>G281/78</f>
        <v>5211.4615384615381</v>
      </c>
      <c r="J281" s="251">
        <f t="shared" si="22"/>
        <v>5.9232726259169838E-2</v>
      </c>
    </row>
    <row r="282" spans="2:10" ht="9" customHeight="1">
      <c r="B282" s="243">
        <v>35916</v>
      </c>
      <c r="C282" s="232">
        <f t="shared" si="14"/>
        <v>127793</v>
      </c>
      <c r="D282" s="1142">
        <f t="shared" si="9"/>
        <v>5.4989598124360203E-2</v>
      </c>
      <c r="E282" s="252">
        <f>C282/19</f>
        <v>6725.9473684210525</v>
      </c>
      <c r="F282" s="233">
        <f t="shared" si="19"/>
        <v>0.11051536644669487</v>
      </c>
      <c r="G282" s="245">
        <f t="shared" si="21"/>
        <v>534287</v>
      </c>
      <c r="H282" s="250">
        <f t="shared" si="20"/>
        <v>0.31437856401324499</v>
      </c>
      <c r="I282" s="245">
        <f>G282/97</f>
        <v>5508.1134020618556</v>
      </c>
      <c r="J282" s="251">
        <f t="shared" si="22"/>
        <v>5.692296900034137E-2</v>
      </c>
    </row>
    <row r="283" spans="2:10" ht="9" customHeight="1">
      <c r="B283" s="243">
        <v>35947</v>
      </c>
      <c r="C283" s="232">
        <f t="shared" si="14"/>
        <v>134007</v>
      </c>
      <c r="D283" s="1142">
        <f t="shared" si="9"/>
        <v>4.8625511569491284E-2</v>
      </c>
      <c r="E283" s="252">
        <f>C283/22</f>
        <v>6091.227272727273</v>
      </c>
      <c r="F283" s="233">
        <f t="shared" si="19"/>
        <v>-9.4368876371802926E-2</v>
      </c>
      <c r="G283" s="245">
        <f t="shared" si="21"/>
        <v>668294</v>
      </c>
      <c r="H283" s="250">
        <f t="shared" si="20"/>
        <v>0.25081463707707657</v>
      </c>
      <c r="I283" s="245">
        <f>G283/119</f>
        <v>5615.9159663865548</v>
      </c>
      <c r="J283" s="251">
        <f t="shared" si="22"/>
        <v>1.9571594928373376E-2</v>
      </c>
    </row>
    <row r="284" spans="2:10" ht="9" customHeight="1">
      <c r="B284" s="243">
        <v>35977</v>
      </c>
      <c r="C284" s="232">
        <f t="shared" si="14"/>
        <v>125772</v>
      </c>
      <c r="D284" s="1142">
        <f t="shared" si="9"/>
        <v>-6.1452013700776825E-2</v>
      </c>
      <c r="E284" s="252">
        <f>C284/22</f>
        <v>5716.909090909091</v>
      </c>
      <c r="F284" s="233">
        <f t="shared" si="19"/>
        <v>-6.1452013700776853E-2</v>
      </c>
      <c r="G284" s="245">
        <f t="shared" si="21"/>
        <v>794066</v>
      </c>
      <c r="H284" s="250">
        <f t="shared" si="20"/>
        <v>0.18819860719982523</v>
      </c>
      <c r="I284" s="245">
        <f>G284/141</f>
        <v>5631.6737588652486</v>
      </c>
      <c r="J284" s="251">
        <f t="shared" si="22"/>
        <v>2.8059167147461432E-3</v>
      </c>
    </row>
    <row r="285" spans="2:10" ht="9" customHeight="1">
      <c r="B285" s="243">
        <v>36008</v>
      </c>
      <c r="C285" s="232">
        <f t="shared" si="14"/>
        <v>119619</v>
      </c>
      <c r="D285" s="1142">
        <f t="shared" si="9"/>
        <v>-4.8921858601278505E-2</v>
      </c>
      <c r="E285" s="252">
        <f>C285/20</f>
        <v>5980.95</v>
      </c>
      <c r="F285" s="233">
        <f t="shared" si="19"/>
        <v>4.6185955538593601E-2</v>
      </c>
      <c r="G285" s="245">
        <f t="shared" si="21"/>
        <v>913685</v>
      </c>
      <c r="H285" s="250">
        <f t="shared" si="20"/>
        <v>0.15064113058612255</v>
      </c>
      <c r="I285" s="245">
        <f>G285/161</f>
        <v>5675.0621118012423</v>
      </c>
      <c r="J285" s="251">
        <f t="shared" si="22"/>
        <v>7.7043441779085222E-3</v>
      </c>
    </row>
    <row r="286" spans="2:10" ht="9" customHeight="1">
      <c r="B286" s="243">
        <v>36039</v>
      </c>
      <c r="C286" s="232">
        <f t="shared" si="14"/>
        <v>104497</v>
      </c>
      <c r="D286" s="1142">
        <f>(C286-C285)/C285</f>
        <v>-0.12641804395622769</v>
      </c>
      <c r="E286" s="252">
        <f>C286/21</f>
        <v>4976.0476190476193</v>
      </c>
      <c r="F286" s="233">
        <f t="shared" si="19"/>
        <v>-0.16801718472021679</v>
      </c>
      <c r="G286" s="245">
        <f t="shared" si="21"/>
        <v>1018182</v>
      </c>
      <c r="H286" s="250">
        <f t="shared" si="20"/>
        <v>0.11436873758461615</v>
      </c>
      <c r="I286" s="245">
        <f>G286/182</f>
        <v>5594.4065934065939</v>
      </c>
      <c r="J286" s="251">
        <f t="shared" si="22"/>
        <v>-1.421227059822411E-2</v>
      </c>
    </row>
    <row r="287" spans="2:10" ht="9" customHeight="1">
      <c r="B287" s="257">
        <v>36069</v>
      </c>
      <c r="C287" s="232">
        <f t="shared" si="14"/>
        <v>45118</v>
      </c>
      <c r="D287" s="1142">
        <f>(C287-C286)/C286</f>
        <v>-0.56823640870072822</v>
      </c>
      <c r="E287" s="252">
        <f>C287/21</f>
        <v>2148.4761904761904</v>
      </c>
      <c r="F287" s="233">
        <f t="shared" si="19"/>
        <v>-0.56823640870072833</v>
      </c>
      <c r="G287" s="245">
        <f t="shared" si="21"/>
        <v>1063300</v>
      </c>
      <c r="H287" s="250">
        <f t="shared" si="20"/>
        <v>4.43123135156583E-2</v>
      </c>
      <c r="I287" s="245">
        <f>G287/203</f>
        <v>5237.9310344827591</v>
      </c>
      <c r="J287" s="251">
        <f t="shared" si="22"/>
        <v>-6.3719994779064967E-2</v>
      </c>
    </row>
    <row r="288" spans="2:10" ht="9" customHeight="1">
      <c r="B288" s="257">
        <v>36100</v>
      </c>
      <c r="C288" s="232">
        <f t="shared" si="14"/>
        <v>42389</v>
      </c>
      <c r="D288" s="1142">
        <f>(C288-C287)/C287</f>
        <v>-6.0485837138171017E-2</v>
      </c>
      <c r="E288" s="252">
        <f>C288/21</f>
        <v>2018.5238095238096</v>
      </c>
      <c r="F288" s="233">
        <f t="shared" si="19"/>
        <v>-6.048583713817092E-2</v>
      </c>
      <c r="G288" s="245">
        <f t="shared" si="21"/>
        <v>1105689</v>
      </c>
      <c r="H288" s="250">
        <f t="shared" si="20"/>
        <v>3.9865513025486694E-2</v>
      </c>
      <c r="I288" s="245">
        <f>G288/224</f>
        <v>4936.1116071428569</v>
      </c>
      <c r="J288" s="251">
        <f t="shared" si="22"/>
        <v>-5.7621878820652811E-2</v>
      </c>
    </row>
    <row r="289" spans="2:10" ht="9" customHeight="1">
      <c r="B289" s="257">
        <v>36130</v>
      </c>
      <c r="C289" s="232">
        <f t="shared" si="14"/>
        <v>43832</v>
      </c>
      <c r="D289" s="1144">
        <f>(C289-C288)/C288</f>
        <v>3.4041850480077379E-2</v>
      </c>
      <c r="E289" s="519">
        <f>C289/22</f>
        <v>1992.3636363636363</v>
      </c>
      <c r="F289" s="259">
        <f t="shared" si="19"/>
        <v>-1.2960051814471697E-2</v>
      </c>
      <c r="G289" s="245">
        <f t="shared" si="21"/>
        <v>1149521</v>
      </c>
      <c r="H289" s="406">
        <f>(G289-G288)/G288</f>
        <v>3.9642250216833125E-2</v>
      </c>
      <c r="I289" s="520">
        <f>G289/246</f>
        <v>4672.8495934959346</v>
      </c>
      <c r="J289" s="521">
        <f t="shared" si="22"/>
        <v>-5.3333885981420262E-2</v>
      </c>
    </row>
    <row r="290" spans="2:10" ht="9" customHeight="1">
      <c r="B290" s="243">
        <v>36161</v>
      </c>
      <c r="C290" s="244">
        <f t="shared" ref="C290:C312" si="23">C539+C790+C989</f>
        <v>45726</v>
      </c>
      <c r="D290" s="1142">
        <v>-0.13931159420289854</v>
      </c>
      <c r="E290" s="252">
        <f>C290/17</f>
        <v>2689.7647058823532</v>
      </c>
      <c r="F290" s="233">
        <v>0.11383205456095478</v>
      </c>
      <c r="G290" s="245">
        <f>C290</f>
        <v>45726</v>
      </c>
      <c r="H290" s="260" t="s">
        <v>31</v>
      </c>
      <c r="I290" s="245">
        <f>G290/17</f>
        <v>2689.7647058823532</v>
      </c>
      <c r="J290" s="261" t="s">
        <v>31</v>
      </c>
    </row>
    <row r="291" spans="2:10" ht="9" customHeight="1">
      <c r="B291" s="243">
        <v>36192</v>
      </c>
      <c r="C291" s="244">
        <f t="shared" si="23"/>
        <v>59839</v>
      </c>
      <c r="D291" s="1142">
        <f>(C291-C290)/C290</f>
        <v>0.30864278528627037</v>
      </c>
      <c r="E291" s="252">
        <f>C291/16</f>
        <v>3739.9375</v>
      </c>
      <c r="F291" s="233">
        <f>(E291-E290)/E290</f>
        <v>0.39043295936666217</v>
      </c>
      <c r="G291" s="245">
        <f>G290+C291</f>
        <v>105565</v>
      </c>
      <c r="H291" s="250">
        <f>(G291-G290)/G290</f>
        <v>1.3086427852862703</v>
      </c>
      <c r="I291" s="245">
        <f>G291/33</f>
        <v>3198.939393939394</v>
      </c>
      <c r="J291" s="251">
        <f>(I291-I290)/I290</f>
        <v>0.18930082878383619</v>
      </c>
    </row>
    <row r="292" spans="2:10" ht="9" customHeight="1">
      <c r="B292" s="243">
        <v>36220</v>
      </c>
      <c r="C292" s="244">
        <f t="shared" si="23"/>
        <v>76569</v>
      </c>
      <c r="D292" s="1142">
        <f>(C292-C291)/C291</f>
        <v>0.27958354919032735</v>
      </c>
      <c r="E292" s="252">
        <f>C292/22</f>
        <v>3480.409090909091</v>
      </c>
      <c r="F292" s="233">
        <f>(E292-E291)/E291</f>
        <v>-6.9393782407034615E-2</v>
      </c>
      <c r="G292" s="245">
        <f t="shared" ref="G292:G301" si="24">G291+C292</f>
        <v>182134</v>
      </c>
      <c r="H292" s="250">
        <f>(G292-G291)/G291</f>
        <v>0.72532562875953199</v>
      </c>
      <c r="I292" s="245">
        <f>G292/55</f>
        <v>3311.5272727272727</v>
      </c>
      <c r="J292" s="251">
        <f t="shared" ref="J292:J315" si="25">(I292-I291)/I291</f>
        <v>3.5195377255719203E-2</v>
      </c>
    </row>
    <row r="293" spans="2:10" ht="9" customHeight="1">
      <c r="B293" s="243">
        <v>36251</v>
      </c>
      <c r="C293" s="244">
        <f t="shared" si="23"/>
        <v>91475</v>
      </c>
      <c r="D293" s="1142">
        <f>(C293-C292)/C292</f>
        <v>0.19467408481239143</v>
      </c>
      <c r="E293" s="252">
        <f>C293/22</f>
        <v>4157.954545454545</v>
      </c>
      <c r="F293" s="233">
        <f>(E293-E292)/E292</f>
        <v>0.19467408481239129</v>
      </c>
      <c r="G293" s="245">
        <f t="shared" si="24"/>
        <v>273609</v>
      </c>
      <c r="H293" s="250">
        <f>(G293-G292)/G292</f>
        <v>0.50224010893078719</v>
      </c>
      <c r="I293" s="245">
        <f>G293/77</f>
        <v>3553.3636363636365</v>
      </c>
      <c r="J293" s="251">
        <f t="shared" si="25"/>
        <v>7.3028649236276638E-2</v>
      </c>
    </row>
    <row r="294" spans="2:10" ht="9" customHeight="1">
      <c r="B294" s="243">
        <v>36281</v>
      </c>
      <c r="C294" s="244">
        <f t="shared" si="23"/>
        <v>101044</v>
      </c>
      <c r="D294" s="1142">
        <f>(C294-C293)/C293</f>
        <v>0.10460781634326319</v>
      </c>
      <c r="E294" s="252">
        <f>C294/21</f>
        <v>4811.6190476190477</v>
      </c>
      <c r="F294" s="233">
        <f>(E294-E293)/E293</f>
        <v>0.15720818855008539</v>
      </c>
      <c r="G294" s="245">
        <f t="shared" si="24"/>
        <v>374653</v>
      </c>
      <c r="H294" s="250">
        <f>(G294-G293)/G293</f>
        <v>0.36930071744715998</v>
      </c>
      <c r="I294" s="245">
        <f>G294/98</f>
        <v>3822.9897959183672</v>
      </c>
      <c r="J294" s="251">
        <f t="shared" si="25"/>
        <v>7.5879135137054216E-2</v>
      </c>
    </row>
    <row r="295" spans="2:10" ht="9" customHeight="1">
      <c r="B295" s="257">
        <v>36312</v>
      </c>
      <c r="C295" s="244">
        <f t="shared" si="23"/>
        <v>87441</v>
      </c>
      <c r="D295" s="1144">
        <v>-0.19536469217856042</v>
      </c>
      <c r="E295" s="252">
        <f>C295/22</f>
        <v>3974.590909090909</v>
      </c>
      <c r="F295" s="259">
        <v>-0.23193902435226227</v>
      </c>
      <c r="G295" s="245">
        <f t="shared" si="24"/>
        <v>462094</v>
      </c>
      <c r="H295" s="406">
        <v>0.2244698034043448</v>
      </c>
      <c r="I295" s="245">
        <f>G295/120</f>
        <v>3850.7833333333333</v>
      </c>
      <c r="J295" s="251">
        <f t="shared" si="25"/>
        <v>7.2701050483158407E-3</v>
      </c>
    </row>
    <row r="296" spans="2:10" ht="9" customHeight="1">
      <c r="B296" s="243">
        <v>36342</v>
      </c>
      <c r="C296" s="244">
        <f t="shared" si="23"/>
        <v>81058</v>
      </c>
      <c r="D296" s="1142">
        <f t="shared" ref="D296:D320" si="26">(C296-C295)/C295</f>
        <v>-7.2997792797429129E-2</v>
      </c>
      <c r="E296" s="252">
        <f>C296/22</f>
        <v>3684.4545454545455</v>
      </c>
      <c r="F296" s="233">
        <f t="shared" ref="F296:F320" si="27">(E296-E295)/E295</f>
        <v>-7.2997792797429101E-2</v>
      </c>
      <c r="G296" s="245">
        <f t="shared" si="24"/>
        <v>543152</v>
      </c>
      <c r="H296" s="250">
        <f t="shared" ref="H296:H301" si="28">(G296-G295)/G295</f>
        <v>0.17541452604881258</v>
      </c>
      <c r="I296" s="245">
        <f>G296/142</f>
        <v>3825.0140845070423</v>
      </c>
      <c r="J296" s="251">
        <f t="shared" si="25"/>
        <v>-6.6919498179048428E-3</v>
      </c>
    </row>
    <row r="297" spans="2:10" ht="9" customHeight="1">
      <c r="B297" s="243">
        <v>36373</v>
      </c>
      <c r="C297" s="244">
        <f t="shared" si="23"/>
        <v>87778</v>
      </c>
      <c r="D297" s="1142">
        <f t="shared" si="26"/>
        <v>8.2903599891435767E-2</v>
      </c>
      <c r="E297" s="252">
        <f>C297/21</f>
        <v>4179.9047619047615</v>
      </c>
      <c r="F297" s="233">
        <f t="shared" si="27"/>
        <v>0.13447043798150402</v>
      </c>
      <c r="G297" s="245">
        <f t="shared" si="24"/>
        <v>630930</v>
      </c>
      <c r="H297" s="250">
        <f t="shared" si="28"/>
        <v>0.16160853683683388</v>
      </c>
      <c r="I297" s="245">
        <f>G297/163</f>
        <v>3870.7361963190183</v>
      </c>
      <c r="J297" s="251">
        <f t="shared" si="25"/>
        <v>1.1953449268898192E-2</v>
      </c>
    </row>
    <row r="298" spans="2:10" ht="9" customHeight="1">
      <c r="B298" s="243">
        <v>36404</v>
      </c>
      <c r="C298" s="244">
        <f t="shared" si="23"/>
        <v>66245</v>
      </c>
      <c r="D298" s="1142">
        <f t="shared" si="26"/>
        <v>-0.24531203718471598</v>
      </c>
      <c r="E298" s="252">
        <f>C298/22</f>
        <v>3011.1363636363635</v>
      </c>
      <c r="F298" s="233">
        <f t="shared" si="27"/>
        <v>-0.27961603549450159</v>
      </c>
      <c r="G298" s="245">
        <f t="shared" si="24"/>
        <v>697175</v>
      </c>
      <c r="H298" s="250">
        <f t="shared" si="28"/>
        <v>0.10499579985101358</v>
      </c>
      <c r="I298" s="245">
        <f>G298/185</f>
        <v>3768.5135135135133</v>
      </c>
      <c r="J298" s="251">
        <f t="shared" si="25"/>
        <v>-2.640910607721508E-2</v>
      </c>
    </row>
    <row r="299" spans="2:10" ht="9" customHeight="1">
      <c r="B299" s="243">
        <v>36434</v>
      </c>
      <c r="C299" s="244">
        <f t="shared" si="23"/>
        <v>68206</v>
      </c>
      <c r="D299" s="1142">
        <f t="shared" si="26"/>
        <v>2.9602234130877803E-2</v>
      </c>
      <c r="E299" s="252">
        <f>C299/21</f>
        <v>3247.9047619047619</v>
      </c>
      <c r="F299" s="233">
        <f t="shared" si="27"/>
        <v>7.8630911946633936E-2</v>
      </c>
      <c r="G299" s="245">
        <f t="shared" si="24"/>
        <v>765381</v>
      </c>
      <c r="H299" s="250">
        <f t="shared" si="28"/>
        <v>9.7831964714741634E-2</v>
      </c>
      <c r="I299" s="245">
        <f>G299/206</f>
        <v>3715.4417475728155</v>
      </c>
      <c r="J299" s="251">
        <f t="shared" si="25"/>
        <v>-1.4082944309576635E-2</v>
      </c>
    </row>
    <row r="300" spans="2:10" ht="9" customHeight="1">
      <c r="B300" s="243">
        <v>36465</v>
      </c>
      <c r="C300" s="244">
        <f t="shared" si="23"/>
        <v>49396</v>
      </c>
      <c r="D300" s="1142">
        <f t="shared" si="26"/>
        <v>-0.27578218925021258</v>
      </c>
      <c r="E300" s="252">
        <f>C300/20</f>
        <v>2469.8000000000002</v>
      </c>
      <c r="F300" s="233">
        <f t="shared" si="27"/>
        <v>-0.23957129871272317</v>
      </c>
      <c r="G300" s="245">
        <f t="shared" si="24"/>
        <v>814777</v>
      </c>
      <c r="H300" s="250">
        <f t="shared" si="28"/>
        <v>6.4537792289069099E-2</v>
      </c>
      <c r="I300" s="245">
        <f>G300/226</f>
        <v>3605.2079646017701</v>
      </c>
      <c r="J300" s="251">
        <f t="shared" si="25"/>
        <v>-2.96690919842998E-2</v>
      </c>
    </row>
    <row r="301" spans="2:10" ht="9" customHeight="1">
      <c r="B301" s="243">
        <v>36495</v>
      </c>
      <c r="C301" s="244">
        <f t="shared" si="23"/>
        <v>39828</v>
      </c>
      <c r="D301" s="1142">
        <f t="shared" si="26"/>
        <v>-0.19369989472831808</v>
      </c>
      <c r="E301" s="252">
        <f>C301/22</f>
        <v>1810.3636363636363</v>
      </c>
      <c r="F301" s="233">
        <f t="shared" si="27"/>
        <v>-0.26699990429847109</v>
      </c>
      <c r="G301" s="245">
        <f t="shared" si="24"/>
        <v>854605</v>
      </c>
      <c r="H301" s="250">
        <f t="shared" si="28"/>
        <v>4.888208675502622E-2</v>
      </c>
      <c r="I301" s="245">
        <f>G301/248</f>
        <v>3445.9879032258063</v>
      </c>
      <c r="J301" s="251">
        <f t="shared" si="25"/>
        <v>-4.4163904811951982E-2</v>
      </c>
    </row>
    <row r="302" spans="2:10" ht="9" customHeight="1">
      <c r="B302" s="243">
        <v>36526</v>
      </c>
      <c r="C302" s="244">
        <f t="shared" si="23"/>
        <v>66793</v>
      </c>
      <c r="D302" s="1142">
        <f t="shared" si="26"/>
        <v>0.67703625590037164</v>
      </c>
      <c r="E302" s="252">
        <f>C302/19</f>
        <v>3515.4210526315787</v>
      </c>
      <c r="F302" s="233">
        <f t="shared" si="27"/>
        <v>0.94183145420043024</v>
      </c>
      <c r="G302" s="245">
        <f>C302</f>
        <v>66793</v>
      </c>
      <c r="H302" s="260" t="s">
        <v>31</v>
      </c>
      <c r="I302" s="245">
        <f>G302/19</f>
        <v>3515.4210526315787</v>
      </c>
      <c r="J302" s="261" t="s">
        <v>31</v>
      </c>
    </row>
    <row r="303" spans="2:10" ht="9" customHeight="1">
      <c r="B303" s="243">
        <v>36557</v>
      </c>
      <c r="C303" s="244">
        <f t="shared" si="23"/>
        <v>60167</v>
      </c>
      <c r="D303" s="1142">
        <f t="shared" si="26"/>
        <v>-9.9202012186905816E-2</v>
      </c>
      <c r="E303" s="252">
        <f>C303/18</f>
        <v>3342.6111111111113</v>
      </c>
      <c r="F303" s="233">
        <f t="shared" si="27"/>
        <v>-4.9157679530622687E-2</v>
      </c>
      <c r="G303" s="245">
        <f>G302+C303</f>
        <v>126960</v>
      </c>
      <c r="H303" s="233">
        <f t="shared" ref="H303:H311" si="29">(G303-G302)/G302</f>
        <v>0.90079798781309417</v>
      </c>
      <c r="I303" s="245">
        <f>G303/37</f>
        <v>3431.3513513513512</v>
      </c>
      <c r="J303" s="251">
        <f>(I303-I302)/I302</f>
        <v>-2.3914546798681335E-2</v>
      </c>
    </row>
    <row r="304" spans="2:10" ht="9" customHeight="1">
      <c r="B304" s="243">
        <v>36586</v>
      </c>
      <c r="C304" s="244">
        <f t="shared" si="23"/>
        <v>70091</v>
      </c>
      <c r="D304" s="1142">
        <f t="shared" si="26"/>
        <v>0.16494091445476755</v>
      </c>
      <c r="E304" s="252">
        <f>C304/22</f>
        <v>3185.9545454545455</v>
      </c>
      <c r="F304" s="233">
        <f t="shared" si="27"/>
        <v>-4.6866524537008403E-2</v>
      </c>
      <c r="G304" s="245">
        <f t="shared" ref="G304:G313" si="30">G303+C304</f>
        <v>197051</v>
      </c>
      <c r="H304" s="233">
        <f t="shared" si="29"/>
        <v>0.55207151858853187</v>
      </c>
      <c r="I304" s="245">
        <f>G304/59</f>
        <v>3339.8474576271187</v>
      </c>
      <c r="J304" s="251">
        <f t="shared" si="25"/>
        <v>-2.6667013766513887E-2</v>
      </c>
    </row>
    <row r="305" spans="2:10" ht="9" customHeight="1">
      <c r="B305" s="522">
        <v>36617</v>
      </c>
      <c r="C305" s="244">
        <f t="shared" si="23"/>
        <v>55961</v>
      </c>
      <c r="D305" s="1145">
        <f t="shared" si="26"/>
        <v>-0.20159506926709564</v>
      </c>
      <c r="E305" s="409">
        <f>C305/19</f>
        <v>2945.3157894736842</v>
      </c>
      <c r="F305" s="408">
        <f t="shared" si="27"/>
        <v>-7.553113283558445E-2</v>
      </c>
      <c r="G305" s="245">
        <f t="shared" si="30"/>
        <v>253012</v>
      </c>
      <c r="H305" s="408">
        <f t="shared" si="29"/>
        <v>0.28399246895473762</v>
      </c>
      <c r="I305" s="410">
        <f>G305/78</f>
        <v>3243.7435897435898</v>
      </c>
      <c r="J305" s="249">
        <f t="shared" si="25"/>
        <v>-2.8774927329108732E-2</v>
      </c>
    </row>
    <row r="306" spans="2:10" ht="9" customHeight="1">
      <c r="B306" s="243">
        <v>36647</v>
      </c>
      <c r="C306" s="244">
        <f t="shared" si="23"/>
        <v>64141</v>
      </c>
      <c r="D306" s="1142">
        <f t="shared" si="26"/>
        <v>0.14617322778363503</v>
      </c>
      <c r="E306" s="252">
        <f>C306/21</f>
        <v>3054.3333333333335</v>
      </c>
      <c r="F306" s="233">
        <f t="shared" si="27"/>
        <v>3.701387275662224E-2</v>
      </c>
      <c r="G306" s="245">
        <f t="shared" si="30"/>
        <v>317153</v>
      </c>
      <c r="H306" s="233">
        <f t="shared" si="29"/>
        <v>0.25350971495423141</v>
      </c>
      <c r="I306" s="245">
        <f>G306/99</f>
        <v>3203.5656565656564</v>
      </c>
      <c r="J306" s="251">
        <f t="shared" si="25"/>
        <v>-1.2386285187575339E-2</v>
      </c>
    </row>
    <row r="307" spans="2:10" ht="9" customHeight="1">
      <c r="B307" s="243">
        <v>36678</v>
      </c>
      <c r="C307" s="244">
        <f t="shared" si="23"/>
        <v>61404</v>
      </c>
      <c r="D307" s="1142">
        <f t="shared" si="26"/>
        <v>-4.267161410018553E-2</v>
      </c>
      <c r="E307" s="252">
        <f>C307/21</f>
        <v>2924</v>
      </c>
      <c r="F307" s="233">
        <f t="shared" si="27"/>
        <v>-4.2671614100185579E-2</v>
      </c>
      <c r="G307" s="245">
        <f t="shared" si="30"/>
        <v>378557</v>
      </c>
      <c r="H307" s="233">
        <f t="shared" si="29"/>
        <v>0.19361002418391124</v>
      </c>
      <c r="I307" s="245">
        <f>G307/120</f>
        <v>3154.6416666666669</v>
      </c>
      <c r="J307" s="251">
        <f t="shared" si="25"/>
        <v>-1.52717300482731E-2</v>
      </c>
    </row>
    <row r="308" spans="2:10" ht="9" customHeight="1">
      <c r="B308" s="243">
        <v>36708</v>
      </c>
      <c r="C308" s="244">
        <f t="shared" si="23"/>
        <v>61329</v>
      </c>
      <c r="D308" s="1142">
        <f t="shared" si="26"/>
        <v>-1.2214188000781708E-3</v>
      </c>
      <c r="E308" s="252">
        <f>C308/21</f>
        <v>2920.4285714285716</v>
      </c>
      <c r="F308" s="233">
        <f t="shared" si="27"/>
        <v>-1.2214188000781263E-3</v>
      </c>
      <c r="G308" s="245">
        <f t="shared" si="30"/>
        <v>439886</v>
      </c>
      <c r="H308" s="233">
        <f t="shared" si="29"/>
        <v>0.16200730669357588</v>
      </c>
      <c r="I308" s="245">
        <f>G308/141</f>
        <v>3119.7588652482268</v>
      </c>
      <c r="J308" s="251">
        <f t="shared" si="25"/>
        <v>-1.1057611324616393E-2</v>
      </c>
    </row>
    <row r="309" spans="2:10" ht="9" customHeight="1">
      <c r="B309" s="243">
        <v>36739</v>
      </c>
      <c r="C309" s="244">
        <f t="shared" si="23"/>
        <v>51849</v>
      </c>
      <c r="D309" s="1142">
        <f t="shared" si="26"/>
        <v>-0.15457613853152669</v>
      </c>
      <c r="E309" s="252">
        <f>C309/22</f>
        <v>2356.7727272727275</v>
      </c>
      <c r="F309" s="233">
        <f t="shared" si="27"/>
        <v>-0.19300449587100271</v>
      </c>
      <c r="G309" s="245">
        <f t="shared" si="30"/>
        <v>491735</v>
      </c>
      <c r="H309" s="233">
        <f t="shared" si="29"/>
        <v>0.11786917519539153</v>
      </c>
      <c r="I309" s="245">
        <f>G309/163</f>
        <v>3016.7791411042945</v>
      </c>
      <c r="J309" s="251">
        <f t="shared" si="25"/>
        <v>-3.3008872990489491E-2</v>
      </c>
    </row>
    <row r="310" spans="2:10" ht="9" customHeight="1">
      <c r="B310" s="243">
        <v>36770</v>
      </c>
      <c r="C310" s="244">
        <f t="shared" si="23"/>
        <v>56902</v>
      </c>
      <c r="D310" s="1142">
        <f t="shared" si="26"/>
        <v>9.7456074369804621E-2</v>
      </c>
      <c r="E310" s="252">
        <f>C310/21</f>
        <v>2709.6190476190477</v>
      </c>
      <c r="F310" s="233">
        <f t="shared" si="27"/>
        <v>0.14971588743503336</v>
      </c>
      <c r="G310" s="245">
        <f t="shared" si="30"/>
        <v>548637</v>
      </c>
      <c r="H310" s="233">
        <f t="shared" si="29"/>
        <v>0.11571679868221704</v>
      </c>
      <c r="I310" s="245">
        <f>G310/184</f>
        <v>2981.7228260869565</v>
      </c>
      <c r="J310" s="251">
        <f t="shared" si="25"/>
        <v>-1.1620444645644684E-2</v>
      </c>
    </row>
    <row r="311" spans="2:10" ht="9" customHeight="1">
      <c r="B311" s="243">
        <v>36800</v>
      </c>
      <c r="C311" s="244">
        <f t="shared" si="23"/>
        <v>71664</v>
      </c>
      <c r="D311" s="1142">
        <f t="shared" si="26"/>
        <v>0.25942849108994409</v>
      </c>
      <c r="E311" s="252">
        <f>C311/21</f>
        <v>3412.5714285714284</v>
      </c>
      <c r="F311" s="233">
        <f t="shared" si="27"/>
        <v>0.25942849108994404</v>
      </c>
      <c r="G311" s="245">
        <f t="shared" si="30"/>
        <v>620301</v>
      </c>
      <c r="H311" s="233">
        <f t="shared" si="29"/>
        <v>0.13062188660261703</v>
      </c>
      <c r="I311" s="245">
        <f>G311/205</f>
        <v>3025.858536585366</v>
      </c>
      <c r="J311" s="251">
        <f t="shared" si="25"/>
        <v>1.4802083584788019E-2</v>
      </c>
    </row>
    <row r="312" spans="2:10" ht="9" customHeight="1">
      <c r="B312" s="243">
        <v>36831</v>
      </c>
      <c r="C312" s="244">
        <f t="shared" si="23"/>
        <v>57158</v>
      </c>
      <c r="D312" s="1142">
        <f t="shared" si="26"/>
        <v>-0.20241683411475775</v>
      </c>
      <c r="E312" s="252">
        <f>C312/22</f>
        <v>2598.090909090909</v>
      </c>
      <c r="F312" s="233">
        <f t="shared" si="27"/>
        <v>-0.23867061438226878</v>
      </c>
      <c r="G312" s="245">
        <f t="shared" si="30"/>
        <v>677459</v>
      </c>
      <c r="H312" s="233">
        <f>(G312-G311)/G311</f>
        <v>9.2145587384189293E-2</v>
      </c>
      <c r="I312" s="245">
        <f>G312/227</f>
        <v>2984.4008810572686</v>
      </c>
      <c r="J312" s="251">
        <f t="shared" si="25"/>
        <v>-1.3701121525291682E-2</v>
      </c>
    </row>
    <row r="313" spans="2:10" ht="9" customHeight="1">
      <c r="B313" s="243">
        <v>36861</v>
      </c>
      <c r="C313" s="244">
        <f t="shared" ref="C313:C327" si="31">C562+C669+C813+C1012</f>
        <v>43266</v>
      </c>
      <c r="D313" s="1142">
        <f t="shared" si="26"/>
        <v>-0.24304559291787675</v>
      </c>
      <c r="E313" s="252">
        <f t="shared" ref="E313:E321" si="32">C313/22</f>
        <v>1966.6363636363637</v>
      </c>
      <c r="F313" s="233">
        <f t="shared" si="27"/>
        <v>-0.2430455929178767</v>
      </c>
      <c r="G313" s="245">
        <f t="shared" si="30"/>
        <v>720725</v>
      </c>
      <c r="H313" s="233">
        <f>(G313-G312)/G312</f>
        <v>6.3865119512767562E-2</v>
      </c>
      <c r="I313" s="245">
        <f>G313/244</f>
        <v>2953.7909836065573</v>
      </c>
      <c r="J313" s="251">
        <f t="shared" si="25"/>
        <v>-1.0256630617220323E-2</v>
      </c>
    </row>
    <row r="314" spans="2:10" ht="9" customHeight="1">
      <c r="B314" s="243">
        <v>36892</v>
      </c>
      <c r="C314" s="244">
        <f t="shared" si="31"/>
        <v>58868</v>
      </c>
      <c r="D314" s="1142">
        <f>(C314-C313)/C313</f>
        <v>0.36060648083945823</v>
      </c>
      <c r="E314" s="252">
        <f t="shared" si="32"/>
        <v>2675.818181818182</v>
      </c>
      <c r="F314" s="233">
        <f t="shared" si="27"/>
        <v>0.36060648083945823</v>
      </c>
      <c r="G314" s="245">
        <f>C314</f>
        <v>58868</v>
      </c>
      <c r="H314" s="458" t="s">
        <v>31</v>
      </c>
      <c r="I314" s="245">
        <f>G314/19</f>
        <v>3098.3157894736842</v>
      </c>
      <c r="J314" s="261" t="s">
        <v>31</v>
      </c>
    </row>
    <row r="315" spans="2:10" ht="9" customHeight="1">
      <c r="B315" s="243">
        <v>36923</v>
      </c>
      <c r="C315" s="244">
        <f t="shared" si="31"/>
        <v>65688</v>
      </c>
      <c r="D315" s="1142">
        <f t="shared" si="26"/>
        <v>0.11585241557382618</v>
      </c>
      <c r="E315" s="252">
        <f t="shared" si="32"/>
        <v>2985.818181818182</v>
      </c>
      <c r="F315" s="233">
        <f t="shared" si="27"/>
        <v>0.11585241557382618</v>
      </c>
      <c r="G315" s="245">
        <f t="shared" ref="G315:G320" si="33">G314+C315</f>
        <v>124556</v>
      </c>
      <c r="H315" s="233">
        <f t="shared" ref="H315:H320" si="34">(G315-G314)/G314</f>
        <v>1.1158524155738261</v>
      </c>
      <c r="I315" s="245">
        <f>G315/38</f>
        <v>3277.7894736842104</v>
      </c>
      <c r="J315" s="251">
        <f t="shared" si="25"/>
        <v>5.792620778691307E-2</v>
      </c>
    </row>
    <row r="316" spans="2:10" ht="9" customHeight="1">
      <c r="B316" s="243">
        <v>36951</v>
      </c>
      <c r="C316" s="244">
        <f t="shared" si="31"/>
        <v>69485</v>
      </c>
      <c r="D316" s="1142">
        <f t="shared" si="26"/>
        <v>5.7803556205090735E-2</v>
      </c>
      <c r="E316" s="252">
        <f t="shared" si="32"/>
        <v>3158.409090909091</v>
      </c>
      <c r="F316" s="233">
        <f t="shared" si="27"/>
        <v>5.78035562050907E-2</v>
      </c>
      <c r="G316" s="245">
        <f t="shared" si="33"/>
        <v>194041</v>
      </c>
      <c r="H316" s="233">
        <f t="shared" si="34"/>
        <v>0.55786152413372303</v>
      </c>
      <c r="I316" s="245">
        <f>G316/58</f>
        <v>3345.5344827586205</v>
      </c>
      <c r="J316" s="251">
        <f t="shared" ref="J316:J322" si="35">(I316-I315)/I315</f>
        <v>2.066789512209434E-2</v>
      </c>
    </row>
    <row r="317" spans="2:10" ht="9" customHeight="1">
      <c r="B317" s="243">
        <v>36982</v>
      </c>
      <c r="C317" s="244">
        <f t="shared" si="31"/>
        <v>74913</v>
      </c>
      <c r="D317" s="1142">
        <f t="shared" si="26"/>
        <v>7.811757933366914E-2</v>
      </c>
      <c r="E317" s="252">
        <f t="shared" si="32"/>
        <v>3405.1363636363635</v>
      </c>
      <c r="F317" s="233">
        <f t="shared" si="27"/>
        <v>7.8117579333669071E-2</v>
      </c>
      <c r="G317" s="245">
        <f t="shared" si="33"/>
        <v>268954</v>
      </c>
      <c r="H317" s="233">
        <f t="shared" si="34"/>
        <v>0.38606789286800214</v>
      </c>
      <c r="I317" s="245">
        <f>G317/79</f>
        <v>3404.4810126582279</v>
      </c>
      <c r="J317" s="251">
        <f t="shared" si="35"/>
        <v>1.7619465649925687E-2</v>
      </c>
    </row>
    <row r="318" spans="2:10" ht="9" customHeight="1">
      <c r="B318" s="243">
        <v>37012</v>
      </c>
      <c r="C318" s="244">
        <f t="shared" si="31"/>
        <v>54530</v>
      </c>
      <c r="D318" s="1142">
        <f t="shared" si="26"/>
        <v>-0.27208895652289988</v>
      </c>
      <c r="E318" s="252">
        <f t="shared" si="32"/>
        <v>2478.6363636363635</v>
      </c>
      <c r="F318" s="233">
        <f t="shared" si="27"/>
        <v>-0.27208895652289988</v>
      </c>
      <c r="G318" s="245">
        <f t="shared" si="33"/>
        <v>323484</v>
      </c>
      <c r="H318" s="233">
        <f t="shared" si="34"/>
        <v>0.20274842538129198</v>
      </c>
      <c r="I318" s="245">
        <f>G318/100</f>
        <v>3234.84</v>
      </c>
      <c r="J318" s="251">
        <f t="shared" si="35"/>
        <v>-4.9828743948779314E-2</v>
      </c>
    </row>
    <row r="319" spans="2:10" ht="9" customHeight="1">
      <c r="B319" s="243">
        <v>37043</v>
      </c>
      <c r="C319" s="244">
        <f t="shared" si="31"/>
        <v>51322</v>
      </c>
      <c r="D319" s="1142">
        <f t="shared" si="26"/>
        <v>-5.8830001833852924E-2</v>
      </c>
      <c r="E319" s="252">
        <f t="shared" si="32"/>
        <v>2332.818181818182</v>
      </c>
      <c r="F319" s="233">
        <f t="shared" si="27"/>
        <v>-5.8830001833852813E-2</v>
      </c>
      <c r="G319" s="245">
        <f t="shared" si="33"/>
        <v>374806</v>
      </c>
      <c r="H319" s="233">
        <f t="shared" si="34"/>
        <v>0.15865390560275006</v>
      </c>
      <c r="I319" s="245">
        <f>G319/120</f>
        <v>3123.3833333333332</v>
      </c>
      <c r="J319" s="251">
        <f t="shared" si="35"/>
        <v>-3.4455078664375034E-2</v>
      </c>
    </row>
    <row r="320" spans="2:10" ht="9" customHeight="1">
      <c r="B320" s="243">
        <v>37073</v>
      </c>
      <c r="C320" s="244">
        <f t="shared" si="31"/>
        <v>89044</v>
      </c>
      <c r="D320" s="1142">
        <f t="shared" si="26"/>
        <v>0.73500642999103694</v>
      </c>
      <c r="E320" s="252">
        <f t="shared" si="32"/>
        <v>4047.4545454545455</v>
      </c>
      <c r="F320" s="233">
        <f t="shared" si="27"/>
        <v>0.73500642999103682</v>
      </c>
      <c r="G320" s="245">
        <f t="shared" si="33"/>
        <v>463850</v>
      </c>
      <c r="H320" s="233">
        <f t="shared" si="34"/>
        <v>0.23757357139426796</v>
      </c>
      <c r="I320" s="245">
        <f>G320/142</f>
        <v>3266.5492957746478</v>
      </c>
      <c r="J320" s="251">
        <f t="shared" si="35"/>
        <v>4.5836820896564497E-2</v>
      </c>
    </row>
    <row r="321" spans="2:10" ht="9" customHeight="1">
      <c r="B321" s="257">
        <v>37104</v>
      </c>
      <c r="C321" s="258">
        <f t="shared" si="31"/>
        <v>80857</v>
      </c>
      <c r="D321" s="1144">
        <f t="shared" ref="D321:D326" si="36">(C321-C320)/C320</f>
        <v>-9.1943308925924255E-2</v>
      </c>
      <c r="E321" s="519">
        <f t="shared" si="32"/>
        <v>3675.318181818182</v>
      </c>
      <c r="F321" s="259">
        <f t="shared" ref="F321:F326" si="37">(E321-E320)/E320</f>
        <v>-9.1943308925924228E-2</v>
      </c>
      <c r="G321" s="520">
        <f>G320+C321</f>
        <v>544707</v>
      </c>
      <c r="H321" s="259">
        <f>(G321-G320)/G320</f>
        <v>0.17431712838202004</v>
      </c>
      <c r="I321" s="520">
        <f>G321/164</f>
        <v>3321.3841463414633</v>
      </c>
      <c r="J321" s="521">
        <f t="shared" si="35"/>
        <v>1.678678189174905E-2</v>
      </c>
    </row>
    <row r="322" spans="2:10" ht="9" customHeight="1">
      <c r="B322" s="257">
        <v>37135</v>
      </c>
      <c r="C322" s="258">
        <f t="shared" si="31"/>
        <v>73777</v>
      </c>
      <c r="D322" s="1144">
        <f t="shared" si="36"/>
        <v>-8.7561992158996751E-2</v>
      </c>
      <c r="E322" s="519">
        <f>C322/19</f>
        <v>3883</v>
      </c>
      <c r="F322" s="259">
        <f t="shared" si="37"/>
        <v>5.6507166973793189E-2</v>
      </c>
      <c r="G322" s="520">
        <f>G321+C322</f>
        <v>618484</v>
      </c>
      <c r="H322" s="259">
        <f>(G322-G321)/G321</f>
        <v>0.13544345859333551</v>
      </c>
      <c r="I322" s="520">
        <f>G322/183</f>
        <v>3379.6939890710382</v>
      </c>
      <c r="J322" s="521">
        <f t="shared" si="35"/>
        <v>1.7555886389655891E-2</v>
      </c>
    </row>
    <row r="323" spans="2:10" ht="9" customHeight="1">
      <c r="B323" s="257">
        <v>37165</v>
      </c>
      <c r="C323" s="258">
        <f t="shared" si="31"/>
        <v>80522</v>
      </c>
      <c r="D323" s="1144">
        <f t="shared" si="36"/>
        <v>9.1424156579963944E-2</v>
      </c>
      <c r="E323" s="519">
        <f>C323/23</f>
        <v>3500.9565217391305</v>
      </c>
      <c r="F323" s="259">
        <f t="shared" si="37"/>
        <v>-9.8388740216551501E-2</v>
      </c>
      <c r="G323" s="520">
        <f>G322+C323</f>
        <v>699006</v>
      </c>
      <c r="H323" s="259">
        <f>(G323-G322)/G322</f>
        <v>0.13019253529598179</v>
      </c>
      <c r="I323" s="520">
        <f>G323/206</f>
        <v>3393.2330097087379</v>
      </c>
      <c r="J323" s="521">
        <f t="shared" ref="J323:J328" si="38">(I323-I322)/I322</f>
        <v>4.0059900930323761E-3</v>
      </c>
    </row>
    <row r="324" spans="2:10" ht="9" customHeight="1">
      <c r="B324" s="257">
        <v>37196</v>
      </c>
      <c r="C324" s="258">
        <f t="shared" si="31"/>
        <v>80522</v>
      </c>
      <c r="D324" s="1144">
        <f t="shared" si="36"/>
        <v>0</v>
      </c>
      <c r="E324" s="519">
        <f>C324/20</f>
        <v>4026.1</v>
      </c>
      <c r="F324" s="259">
        <f t="shared" si="37"/>
        <v>0.14999999999999997</v>
      </c>
      <c r="G324" s="520">
        <f>G323+C324</f>
        <v>779528</v>
      </c>
      <c r="H324" s="259">
        <f>(G324-G323)/G323</f>
        <v>0.11519500547920905</v>
      </c>
      <c r="I324" s="520">
        <f>G324/226</f>
        <v>3449.2389380530972</v>
      </c>
      <c r="J324" s="521">
        <f t="shared" si="38"/>
        <v>1.6505181985473679E-2</v>
      </c>
    </row>
    <row r="325" spans="2:10" ht="9" customHeight="1">
      <c r="B325" s="257">
        <v>37226</v>
      </c>
      <c r="C325" s="258">
        <f t="shared" si="31"/>
        <v>43277</v>
      </c>
      <c r="D325" s="1144">
        <f t="shared" si="36"/>
        <v>-0.46254439780432677</v>
      </c>
      <c r="E325" s="519">
        <f>C325/17</f>
        <v>2545.705882352941</v>
      </c>
      <c r="F325" s="259">
        <f t="shared" si="37"/>
        <v>-0.36769929153450209</v>
      </c>
      <c r="G325" s="520">
        <f>G324+C325</f>
        <v>822805</v>
      </c>
      <c r="H325" s="259">
        <f>(G325-G324)/G324</f>
        <v>5.5516928192444658E-2</v>
      </c>
      <c r="I325" s="520">
        <f>G325/243</f>
        <v>3386.028806584362</v>
      </c>
      <c r="J325" s="521">
        <f t="shared" si="38"/>
        <v>-1.8325819870401262E-2</v>
      </c>
    </row>
    <row r="326" spans="2:10" ht="9" customHeight="1">
      <c r="B326" s="257">
        <v>37257</v>
      </c>
      <c r="C326" s="258">
        <f t="shared" si="31"/>
        <v>95436</v>
      </c>
      <c r="D326" s="1144">
        <f t="shared" si="36"/>
        <v>1.2052360376181344</v>
      </c>
      <c r="E326" s="519">
        <f>C326/22</f>
        <v>4338</v>
      </c>
      <c r="F326" s="259">
        <f t="shared" si="37"/>
        <v>0.70404602906855851</v>
      </c>
      <c r="G326" s="520">
        <f>C326</f>
        <v>95436</v>
      </c>
      <c r="H326" s="675" t="s">
        <v>31</v>
      </c>
      <c r="I326" s="520">
        <f>G326/22</f>
        <v>4338</v>
      </c>
      <c r="J326" s="684" t="s">
        <v>31</v>
      </c>
    </row>
    <row r="327" spans="2:10" ht="9" customHeight="1">
      <c r="B327" s="257">
        <v>37288</v>
      </c>
      <c r="C327" s="258">
        <f t="shared" si="31"/>
        <v>58483</v>
      </c>
      <c r="D327" s="1144">
        <f t="shared" ref="D327:D332" si="39">(C327-C326)/C326</f>
        <v>-0.38720189446330527</v>
      </c>
      <c r="E327" s="519">
        <f>C327/16</f>
        <v>3655.1875</v>
      </c>
      <c r="F327" s="259">
        <f t="shared" ref="F327:F332" si="40">(E327-E326)/E326</f>
        <v>-0.15740260488704472</v>
      </c>
      <c r="G327" s="520">
        <f t="shared" ref="G327:G337" si="41">G326+C327</f>
        <v>153919</v>
      </c>
      <c r="H327" s="259">
        <f t="shared" ref="H327:H332" si="42">(G327-G326)/G326</f>
        <v>0.61279810553669478</v>
      </c>
      <c r="I327" s="520">
        <f>G327/38</f>
        <v>4050.5</v>
      </c>
      <c r="J327" s="521">
        <f t="shared" si="38"/>
        <v>-6.6274781005071462E-2</v>
      </c>
    </row>
    <row r="328" spans="2:10" ht="9" customHeight="1">
      <c r="B328" s="257">
        <v>37316</v>
      </c>
      <c r="C328" s="258">
        <f t="shared" ref="C328:C345" si="43">C577+C684+C828+C1027+C1151</f>
        <v>69817</v>
      </c>
      <c r="D328" s="1144">
        <f t="shared" si="39"/>
        <v>0.19379990766547545</v>
      </c>
      <c r="E328" s="519">
        <f>C328/20</f>
        <v>3490.85</v>
      </c>
      <c r="F328" s="259">
        <f t="shared" si="40"/>
        <v>-4.4960073867619674E-2</v>
      </c>
      <c r="G328" s="520">
        <f t="shared" si="41"/>
        <v>223736</v>
      </c>
      <c r="H328" s="259">
        <f t="shared" si="42"/>
        <v>0.45359572242543156</v>
      </c>
      <c r="I328" s="520">
        <f>G328/58</f>
        <v>3857.5172413793102</v>
      </c>
      <c r="J328" s="521">
        <f t="shared" si="38"/>
        <v>-4.7644181859200038E-2</v>
      </c>
    </row>
    <row r="329" spans="2:10" ht="9" customHeight="1">
      <c r="B329" s="257">
        <v>37347</v>
      </c>
      <c r="C329" s="258">
        <f t="shared" si="43"/>
        <v>80693</v>
      </c>
      <c r="D329" s="1144">
        <f t="shared" si="39"/>
        <v>0.15577867854533997</v>
      </c>
      <c r="E329" s="519">
        <f>C329/21</f>
        <v>3842.5238095238096</v>
      </c>
      <c r="F329" s="259">
        <f t="shared" si="40"/>
        <v>0.10074159861460955</v>
      </c>
      <c r="G329" s="520">
        <f t="shared" si="41"/>
        <v>304429</v>
      </c>
      <c r="H329" s="259">
        <f t="shared" si="42"/>
        <v>0.36066167268566524</v>
      </c>
      <c r="I329" s="520">
        <f>G329/79</f>
        <v>3853.5316455696202</v>
      </c>
      <c r="J329" s="521">
        <f t="shared" ref="J329:J334" si="44">(I329-I328)/I328</f>
        <v>-1.0332023320432219E-3</v>
      </c>
    </row>
    <row r="330" spans="2:10" ht="9" customHeight="1">
      <c r="B330" s="257">
        <v>37377</v>
      </c>
      <c r="C330" s="258">
        <f t="shared" si="43"/>
        <v>97098</v>
      </c>
      <c r="D330" s="1144">
        <f t="shared" si="39"/>
        <v>0.2033014016085658</v>
      </c>
      <c r="E330" s="519">
        <f>C330/21</f>
        <v>4623.7142857142853</v>
      </c>
      <c r="F330" s="259">
        <f t="shared" si="40"/>
        <v>0.20330140160856566</v>
      </c>
      <c r="G330" s="520">
        <f t="shared" si="41"/>
        <v>401527</v>
      </c>
      <c r="H330" s="259">
        <f t="shared" si="42"/>
        <v>0.31895121686830097</v>
      </c>
      <c r="I330" s="520">
        <f>G330/100</f>
        <v>4015.27</v>
      </c>
      <c r="J330" s="521">
        <f t="shared" si="44"/>
        <v>4.197146132595779E-2</v>
      </c>
    </row>
    <row r="331" spans="2:10" ht="9" customHeight="1">
      <c r="B331" s="257">
        <v>37408</v>
      </c>
      <c r="C331" s="258">
        <f t="shared" si="43"/>
        <v>123440</v>
      </c>
      <c r="D331" s="1144">
        <f t="shared" si="39"/>
        <v>0.27129292055449133</v>
      </c>
      <c r="E331" s="519">
        <f>C331/20</f>
        <v>6172</v>
      </c>
      <c r="F331" s="259">
        <f t="shared" si="40"/>
        <v>0.33485756658221599</v>
      </c>
      <c r="G331" s="520">
        <f t="shared" si="41"/>
        <v>524967</v>
      </c>
      <c r="H331" s="259">
        <f t="shared" si="42"/>
        <v>0.30742639971907243</v>
      </c>
      <c r="I331" s="520">
        <f>G331/120</f>
        <v>4374.7250000000004</v>
      </c>
      <c r="J331" s="521">
        <f t="shared" si="44"/>
        <v>8.9521999765893798E-2</v>
      </c>
    </row>
    <row r="332" spans="2:10" ht="9" customHeight="1">
      <c r="B332" s="257">
        <v>37438</v>
      </c>
      <c r="C332" s="258">
        <f t="shared" si="43"/>
        <v>141144</v>
      </c>
      <c r="D332" s="1144">
        <f t="shared" si="39"/>
        <v>0.14342190537913158</v>
      </c>
      <c r="E332" s="519">
        <f>C332/23</f>
        <v>6136.695652173913</v>
      </c>
      <c r="F332" s="259">
        <f t="shared" si="40"/>
        <v>-5.7200822790160399E-3</v>
      </c>
      <c r="G332" s="520">
        <f t="shared" si="41"/>
        <v>666111</v>
      </c>
      <c r="H332" s="259">
        <f t="shared" si="42"/>
        <v>0.26886261422146535</v>
      </c>
      <c r="I332" s="520">
        <f>G332/143</f>
        <v>4658.1188811188813</v>
      </c>
      <c r="J332" s="521">
        <f t="shared" si="44"/>
        <v>6.4779816129900941E-2</v>
      </c>
    </row>
    <row r="333" spans="2:10" ht="9" customHeight="1">
      <c r="B333" s="257">
        <v>37469</v>
      </c>
      <c r="C333" s="258">
        <f t="shared" si="43"/>
        <v>110020</v>
      </c>
      <c r="D333" s="1144">
        <f t="shared" ref="D333:D339" si="45">(C333-C332)/C332</f>
        <v>-0.22051238451510513</v>
      </c>
      <c r="E333" s="519">
        <f>C333/22</f>
        <v>5000.909090909091</v>
      </c>
      <c r="F333" s="259">
        <f t="shared" ref="F333:F339" si="46">(E333-E332)/E332</f>
        <v>-0.18508112926579173</v>
      </c>
      <c r="G333" s="520">
        <f t="shared" si="41"/>
        <v>776131</v>
      </c>
      <c r="H333" s="259">
        <f t="shared" ref="H333:H339" si="47">(G333-G332)/G332</f>
        <v>0.16516766725065343</v>
      </c>
      <c r="I333" s="520">
        <f>G333/165</f>
        <v>4703.8242424242426</v>
      </c>
      <c r="J333" s="521">
        <f t="shared" si="44"/>
        <v>9.8119782838996267E-3</v>
      </c>
    </row>
    <row r="334" spans="2:10" ht="9" customHeight="1">
      <c r="B334" s="257">
        <v>37500</v>
      </c>
      <c r="C334" s="258">
        <f t="shared" si="43"/>
        <v>122154</v>
      </c>
      <c r="D334" s="1144">
        <f t="shared" si="45"/>
        <v>0.11028903835666243</v>
      </c>
      <c r="E334" s="519">
        <f>C334/21</f>
        <v>5816.8571428571431</v>
      </c>
      <c r="F334" s="259">
        <f t="shared" si="46"/>
        <v>0.16315994494507496</v>
      </c>
      <c r="G334" s="520">
        <f t="shared" si="41"/>
        <v>898285</v>
      </c>
      <c r="H334" s="259">
        <f t="shared" si="47"/>
        <v>0.15738837902364419</v>
      </c>
      <c r="I334" s="520">
        <f>G334/186</f>
        <v>4829.489247311828</v>
      </c>
      <c r="J334" s="521">
        <f t="shared" si="44"/>
        <v>2.6715497520974664E-2</v>
      </c>
    </row>
    <row r="335" spans="2:10" ht="9" customHeight="1">
      <c r="B335" s="257">
        <v>37530</v>
      </c>
      <c r="C335" s="258">
        <f t="shared" si="43"/>
        <v>153645</v>
      </c>
      <c r="D335" s="1144">
        <f t="shared" si="45"/>
        <v>0.25779753426003243</v>
      </c>
      <c r="E335" s="519">
        <f>C335/23</f>
        <v>6680.217391304348</v>
      </c>
      <c r="F335" s="259">
        <f t="shared" si="46"/>
        <v>0.14842383562872521</v>
      </c>
      <c r="G335" s="520">
        <f t="shared" si="41"/>
        <v>1051930</v>
      </c>
      <c r="H335" s="259">
        <f t="shared" si="47"/>
        <v>0.17104259783921583</v>
      </c>
      <c r="I335" s="520">
        <f>G335/209</f>
        <v>5033.1578947368425</v>
      </c>
      <c r="J335" s="521">
        <f t="shared" ref="J335:J340" si="48">(I335-I334)/I334</f>
        <v>4.2171881330594088E-2</v>
      </c>
    </row>
    <row r="336" spans="2:10" ht="9" customHeight="1">
      <c r="B336" s="257">
        <v>37561</v>
      </c>
      <c r="C336" s="258">
        <f t="shared" si="43"/>
        <v>123606</v>
      </c>
      <c r="D336" s="1144">
        <f t="shared" si="45"/>
        <v>-0.19550912818510202</v>
      </c>
      <c r="E336" s="519">
        <f>C336/23</f>
        <v>5374.173913043478</v>
      </c>
      <c r="F336" s="259">
        <f t="shared" si="46"/>
        <v>-0.19550912818510208</v>
      </c>
      <c r="G336" s="520">
        <f t="shared" si="41"/>
        <v>1175536</v>
      </c>
      <c r="H336" s="259">
        <f t="shared" si="47"/>
        <v>0.11750401642694856</v>
      </c>
      <c r="I336" s="520">
        <f>G336/229</f>
        <v>5133.3449781659392</v>
      </c>
      <c r="J336" s="521">
        <f t="shared" si="48"/>
        <v>1.9905412372193211E-2</v>
      </c>
    </row>
    <row r="337" spans="2:10" ht="9" customHeight="1">
      <c r="B337" s="257">
        <v>37591</v>
      </c>
      <c r="C337" s="258">
        <f t="shared" si="43"/>
        <v>112127</v>
      </c>
      <c r="D337" s="1144">
        <f t="shared" si="45"/>
        <v>-9.2867660145947606E-2</v>
      </c>
      <c r="E337" s="519">
        <f>C337/19</f>
        <v>5901.4210526315792</v>
      </c>
      <c r="F337" s="259">
        <f t="shared" si="46"/>
        <v>9.810756929701088E-2</v>
      </c>
      <c r="G337" s="520">
        <f t="shared" si="41"/>
        <v>1287663</v>
      </c>
      <c r="H337" s="259">
        <f t="shared" si="47"/>
        <v>9.5383722829415693E-2</v>
      </c>
      <c r="I337" s="520">
        <f>G337/248</f>
        <v>5192.1895161290322</v>
      </c>
      <c r="J337" s="521">
        <f t="shared" si="48"/>
        <v>1.1463195677161987E-2</v>
      </c>
    </row>
    <row r="338" spans="2:10" ht="9" customHeight="1">
      <c r="B338" s="257">
        <v>37622</v>
      </c>
      <c r="C338" s="258">
        <f t="shared" si="43"/>
        <v>153201</v>
      </c>
      <c r="D338" s="1144">
        <f t="shared" si="45"/>
        <v>0.36631676581019734</v>
      </c>
      <c r="E338" s="519">
        <f>C338/21</f>
        <v>7295.2857142857147</v>
      </c>
      <c r="F338" s="259">
        <f t="shared" si="46"/>
        <v>0.23619135954255954</v>
      </c>
      <c r="G338" s="520">
        <f>C338</f>
        <v>153201</v>
      </c>
      <c r="H338" s="675" t="s">
        <v>31</v>
      </c>
      <c r="I338" s="520">
        <f>G338/21</f>
        <v>7295.2857142857147</v>
      </c>
      <c r="J338" s="521">
        <f t="shared" si="48"/>
        <v>0.40504996815382383</v>
      </c>
    </row>
    <row r="339" spans="2:10" ht="9" customHeight="1">
      <c r="B339" s="257">
        <v>37653</v>
      </c>
      <c r="C339" s="258">
        <f t="shared" si="43"/>
        <v>98260</v>
      </c>
      <c r="D339" s="1144">
        <f t="shared" si="45"/>
        <v>-0.35862037454063617</v>
      </c>
      <c r="E339" s="519">
        <f>C339/17</f>
        <v>5780</v>
      </c>
      <c r="F339" s="259">
        <f t="shared" si="46"/>
        <v>-0.20770752149137411</v>
      </c>
      <c r="G339" s="520">
        <f t="shared" ref="G339:G344" si="49">G338+C339</f>
        <v>251461</v>
      </c>
      <c r="H339" s="259">
        <f t="shared" si="47"/>
        <v>0.64137962545936389</v>
      </c>
      <c r="I339" s="520">
        <f>G339/38</f>
        <v>6617.394736842105</v>
      </c>
      <c r="J339" s="521">
        <f t="shared" si="48"/>
        <v>-9.292178593035165E-2</v>
      </c>
    </row>
    <row r="340" spans="2:10" ht="9" customHeight="1">
      <c r="B340" s="257">
        <v>37681</v>
      </c>
      <c r="C340" s="258">
        <f t="shared" si="43"/>
        <v>182734</v>
      </c>
      <c r="D340" s="1144">
        <f t="shared" ref="D340:D345" si="50">(C340-C339)/C339</f>
        <v>0.859698758396092</v>
      </c>
      <c r="E340" s="519">
        <f>C340/20</f>
        <v>9136.7000000000007</v>
      </c>
      <c r="F340" s="259">
        <f t="shared" ref="F340:F345" si="51">(E340-E339)/E339</f>
        <v>0.58074394463667833</v>
      </c>
      <c r="G340" s="520">
        <f t="shared" si="49"/>
        <v>434195</v>
      </c>
      <c r="H340" s="259">
        <f t="shared" ref="H340:H345" si="52">(G340-G339)/G339</f>
        <v>0.72668922815068737</v>
      </c>
      <c r="I340" s="520">
        <f>G340/58</f>
        <v>7486.1206896551721</v>
      </c>
      <c r="J340" s="521">
        <f t="shared" si="48"/>
        <v>0.13127914947803657</v>
      </c>
    </row>
    <row r="341" spans="2:10" ht="9" customHeight="1">
      <c r="B341" s="257">
        <v>37712</v>
      </c>
      <c r="C341" s="258">
        <f t="shared" si="43"/>
        <v>173537</v>
      </c>
      <c r="D341" s="1144">
        <f t="shared" si="50"/>
        <v>-5.0329987851193539E-2</v>
      </c>
      <c r="E341" s="519">
        <f>C341/22</f>
        <v>7888.045454545455</v>
      </c>
      <c r="F341" s="259">
        <f t="shared" si="51"/>
        <v>-0.13666362531926687</v>
      </c>
      <c r="G341" s="520">
        <f t="shared" si="49"/>
        <v>607732</v>
      </c>
      <c r="H341" s="259">
        <f t="shared" si="52"/>
        <v>0.39967526111539747</v>
      </c>
      <c r="I341" s="520">
        <f>G341/80</f>
        <v>7596.65</v>
      </c>
      <c r="J341" s="521">
        <f t="shared" ref="J341:J346" si="53">(I341-I340)/I340</f>
        <v>1.4764564308663151E-2</v>
      </c>
    </row>
    <row r="342" spans="2:10" ht="9" customHeight="1">
      <c r="B342" s="257">
        <v>37742</v>
      </c>
      <c r="C342" s="258">
        <f t="shared" si="43"/>
        <v>137114</v>
      </c>
      <c r="D342" s="1144">
        <f t="shared" si="50"/>
        <v>-0.20988607616819469</v>
      </c>
      <c r="E342" s="519">
        <f>C342/19</f>
        <v>7216.5263157894733</v>
      </c>
      <c r="F342" s="259">
        <f t="shared" si="51"/>
        <v>-8.5131246089488674E-2</v>
      </c>
      <c r="G342" s="520">
        <f t="shared" si="49"/>
        <v>744846</v>
      </c>
      <c r="H342" s="259">
        <f t="shared" si="52"/>
        <v>0.22561589648068556</v>
      </c>
      <c r="I342" s="520">
        <f>G342/99</f>
        <v>7523.69696969697</v>
      </c>
      <c r="J342" s="521">
        <f t="shared" si="53"/>
        <v>-9.6033159752035007E-3</v>
      </c>
    </row>
    <row r="343" spans="2:10" ht="9" customHeight="1">
      <c r="B343" s="257">
        <v>37773</v>
      </c>
      <c r="C343" s="258">
        <f t="shared" si="43"/>
        <v>158364</v>
      </c>
      <c r="D343" s="1144">
        <f t="shared" si="50"/>
        <v>0.15498052715258837</v>
      </c>
      <c r="E343" s="519">
        <f>C343/21</f>
        <v>7541.1428571428569</v>
      </c>
      <c r="F343" s="259">
        <f t="shared" si="51"/>
        <v>4.4982381709484723E-2</v>
      </c>
      <c r="G343" s="520">
        <f t="shared" si="49"/>
        <v>903210</v>
      </c>
      <c r="H343" s="259">
        <f t="shared" si="52"/>
        <v>0.21261307706559476</v>
      </c>
      <c r="I343" s="520">
        <f>G343/120</f>
        <v>7526.75</v>
      </c>
      <c r="J343" s="521">
        <f t="shared" si="53"/>
        <v>4.057885791156463E-4</v>
      </c>
    </row>
    <row r="344" spans="2:10" ht="9" customHeight="1">
      <c r="B344" s="257">
        <v>37803</v>
      </c>
      <c r="C344" s="258">
        <f t="shared" si="43"/>
        <v>187799</v>
      </c>
      <c r="D344" s="1144">
        <f t="shared" si="50"/>
        <v>0.18586926321638755</v>
      </c>
      <c r="E344" s="519">
        <f>C344/23</f>
        <v>8165.173913043478</v>
      </c>
      <c r="F344" s="259">
        <f t="shared" si="51"/>
        <v>8.2750196849745175E-2</v>
      </c>
      <c r="G344" s="520">
        <f t="shared" si="49"/>
        <v>1091009</v>
      </c>
      <c r="H344" s="259">
        <f t="shared" si="52"/>
        <v>0.20792396009787315</v>
      </c>
      <c r="I344" s="520">
        <f>G344/143</f>
        <v>7629.4335664335667</v>
      </c>
      <c r="J344" s="521">
        <f t="shared" si="53"/>
        <v>1.3642483998215264E-2</v>
      </c>
    </row>
    <row r="345" spans="2:10" ht="9" customHeight="1">
      <c r="B345" s="257">
        <v>37834</v>
      </c>
      <c r="C345" s="258">
        <f t="shared" si="43"/>
        <v>155748</v>
      </c>
      <c r="D345" s="1144">
        <f t="shared" si="50"/>
        <v>-0.17066651047130177</v>
      </c>
      <c r="E345" s="519">
        <f>C345/21</f>
        <v>7416.5714285714284</v>
      </c>
      <c r="F345" s="259">
        <f t="shared" si="51"/>
        <v>-9.168236861142573E-2</v>
      </c>
      <c r="G345" s="520">
        <f>G344+C345</f>
        <v>1246757</v>
      </c>
      <c r="H345" s="259">
        <f t="shared" si="52"/>
        <v>0.14275592593644965</v>
      </c>
      <c r="I345" s="520">
        <f>G345/164</f>
        <v>7602.1768292682927</v>
      </c>
      <c r="J345" s="521">
        <f t="shared" si="53"/>
        <v>-3.5725767749250283E-3</v>
      </c>
    </row>
    <row r="346" spans="2:10" ht="9" customHeight="1">
      <c r="B346" s="257">
        <v>37865</v>
      </c>
      <c r="C346" s="258">
        <f>C595+C702+C846+C1045+C1169+C1205+C1223</f>
        <v>177494</v>
      </c>
      <c r="D346" s="1144">
        <f>(C346-C345)/C345</f>
        <v>0.1396229807124329</v>
      </c>
      <c r="E346" s="519">
        <f>C346/21</f>
        <v>8452.0952380952385</v>
      </c>
      <c r="F346" s="259">
        <f>(E346-E345)/E345</f>
        <v>0.13962298071243298</v>
      </c>
      <c r="G346" s="520">
        <f>G345+C346</f>
        <v>1424251</v>
      </c>
      <c r="H346" s="259">
        <f>(G346-G345)/G345</f>
        <v>0.14236455059005082</v>
      </c>
      <c r="I346" s="520">
        <f>G346/185</f>
        <v>7698.6540540540536</v>
      </c>
      <c r="J346" s="521">
        <f t="shared" si="53"/>
        <v>1.2690736739288238E-2</v>
      </c>
    </row>
    <row r="347" spans="2:10" ht="9" customHeight="1">
      <c r="B347" s="243">
        <v>37895</v>
      </c>
      <c r="C347" s="244">
        <f>C596+C703+C847+C1046+C1170+C1206+C1224</f>
        <v>246554</v>
      </c>
      <c r="D347" s="1142">
        <f>(C347-C346)/C346</f>
        <v>0.38908357465604471</v>
      </c>
      <c r="E347" s="252">
        <f>C347/22</f>
        <v>11207</v>
      </c>
      <c r="F347" s="233">
        <f>(E347-E346)/E346</f>
        <v>0.32594341217167899</v>
      </c>
      <c r="G347" s="245">
        <f>G346+C347</f>
        <v>1670805</v>
      </c>
      <c r="H347" s="233">
        <f>(G347-G346)/G346</f>
        <v>0.17311134062745961</v>
      </c>
      <c r="I347" s="245">
        <f>G347/207</f>
        <v>8071.521739130435</v>
      </c>
      <c r="J347" s="251">
        <f>(I347-I346)/I346</f>
        <v>4.8432840657391535E-2</v>
      </c>
    </row>
    <row r="348" spans="2:10" ht="9" customHeight="1" thickBot="1">
      <c r="B348" s="1198">
        <v>37926</v>
      </c>
      <c r="C348" s="1199">
        <f>C597+C704+C848+C1047+C1171+C1207+C1225</f>
        <v>167885</v>
      </c>
      <c r="D348" s="1200">
        <f>(C348-C347)/C347</f>
        <v>-0.31907411763751553</v>
      </c>
      <c r="E348" s="1201">
        <f>C348/17</f>
        <v>9875.5882352941171</v>
      </c>
      <c r="F348" s="1202">
        <f>(E348-E347)/E347</f>
        <v>-0.11880179929560836</v>
      </c>
      <c r="G348" s="1203">
        <f>G347+C348</f>
        <v>1838690</v>
      </c>
      <c r="H348" s="1202">
        <f>(G348-G347)/G347</f>
        <v>0.10048150442451394</v>
      </c>
      <c r="I348" s="1203">
        <f>G348/224</f>
        <v>8208.4375</v>
      </c>
      <c r="J348" s="1204">
        <f>(I348-I347)/I347</f>
        <v>1.696281882086776E-2</v>
      </c>
    </row>
    <row r="349" spans="2:10" ht="9" customHeight="1" thickBot="1">
      <c r="B349" s="269" t="s">
        <v>65</v>
      </c>
      <c r="C349" s="270"/>
      <c r="D349" s="1147"/>
      <c r="E349" s="271"/>
      <c r="F349" s="271"/>
      <c r="G349" s="272"/>
      <c r="H349" s="271"/>
      <c r="I349" s="273"/>
      <c r="J349" s="274"/>
    </row>
    <row r="350" spans="2:10" ht="9" customHeight="1">
      <c r="B350" s="275"/>
      <c r="C350" s="276" t="s">
        <v>66</v>
      </c>
      <c r="D350" s="1148"/>
      <c r="E350" s="276" t="s">
        <v>67</v>
      </c>
      <c r="F350" s="277"/>
      <c r="G350" s="278" t="s">
        <v>68</v>
      </c>
      <c r="H350" s="277"/>
      <c r="I350" s="278" t="s">
        <v>69</v>
      </c>
      <c r="J350" s="277"/>
    </row>
    <row r="351" spans="2:10" ht="9" customHeight="1">
      <c r="B351" s="279" t="s">
        <v>54</v>
      </c>
      <c r="C351" s="280" t="s">
        <v>70</v>
      </c>
      <c r="D351" s="1149"/>
      <c r="E351" s="280" t="s">
        <v>71</v>
      </c>
      <c r="F351" s="282"/>
      <c r="G351" s="283"/>
      <c r="H351" s="284"/>
      <c r="I351" s="285" t="s">
        <v>9</v>
      </c>
      <c r="J351" s="282"/>
    </row>
    <row r="352" spans="2:10" ht="9" customHeight="1" thickBot="1">
      <c r="B352" s="286" t="s">
        <v>61</v>
      </c>
      <c r="C352" s="287" t="s">
        <v>62</v>
      </c>
      <c r="D352" s="1150" t="s">
        <v>63</v>
      </c>
      <c r="E352" s="287" t="s">
        <v>62</v>
      </c>
      <c r="F352" s="222" t="s">
        <v>63</v>
      </c>
      <c r="G352" s="542" t="s">
        <v>72</v>
      </c>
      <c r="H352" s="541"/>
      <c r="I352" s="290"/>
      <c r="J352" s="291" t="s">
        <v>63</v>
      </c>
    </row>
    <row r="353" spans="2:10" ht="9" customHeight="1">
      <c r="B353" s="223">
        <v>35034</v>
      </c>
      <c r="C353" s="292">
        <f>C253</f>
        <v>672</v>
      </c>
      <c r="D353" s="228" t="s">
        <v>64</v>
      </c>
      <c r="E353" s="229">
        <v>67.2</v>
      </c>
      <c r="F353" s="228" t="s">
        <v>64</v>
      </c>
      <c r="G353" s="545">
        <v>66728</v>
      </c>
      <c r="H353" s="546"/>
      <c r="I353" s="295">
        <v>69</v>
      </c>
      <c r="J353" s="296" t="s">
        <v>64</v>
      </c>
    </row>
    <row r="354" spans="2:10" ht="9" customHeight="1">
      <c r="B354" s="231">
        <v>35065</v>
      </c>
      <c r="C354" s="245">
        <f t="shared" ref="C354:C385" si="54">C353+C254</f>
        <v>63198</v>
      </c>
      <c r="D354" s="1151">
        <f t="shared" ref="D354:D385" si="55">(C354-C353)/C353</f>
        <v>93.044642857142861</v>
      </c>
      <c r="E354" s="237">
        <f>C354/32</f>
        <v>1974.9375</v>
      </c>
      <c r="F354" s="297">
        <f t="shared" ref="F354:F385" si="56">(E354-E353)/E353</f>
        <v>28.388950892857142</v>
      </c>
      <c r="G354" s="547">
        <v>249122</v>
      </c>
      <c r="H354" s="548"/>
      <c r="I354" s="300">
        <v>316</v>
      </c>
      <c r="J354" s="301">
        <f t="shared" ref="J354:J417" si="57">(I354-I353)/I353</f>
        <v>3.5797101449275361</v>
      </c>
    </row>
    <row r="355" spans="2:10" ht="9" customHeight="1">
      <c r="B355" s="231">
        <v>35096</v>
      </c>
      <c r="C355" s="245">
        <f t="shared" si="54"/>
        <v>97027</v>
      </c>
      <c r="D355" s="1151">
        <f t="shared" si="55"/>
        <v>0.53528592676983444</v>
      </c>
      <c r="E355" s="237">
        <f>C355/47</f>
        <v>2064.4042553191489</v>
      </c>
      <c r="F355" s="297">
        <f t="shared" si="56"/>
        <v>4.5301056524142604E-2</v>
      </c>
      <c r="G355" s="547">
        <v>230304</v>
      </c>
      <c r="H355" s="548"/>
      <c r="I355" s="245">
        <v>527</v>
      </c>
      <c r="J355" s="301">
        <f t="shared" si="57"/>
        <v>0.66772151898734178</v>
      </c>
    </row>
    <row r="356" spans="2:10" ht="9" customHeight="1">
      <c r="B356" s="231">
        <v>35125</v>
      </c>
      <c r="C356" s="245">
        <f t="shared" si="54"/>
        <v>135590</v>
      </c>
      <c r="D356" s="1151">
        <f t="shared" si="55"/>
        <v>0.39744607171199769</v>
      </c>
      <c r="E356" s="237">
        <f>C356/68</f>
        <v>1993.9705882352941</v>
      </c>
      <c r="F356" s="297">
        <f t="shared" si="56"/>
        <v>-3.4118156316707442E-2</v>
      </c>
      <c r="G356" s="547">
        <v>628756</v>
      </c>
      <c r="H356" s="548"/>
      <c r="I356" s="245">
        <v>689</v>
      </c>
      <c r="J356" s="301">
        <f t="shared" si="57"/>
        <v>0.30740037950664134</v>
      </c>
    </row>
    <row r="357" spans="2:10" ht="9" customHeight="1">
      <c r="B357" s="231">
        <v>35156</v>
      </c>
      <c r="C357" s="245">
        <f t="shared" si="54"/>
        <v>181246</v>
      </c>
      <c r="D357" s="1151">
        <f t="shared" si="55"/>
        <v>0.3367209971236817</v>
      </c>
      <c r="E357" s="237">
        <f>C357/89</f>
        <v>2036.4719101123596</v>
      </c>
      <c r="F357" s="297">
        <f t="shared" si="56"/>
        <v>2.1314919150678173E-2</v>
      </c>
      <c r="G357" s="547">
        <v>745081</v>
      </c>
      <c r="H357" s="548"/>
      <c r="I357" s="245">
        <v>987</v>
      </c>
      <c r="J357" s="301">
        <f t="shared" si="57"/>
        <v>0.43251088534107401</v>
      </c>
    </row>
    <row r="358" spans="2:10" ht="9" customHeight="1">
      <c r="B358" s="231">
        <v>35186</v>
      </c>
      <c r="C358" s="245">
        <f t="shared" si="54"/>
        <v>215120</v>
      </c>
      <c r="D358" s="1151">
        <f t="shared" si="55"/>
        <v>0.18689515906557938</v>
      </c>
      <c r="E358" s="237">
        <f>C358/109</f>
        <v>1973.5779816513761</v>
      </c>
      <c r="F358" s="297">
        <f t="shared" si="56"/>
        <v>-3.088376920333431E-2</v>
      </c>
      <c r="G358" s="547">
        <f>751225+G1053</f>
        <v>3342225</v>
      </c>
      <c r="H358" s="548"/>
      <c r="I358" s="245">
        <v>1138</v>
      </c>
      <c r="J358" s="301">
        <f t="shared" si="57"/>
        <v>0.15298885511651469</v>
      </c>
    </row>
    <row r="359" spans="2:10" ht="9" customHeight="1">
      <c r="B359" s="231">
        <v>35217</v>
      </c>
      <c r="C359" s="245">
        <f t="shared" si="54"/>
        <v>271098</v>
      </c>
      <c r="D359" s="1151">
        <f t="shared" si="55"/>
        <v>0.26021755299367794</v>
      </c>
      <c r="E359" s="237">
        <f>C359/129</f>
        <v>2101.5348837209303</v>
      </c>
      <c r="F359" s="297">
        <f t="shared" si="56"/>
        <v>6.4834986638069012E-2</v>
      </c>
      <c r="G359" s="547">
        <f t="shared" ref="G359:G413" si="58">751225+G1054</f>
        <v>6932225</v>
      </c>
      <c r="H359" s="548"/>
      <c r="I359" s="245">
        <v>1333</v>
      </c>
      <c r="J359" s="301">
        <f t="shared" si="57"/>
        <v>0.17135325131810195</v>
      </c>
    </row>
    <row r="360" spans="2:10" ht="9" customHeight="1">
      <c r="B360" s="231">
        <v>35247</v>
      </c>
      <c r="C360" s="245">
        <f t="shared" si="54"/>
        <v>326261</v>
      </c>
      <c r="D360" s="1151">
        <f t="shared" si="55"/>
        <v>0.20347992238968934</v>
      </c>
      <c r="E360" s="237">
        <f>C360/151</f>
        <v>2160.6688741721855</v>
      </c>
      <c r="F360" s="297">
        <f t="shared" si="56"/>
        <v>2.8138476743509413E-2</v>
      </c>
      <c r="G360" s="547">
        <f t="shared" si="58"/>
        <v>5835225</v>
      </c>
      <c r="H360" s="548"/>
      <c r="I360" s="245">
        <v>1507</v>
      </c>
      <c r="J360" s="301">
        <f t="shared" si="57"/>
        <v>0.13053263315828958</v>
      </c>
    </row>
    <row r="361" spans="2:10" ht="9" customHeight="1">
      <c r="B361" s="231">
        <v>35278</v>
      </c>
      <c r="C361" s="245">
        <f t="shared" si="54"/>
        <v>395012</v>
      </c>
      <c r="D361" s="1151">
        <f t="shared" si="55"/>
        <v>0.21072392961463368</v>
      </c>
      <c r="E361" s="237">
        <f>C361/173</f>
        <v>2283.3063583815028</v>
      </c>
      <c r="F361" s="297">
        <f t="shared" si="56"/>
        <v>5.6759036831269802E-2</v>
      </c>
      <c r="G361" s="547">
        <f t="shared" si="58"/>
        <v>7936225</v>
      </c>
      <c r="H361" s="548"/>
      <c r="I361" s="245">
        <v>1388</v>
      </c>
      <c r="J361" s="301">
        <f t="shared" si="57"/>
        <v>-7.8964830789648305E-2</v>
      </c>
    </row>
    <row r="362" spans="2:10" ht="9" customHeight="1">
      <c r="B362" s="231">
        <v>35309</v>
      </c>
      <c r="C362" s="245">
        <f t="shared" si="54"/>
        <v>459434</v>
      </c>
      <c r="D362" s="1151">
        <f t="shared" si="55"/>
        <v>0.16308871629216329</v>
      </c>
      <c r="E362" s="237">
        <f>C362/194</f>
        <v>2368.216494845361</v>
      </c>
      <c r="F362" s="297">
        <f t="shared" si="56"/>
        <v>3.7187360404867358E-2</v>
      </c>
      <c r="G362" s="547">
        <f t="shared" si="58"/>
        <v>3745225</v>
      </c>
      <c r="H362" s="548"/>
      <c r="I362" s="245">
        <v>1533</v>
      </c>
      <c r="J362" s="301">
        <f t="shared" si="57"/>
        <v>0.10446685878962536</v>
      </c>
    </row>
    <row r="363" spans="2:10" ht="9" customHeight="1">
      <c r="B363" s="231">
        <v>35339</v>
      </c>
      <c r="C363" s="245">
        <f t="shared" si="54"/>
        <v>519251</v>
      </c>
      <c r="D363" s="1151">
        <f t="shared" si="55"/>
        <v>0.13019715563062376</v>
      </c>
      <c r="E363" s="237">
        <f>C363/217</f>
        <v>2392.8617511520738</v>
      </c>
      <c r="F363" s="297">
        <f t="shared" si="56"/>
        <v>1.0406673697423959E-2</v>
      </c>
      <c r="G363" s="547">
        <f t="shared" si="58"/>
        <v>7871225</v>
      </c>
      <c r="H363" s="548"/>
      <c r="I363" s="245">
        <v>1823</v>
      </c>
      <c r="J363" s="301">
        <f t="shared" si="57"/>
        <v>0.18917155903457272</v>
      </c>
    </row>
    <row r="364" spans="2:10" ht="9" customHeight="1">
      <c r="B364" s="231">
        <v>35370</v>
      </c>
      <c r="C364" s="245">
        <f t="shared" si="54"/>
        <v>568441</v>
      </c>
      <c r="D364" s="1151">
        <f t="shared" si="55"/>
        <v>9.4732605233307204E-2</v>
      </c>
      <c r="E364" s="237">
        <f>C364/237</f>
        <v>2398.4852320675104</v>
      </c>
      <c r="F364" s="297">
        <f t="shared" si="56"/>
        <v>2.3501069013824698E-3</v>
      </c>
      <c r="G364" s="547">
        <f t="shared" si="58"/>
        <v>6831225</v>
      </c>
      <c r="H364" s="548"/>
      <c r="I364" s="245">
        <v>1169</v>
      </c>
      <c r="J364" s="301">
        <f t="shared" si="57"/>
        <v>-0.35874931431705981</v>
      </c>
    </row>
    <row r="365" spans="2:10" ht="9" customHeight="1">
      <c r="B365" s="231">
        <v>35400</v>
      </c>
      <c r="C365" s="245">
        <f t="shared" si="54"/>
        <v>616954</v>
      </c>
      <c r="D365" s="1151">
        <f t="shared" si="55"/>
        <v>8.5343949503994251E-2</v>
      </c>
      <c r="E365" s="237">
        <f>C365/258</f>
        <v>2391.2945736434108</v>
      </c>
      <c r="F365" s="297">
        <f t="shared" si="56"/>
        <v>-2.9979998742378088E-3</v>
      </c>
      <c r="G365" s="547">
        <f t="shared" si="58"/>
        <v>4449225</v>
      </c>
      <c r="H365" s="548"/>
      <c r="I365" s="245">
        <v>1312</v>
      </c>
      <c r="J365" s="301">
        <f t="shared" si="57"/>
        <v>0.12232677502138579</v>
      </c>
    </row>
    <row r="366" spans="2:10" ht="9" customHeight="1">
      <c r="B366" s="243">
        <v>35431</v>
      </c>
      <c r="C366" s="245">
        <f t="shared" si="54"/>
        <v>682309</v>
      </c>
      <c r="D366" s="1151">
        <f t="shared" si="55"/>
        <v>0.10593172262437718</v>
      </c>
      <c r="E366" s="304">
        <f>C366/280</f>
        <v>2436.8178571428571</v>
      </c>
      <c r="F366" s="297">
        <f t="shared" si="56"/>
        <v>1.903708727531897E-2</v>
      </c>
      <c r="G366" s="547">
        <f t="shared" si="58"/>
        <v>6215225</v>
      </c>
      <c r="H366" s="548"/>
      <c r="I366" s="305">
        <v>2031</v>
      </c>
      <c r="J366" s="301">
        <f t="shared" si="57"/>
        <v>0.54801829268292679</v>
      </c>
    </row>
    <row r="367" spans="2:10" ht="9" customHeight="1">
      <c r="B367" s="243">
        <v>35462</v>
      </c>
      <c r="C367" s="245">
        <f t="shared" si="54"/>
        <v>726760</v>
      </c>
      <c r="D367" s="1151">
        <f t="shared" si="55"/>
        <v>6.514790219680526E-2</v>
      </c>
      <c r="E367" s="304">
        <f>C367/296</f>
        <v>2455.2702702702704</v>
      </c>
      <c r="F367" s="297">
        <f t="shared" si="56"/>
        <v>7.572339915896965E-3</v>
      </c>
      <c r="G367" s="547">
        <f t="shared" si="58"/>
        <v>4229225</v>
      </c>
      <c r="H367" s="548"/>
      <c r="I367" s="305">
        <v>1850</v>
      </c>
      <c r="J367" s="301">
        <f t="shared" si="57"/>
        <v>-8.9118660758247176E-2</v>
      </c>
    </row>
    <row r="368" spans="2:10" ht="9" customHeight="1">
      <c r="B368" s="243">
        <v>35490</v>
      </c>
      <c r="C368" s="245">
        <f t="shared" si="54"/>
        <v>786625</v>
      </c>
      <c r="D368" s="1151">
        <f t="shared" si="55"/>
        <v>8.2372447575540755E-2</v>
      </c>
      <c r="E368" s="304">
        <f>C368/317</f>
        <v>2481.4668769716091</v>
      </c>
      <c r="F368" s="297">
        <f t="shared" si="56"/>
        <v>1.0669540953817259E-2</v>
      </c>
      <c r="G368" s="547">
        <f t="shared" si="58"/>
        <v>9157225</v>
      </c>
      <c r="H368" s="548"/>
      <c r="I368" s="308">
        <v>2140</v>
      </c>
      <c r="J368" s="301">
        <f t="shared" si="57"/>
        <v>0.15675675675675677</v>
      </c>
    </row>
    <row r="369" spans="2:10" ht="9" customHeight="1">
      <c r="B369" s="243">
        <v>35521</v>
      </c>
      <c r="C369" s="245">
        <f t="shared" si="54"/>
        <v>848478</v>
      </c>
      <c r="D369" s="1151">
        <f t="shared" si="55"/>
        <v>7.8630859685364693E-2</v>
      </c>
      <c r="E369" s="304">
        <f>C369/338</f>
        <v>2510.2899408284025</v>
      </c>
      <c r="F369" s="297">
        <f t="shared" si="56"/>
        <v>1.1615332900179255E-2</v>
      </c>
      <c r="G369" s="547">
        <f t="shared" si="58"/>
        <v>5803225</v>
      </c>
      <c r="H369" s="548"/>
      <c r="I369" s="308">
        <v>2112</v>
      </c>
      <c r="J369" s="301">
        <f t="shared" si="57"/>
        <v>-1.3084112149532711E-2</v>
      </c>
    </row>
    <row r="370" spans="2:10" ht="9" customHeight="1">
      <c r="B370" s="243">
        <v>35551</v>
      </c>
      <c r="C370" s="245">
        <f t="shared" si="54"/>
        <v>917020</v>
      </c>
      <c r="D370" s="1151">
        <f t="shared" si="55"/>
        <v>8.0782294885665865E-2</v>
      </c>
      <c r="E370" s="304">
        <f>C370/357</f>
        <v>2568.6834733893556</v>
      </c>
      <c r="F370" s="297">
        <f t="shared" si="56"/>
        <v>2.3261668547212982E-2</v>
      </c>
      <c r="G370" s="547">
        <f t="shared" si="58"/>
        <v>8014225</v>
      </c>
      <c r="H370" s="548"/>
      <c r="I370" s="310">
        <v>2859</v>
      </c>
      <c r="J370" s="301">
        <f t="shared" si="57"/>
        <v>0.35369318181818182</v>
      </c>
    </row>
    <row r="371" spans="2:10" ht="9" customHeight="1">
      <c r="B371" s="243">
        <v>35582</v>
      </c>
      <c r="C371" s="245">
        <f t="shared" si="54"/>
        <v>987949</v>
      </c>
      <c r="D371" s="1151">
        <f t="shared" si="55"/>
        <v>7.7347277049573615E-2</v>
      </c>
      <c r="E371" s="304">
        <f>C371/378</f>
        <v>2613.6216931216932</v>
      </c>
      <c r="F371" s="297">
        <f t="shared" si="56"/>
        <v>1.7494650546819587E-2</v>
      </c>
      <c r="G371" s="547">
        <f t="shared" si="58"/>
        <v>11271225</v>
      </c>
      <c r="H371" s="548"/>
      <c r="I371" s="310">
        <v>2604</v>
      </c>
      <c r="J371" s="301">
        <f t="shared" si="57"/>
        <v>-8.9192025183630647E-2</v>
      </c>
    </row>
    <row r="372" spans="2:10" ht="9" customHeight="1">
      <c r="B372" s="243">
        <v>35612</v>
      </c>
      <c r="C372" s="245">
        <f t="shared" si="54"/>
        <v>1072269</v>
      </c>
      <c r="D372" s="1151">
        <f t="shared" si="55"/>
        <v>8.534853519766708E-2</v>
      </c>
      <c r="E372" s="304">
        <f>C372/400</f>
        <v>2680.6725000000001</v>
      </c>
      <c r="F372" s="297">
        <f t="shared" si="56"/>
        <v>2.5654365761795427E-2</v>
      </c>
      <c r="G372" s="547">
        <f t="shared" si="58"/>
        <v>14644225</v>
      </c>
      <c r="H372" s="548"/>
      <c r="I372" s="310">
        <v>3103</v>
      </c>
      <c r="J372" s="301">
        <f t="shared" si="57"/>
        <v>0.19162826420890938</v>
      </c>
    </row>
    <row r="373" spans="2:10" ht="9" customHeight="1">
      <c r="B373" s="243">
        <v>35643</v>
      </c>
      <c r="C373" s="245">
        <f t="shared" si="54"/>
        <v>1167134</v>
      </c>
      <c r="D373" s="1151">
        <f t="shared" si="55"/>
        <v>8.8471269802633479E-2</v>
      </c>
      <c r="E373" s="304">
        <f>C373/421</f>
        <v>2772.289786223278</v>
      </c>
      <c r="F373" s="297">
        <f t="shared" si="56"/>
        <v>3.417697843480616E-2</v>
      </c>
      <c r="G373" s="547">
        <f t="shared" si="58"/>
        <v>8256225</v>
      </c>
      <c r="H373" s="548"/>
      <c r="I373" s="308">
        <v>6439</v>
      </c>
      <c r="J373" s="301">
        <f t="shared" si="57"/>
        <v>1.0750886239123429</v>
      </c>
    </row>
    <row r="374" spans="2:10" ht="9" customHeight="1">
      <c r="B374" s="243">
        <v>35674</v>
      </c>
      <c r="C374" s="245">
        <f t="shared" si="54"/>
        <v>1283799</v>
      </c>
      <c r="D374" s="1151">
        <f t="shared" si="55"/>
        <v>9.9958530897052089E-2</v>
      </c>
      <c r="E374" s="304">
        <f>C374/442</f>
        <v>2904.5226244343889</v>
      </c>
      <c r="F374" s="297">
        <f t="shared" si="56"/>
        <v>4.769805770963547E-2</v>
      </c>
      <c r="G374" s="547">
        <f t="shared" si="58"/>
        <v>6388225</v>
      </c>
      <c r="H374" s="548"/>
      <c r="I374" s="308">
        <v>5492</v>
      </c>
      <c r="J374" s="301">
        <f t="shared" si="57"/>
        <v>-0.1470725267898742</v>
      </c>
    </row>
    <row r="375" spans="2:10" ht="9" customHeight="1">
      <c r="B375" s="257">
        <v>35704</v>
      </c>
      <c r="C375" s="245">
        <f t="shared" si="54"/>
        <v>1384782</v>
      </c>
      <c r="D375" s="1151">
        <f t="shared" si="55"/>
        <v>7.8659509783073525E-2</v>
      </c>
      <c r="E375" s="304">
        <f>C375/464</f>
        <v>2984.4439655172414</v>
      </c>
      <c r="F375" s="297">
        <f t="shared" si="56"/>
        <v>2.7516170957152003E-2</v>
      </c>
      <c r="G375" s="547">
        <f t="shared" si="58"/>
        <v>5969225</v>
      </c>
      <c r="H375" s="548"/>
      <c r="I375" s="310">
        <v>8169</v>
      </c>
      <c r="J375" s="301">
        <f t="shared" si="57"/>
        <v>0.48743627093954844</v>
      </c>
    </row>
    <row r="376" spans="2:10" ht="9" customHeight="1">
      <c r="B376" s="243">
        <v>35735</v>
      </c>
      <c r="C376" s="245">
        <f t="shared" si="54"/>
        <v>1473841</v>
      </c>
      <c r="D376" s="1151">
        <f t="shared" si="55"/>
        <v>6.4312649933346913E-2</v>
      </c>
      <c r="E376" s="304">
        <f>C376/484</f>
        <v>3045.1260330578511</v>
      </c>
      <c r="F376" s="297">
        <f t="shared" si="56"/>
        <v>2.0332788365853199E-2</v>
      </c>
      <c r="G376" s="547">
        <f t="shared" si="58"/>
        <v>3503225</v>
      </c>
      <c r="H376" s="548"/>
      <c r="I376" s="308">
        <v>8089</v>
      </c>
      <c r="J376" s="301">
        <f t="shared" si="57"/>
        <v>-9.7931203329660911E-3</v>
      </c>
    </row>
    <row r="377" spans="2:10" ht="9" customHeight="1">
      <c r="B377" s="257">
        <v>35765</v>
      </c>
      <c r="C377" s="520">
        <f t="shared" si="54"/>
        <v>1559963</v>
      </c>
      <c r="D377" s="1152">
        <f t="shared" si="55"/>
        <v>5.8433711641893531E-2</v>
      </c>
      <c r="E377" s="540">
        <f>C377/506</f>
        <v>3082.9308300395255</v>
      </c>
      <c r="F377" s="424">
        <f t="shared" si="56"/>
        <v>1.2414854613985088E-2</v>
      </c>
      <c r="G377" s="574">
        <f t="shared" si="58"/>
        <v>1947225</v>
      </c>
      <c r="H377" s="549"/>
      <c r="I377" s="310">
        <v>7614</v>
      </c>
      <c r="J377" s="577">
        <f t="shared" si="57"/>
        <v>-5.8721720855482752E-2</v>
      </c>
    </row>
    <row r="378" spans="2:10" ht="9" customHeight="1">
      <c r="B378" s="243">
        <v>35796</v>
      </c>
      <c r="C378" s="245">
        <f t="shared" si="54"/>
        <v>1636104</v>
      </c>
      <c r="D378" s="1151">
        <f t="shared" si="55"/>
        <v>4.8809490994337686E-2</v>
      </c>
      <c r="E378" s="304">
        <f>C378/523</f>
        <v>3128.3059273422564</v>
      </c>
      <c r="F378" s="297">
        <f t="shared" si="56"/>
        <v>1.4718169107332557E-2</v>
      </c>
      <c r="G378" s="547">
        <f t="shared" si="58"/>
        <v>3233225</v>
      </c>
      <c r="H378" s="548"/>
      <c r="I378" s="308">
        <v>8787</v>
      </c>
      <c r="J378" s="301">
        <f t="shared" si="57"/>
        <v>0.15405831363278172</v>
      </c>
    </row>
    <row r="379" spans="2:10" ht="9" customHeight="1">
      <c r="B379" s="243">
        <v>35827</v>
      </c>
      <c r="C379" s="245">
        <f t="shared" si="54"/>
        <v>1742577</v>
      </c>
      <c r="D379" s="1151">
        <f t="shared" si="55"/>
        <v>6.5077158909213589E-2</v>
      </c>
      <c r="E379" s="304">
        <f>C379/542</f>
        <v>3215.0867158671585</v>
      </c>
      <c r="F379" s="297">
        <f t="shared" si="56"/>
        <v>2.7740505737119295E-2</v>
      </c>
      <c r="G379" s="547">
        <f t="shared" si="58"/>
        <v>3492225</v>
      </c>
      <c r="H379" s="548"/>
      <c r="I379" s="308">
        <v>8844</v>
      </c>
      <c r="J379" s="301">
        <f t="shared" si="57"/>
        <v>6.4868555821099355E-3</v>
      </c>
    </row>
    <row r="380" spans="2:10" ht="9" customHeight="1">
      <c r="B380" s="243">
        <v>35855</v>
      </c>
      <c r="C380" s="245">
        <f t="shared" si="54"/>
        <v>1845325</v>
      </c>
      <c r="D380" s="1151">
        <f t="shared" si="55"/>
        <v>5.8963248108978829E-2</v>
      </c>
      <c r="E380" s="304">
        <f>C380/564</f>
        <v>3271.8528368794327</v>
      </c>
      <c r="F380" s="297">
        <f t="shared" si="56"/>
        <v>1.7656171055082569E-2</v>
      </c>
      <c r="G380" s="547">
        <f t="shared" si="58"/>
        <v>3624225</v>
      </c>
      <c r="H380" s="548"/>
      <c r="I380" s="308">
        <v>8603</v>
      </c>
      <c r="J380" s="301">
        <f t="shared" si="57"/>
        <v>-2.7250113071008594E-2</v>
      </c>
    </row>
    <row r="381" spans="2:10" ht="9" customHeight="1">
      <c r="B381" s="243">
        <v>35886</v>
      </c>
      <c r="C381" s="245">
        <f t="shared" si="54"/>
        <v>1966457</v>
      </c>
      <c r="D381" s="1151">
        <f t="shared" si="55"/>
        <v>6.5642637475783402E-2</v>
      </c>
      <c r="E381" s="304">
        <f>C381/584</f>
        <v>3367.2208904109589</v>
      </c>
      <c r="F381" s="297">
        <f t="shared" si="56"/>
        <v>2.9148026603325015E-2</v>
      </c>
      <c r="G381" s="547">
        <f t="shared" si="58"/>
        <v>2534225</v>
      </c>
      <c r="H381" s="548"/>
      <c r="I381" s="308">
        <v>14527</v>
      </c>
      <c r="J381" s="301">
        <f t="shared" si="57"/>
        <v>0.68859700104614674</v>
      </c>
    </row>
    <row r="382" spans="2:10" ht="9" customHeight="1">
      <c r="B382" s="243">
        <v>35916</v>
      </c>
      <c r="C382" s="245">
        <f t="shared" si="54"/>
        <v>2094250</v>
      </c>
      <c r="D382" s="1151">
        <f t="shared" si="55"/>
        <v>6.4986419738646717E-2</v>
      </c>
      <c r="E382" s="304">
        <f>C382/603</f>
        <v>3473.0514096185739</v>
      </c>
      <c r="F382" s="297">
        <f t="shared" si="56"/>
        <v>3.142963371039751E-2</v>
      </c>
      <c r="G382" s="547">
        <f t="shared" si="58"/>
        <v>2695225</v>
      </c>
      <c r="H382" s="548"/>
      <c r="I382" s="308">
        <v>15973</v>
      </c>
      <c r="J382" s="301">
        <f t="shared" si="57"/>
        <v>9.953878983960901E-2</v>
      </c>
    </row>
    <row r="383" spans="2:10" ht="9" customHeight="1">
      <c r="B383" s="243">
        <v>35947</v>
      </c>
      <c r="C383" s="245">
        <f t="shared" si="54"/>
        <v>2228257</v>
      </c>
      <c r="D383" s="1151">
        <f t="shared" si="55"/>
        <v>6.3988062552226332E-2</v>
      </c>
      <c r="E383" s="304">
        <f>C383/625</f>
        <v>3565.2112000000002</v>
      </c>
      <c r="F383" s="297">
        <f t="shared" si="56"/>
        <v>2.6535682750388E-2</v>
      </c>
      <c r="G383" s="547">
        <f t="shared" si="58"/>
        <v>3874225</v>
      </c>
      <c r="H383" s="548"/>
      <c r="I383" s="308">
        <v>18442</v>
      </c>
      <c r="J383" s="301">
        <f t="shared" si="57"/>
        <v>0.1545733425154949</v>
      </c>
    </row>
    <row r="384" spans="2:10" ht="9" customHeight="1">
      <c r="B384" s="243">
        <v>35977</v>
      </c>
      <c r="C384" s="245">
        <f t="shared" si="54"/>
        <v>2354029</v>
      </c>
      <c r="D384" s="1151">
        <f t="shared" si="55"/>
        <v>5.6444117532223614E-2</v>
      </c>
      <c r="E384" s="304">
        <f>C384/647</f>
        <v>3638.3755795981451</v>
      </c>
      <c r="F384" s="297">
        <f t="shared" si="56"/>
        <v>2.0521751866521942E-2</v>
      </c>
      <c r="G384" s="547">
        <f t="shared" si="58"/>
        <v>2779225</v>
      </c>
      <c r="H384" s="548"/>
      <c r="I384" s="308">
        <v>16446</v>
      </c>
      <c r="J384" s="301">
        <f t="shared" si="57"/>
        <v>-0.10823121136536168</v>
      </c>
    </row>
    <row r="385" spans="2:10" ht="9" customHeight="1">
      <c r="B385" s="243">
        <v>36008</v>
      </c>
      <c r="C385" s="245">
        <f t="shared" si="54"/>
        <v>2473648</v>
      </c>
      <c r="D385" s="1151">
        <f t="shared" si="55"/>
        <v>5.0814582148308286E-2</v>
      </c>
      <c r="E385" s="304">
        <f>C385/667</f>
        <v>3708.6176911544226</v>
      </c>
      <c r="F385" s="297">
        <f t="shared" si="56"/>
        <v>1.9305899025420466E-2</v>
      </c>
      <c r="G385" s="547">
        <f t="shared" si="58"/>
        <v>3209225</v>
      </c>
      <c r="H385" s="548"/>
      <c r="I385" s="308">
        <v>14293</v>
      </c>
      <c r="J385" s="301">
        <f t="shared" si="57"/>
        <v>-0.13091329198589322</v>
      </c>
    </row>
    <row r="386" spans="2:10" ht="9" customHeight="1">
      <c r="B386" s="243">
        <v>36039</v>
      </c>
      <c r="C386" s="245">
        <f t="shared" ref="C386:C417" si="59">C385+C286</f>
        <v>2578145</v>
      </c>
      <c r="D386" s="1151">
        <f>(C386-C385)/C385</f>
        <v>4.2244086466627424E-2</v>
      </c>
      <c r="E386" s="304">
        <f>C386/688</f>
        <v>3747.3037790697676</v>
      </c>
      <c r="F386" s="297">
        <f>(E386-E385)/E385</f>
        <v>1.0431403594826411E-2</v>
      </c>
      <c r="G386" s="547">
        <f t="shared" si="58"/>
        <v>3143225</v>
      </c>
      <c r="H386" s="548"/>
      <c r="I386" s="308">
        <v>681</v>
      </c>
      <c r="J386" s="301">
        <f t="shared" si="57"/>
        <v>-0.95235429930735327</v>
      </c>
    </row>
    <row r="387" spans="2:10" ht="9" customHeight="1">
      <c r="B387" s="257">
        <v>36069</v>
      </c>
      <c r="C387" s="245">
        <f t="shared" si="59"/>
        <v>2623263</v>
      </c>
      <c r="D387" s="1151">
        <f>(C387-C386)/C386</f>
        <v>1.7500179392547742E-2</v>
      </c>
      <c r="E387" s="304">
        <f>C387/709</f>
        <v>3699.9478138222848</v>
      </c>
      <c r="F387" s="297">
        <f>(E387-E386)/E386</f>
        <v>-1.2637343551378284E-2</v>
      </c>
      <c r="G387" s="547">
        <f t="shared" si="58"/>
        <v>1623225</v>
      </c>
      <c r="H387" s="548"/>
      <c r="I387" s="310">
        <v>1240</v>
      </c>
      <c r="J387" s="301">
        <f t="shared" si="57"/>
        <v>0.82085168869309844</v>
      </c>
    </row>
    <row r="388" spans="2:10" ht="9" customHeight="1">
      <c r="B388" s="257">
        <v>36100</v>
      </c>
      <c r="C388" s="245">
        <f t="shared" si="59"/>
        <v>2665652</v>
      </c>
      <c r="D388" s="1151">
        <f>(C388-C387)/C387</f>
        <v>1.615888303993919E-2</v>
      </c>
      <c r="E388" s="304">
        <f>C388/730</f>
        <v>3651.5780821917806</v>
      </c>
      <c r="F388" s="297">
        <f>(E388-E387)/E387</f>
        <v>-1.3073084828333076E-2</v>
      </c>
      <c r="G388" s="547">
        <f t="shared" si="58"/>
        <v>2041225</v>
      </c>
      <c r="H388" s="548"/>
      <c r="I388" s="310">
        <v>1519</v>
      </c>
      <c r="J388" s="301">
        <f t="shared" si="57"/>
        <v>0.22500000000000001</v>
      </c>
    </row>
    <row r="389" spans="2:10" ht="9" customHeight="1">
      <c r="B389" s="257">
        <v>36130</v>
      </c>
      <c r="C389" s="520">
        <f t="shared" si="59"/>
        <v>2709484</v>
      </c>
      <c r="D389" s="1152">
        <f>(C389-C388)/C388</f>
        <v>1.6443256659158811E-2</v>
      </c>
      <c r="E389" s="540">
        <f>C389/752</f>
        <v>3603.0372340425533</v>
      </c>
      <c r="F389" s="424">
        <f>(E389-E388)/E388</f>
        <v>-1.3293115211188819E-2</v>
      </c>
      <c r="G389" s="547">
        <f t="shared" si="58"/>
        <v>1503225</v>
      </c>
      <c r="H389" s="549"/>
      <c r="I389" s="310">
        <v>1650</v>
      </c>
      <c r="J389" s="301">
        <f t="shared" si="57"/>
        <v>8.6240947992100067E-2</v>
      </c>
    </row>
    <row r="390" spans="2:10" ht="9" customHeight="1">
      <c r="B390" s="243">
        <v>36161</v>
      </c>
      <c r="C390" s="520">
        <f t="shared" si="59"/>
        <v>2755210</v>
      </c>
      <c r="D390" s="1151">
        <v>1.9278979946776867E-2</v>
      </c>
      <c r="E390" s="304">
        <f>C390/769</f>
        <v>3582.8478543563069</v>
      </c>
      <c r="F390" s="297">
        <v>-3.2538453576382419E-3</v>
      </c>
      <c r="G390" s="547">
        <f t="shared" si="58"/>
        <v>1980225</v>
      </c>
      <c r="H390" s="548"/>
      <c r="I390" s="308">
        <v>2682</v>
      </c>
      <c r="J390" s="301">
        <f t="shared" si="57"/>
        <v>0.62545454545454549</v>
      </c>
    </row>
    <row r="391" spans="2:10" ht="9" customHeight="1">
      <c r="B391" s="243">
        <v>36192</v>
      </c>
      <c r="C391" s="520">
        <f t="shared" si="59"/>
        <v>2815049</v>
      </c>
      <c r="D391" s="1151">
        <f>(C391-C390)/C390</f>
        <v>2.1718489697699996E-2</v>
      </c>
      <c r="E391" s="304">
        <f>C391/785</f>
        <v>3586.0496815286624</v>
      </c>
      <c r="F391" s="297">
        <f>(E391-E390)/E390</f>
        <v>8.9365423889335596E-4</v>
      </c>
      <c r="G391" s="547">
        <f t="shared" si="58"/>
        <v>1163225</v>
      </c>
      <c r="H391" s="548"/>
      <c r="I391" s="308">
        <v>2546</v>
      </c>
      <c r="J391" s="301">
        <f t="shared" si="57"/>
        <v>-5.070842654735272E-2</v>
      </c>
    </row>
    <row r="392" spans="2:10" ht="9" customHeight="1">
      <c r="B392" s="243">
        <v>36220</v>
      </c>
      <c r="C392" s="520">
        <f t="shared" si="59"/>
        <v>2891618</v>
      </c>
      <c r="D392" s="1151">
        <f>(C392-C391)/C391</f>
        <v>2.7199881778256791E-2</v>
      </c>
      <c r="E392" s="304">
        <f>C392/807</f>
        <v>3583.1697645600993</v>
      </c>
      <c r="F392" s="297">
        <f>(E392-E391)/E391</f>
        <v>-8.0308897654073042E-4</v>
      </c>
      <c r="G392" s="547">
        <f t="shared" si="58"/>
        <v>3679225</v>
      </c>
      <c r="H392" s="548"/>
      <c r="I392" s="308">
        <v>2048</v>
      </c>
      <c r="J392" s="301">
        <f t="shared" si="57"/>
        <v>-0.19560094265514533</v>
      </c>
    </row>
    <row r="393" spans="2:10" ht="9" customHeight="1">
      <c r="B393" s="243">
        <v>36251</v>
      </c>
      <c r="C393" s="520">
        <f t="shared" si="59"/>
        <v>2983093</v>
      </c>
      <c r="D393" s="1151">
        <f>(C393-C392)/C392</f>
        <v>3.1634538172054541E-2</v>
      </c>
      <c r="E393" s="304">
        <f>C393/829</f>
        <v>3598.4234016887817</v>
      </c>
      <c r="F393" s="297">
        <f>(E393-E392)/E392</f>
        <v>4.2570232869095035E-3</v>
      </c>
      <c r="G393" s="547">
        <f t="shared" si="58"/>
        <v>5395225</v>
      </c>
      <c r="H393" s="548"/>
      <c r="I393" s="308">
        <v>4878</v>
      </c>
      <c r="J393" s="301">
        <f t="shared" si="57"/>
        <v>1.3818359375</v>
      </c>
    </row>
    <row r="394" spans="2:10" ht="9" customHeight="1">
      <c r="B394" s="243">
        <v>36281</v>
      </c>
      <c r="C394" s="520">
        <f t="shared" si="59"/>
        <v>3084137</v>
      </c>
      <c r="D394" s="1151">
        <v>4.2209456601508981E-2</v>
      </c>
      <c r="E394" s="304">
        <f>C394/850</f>
        <v>3628.3964705882354</v>
      </c>
      <c r="F394" s="297">
        <v>1.6460752379589248E-2</v>
      </c>
      <c r="G394" s="547">
        <f t="shared" si="58"/>
        <v>2896225</v>
      </c>
      <c r="H394" s="548"/>
      <c r="I394" s="308">
        <v>3450</v>
      </c>
      <c r="J394" s="301">
        <f t="shared" si="57"/>
        <v>-0.29274292742927427</v>
      </c>
    </row>
    <row r="395" spans="2:10" ht="9" customHeight="1">
      <c r="B395" s="257">
        <v>36312</v>
      </c>
      <c r="C395" s="520">
        <f t="shared" si="59"/>
        <v>3171578</v>
      </c>
      <c r="D395" s="1152">
        <v>6.5175419183548591E-2</v>
      </c>
      <c r="E395" s="304">
        <f>C395/872</f>
        <v>3637.130733944954</v>
      </c>
      <c r="F395" s="424">
        <v>3.8301727415156292E-2</v>
      </c>
      <c r="G395" s="547">
        <f t="shared" si="58"/>
        <v>2365225</v>
      </c>
      <c r="H395" s="548"/>
      <c r="I395" s="310">
        <v>3939</v>
      </c>
      <c r="J395" s="301">
        <f t="shared" si="57"/>
        <v>0.14173913043478262</v>
      </c>
    </row>
    <row r="396" spans="2:10" ht="9" customHeight="1">
      <c r="B396" s="243">
        <v>36342</v>
      </c>
      <c r="C396" s="520">
        <f t="shared" si="59"/>
        <v>3252636</v>
      </c>
      <c r="D396" s="1151">
        <f t="shared" ref="D396:D419" si="60">(C396-C395)/C395</f>
        <v>2.5557624627236031E-2</v>
      </c>
      <c r="E396" s="304">
        <f>C396/894</f>
        <v>3638.2953020134228</v>
      </c>
      <c r="F396" s="297">
        <f t="shared" ref="F396:F421" si="61">(E396-E395)/E395</f>
        <v>3.20188674440524E-4</v>
      </c>
      <c r="G396" s="547">
        <f t="shared" si="58"/>
        <v>2461225</v>
      </c>
      <c r="H396" s="548"/>
      <c r="I396" s="308">
        <v>3019</v>
      </c>
      <c r="J396" s="301">
        <f t="shared" si="57"/>
        <v>-0.23356181772023357</v>
      </c>
    </row>
    <row r="397" spans="2:10" ht="9" customHeight="1">
      <c r="B397" s="243">
        <v>36373</v>
      </c>
      <c r="C397" s="520">
        <f t="shared" si="59"/>
        <v>3340414</v>
      </c>
      <c r="D397" s="1151">
        <f t="shared" si="60"/>
        <v>2.6986727073057052E-2</v>
      </c>
      <c r="E397" s="304">
        <f>C397/915</f>
        <v>3650.7256830601091</v>
      </c>
      <c r="F397" s="297">
        <f t="shared" si="61"/>
        <v>3.4165398943311084E-3</v>
      </c>
      <c r="G397" s="547">
        <f t="shared" si="58"/>
        <v>3503225</v>
      </c>
      <c r="H397" s="548"/>
      <c r="I397" s="308">
        <v>2903</v>
      </c>
      <c r="J397" s="301">
        <f t="shared" si="57"/>
        <v>-3.8423318979794632E-2</v>
      </c>
    </row>
    <row r="398" spans="2:10" ht="9" customHeight="1">
      <c r="B398" s="243">
        <v>36404</v>
      </c>
      <c r="C398" s="520">
        <f t="shared" si="59"/>
        <v>3406659</v>
      </c>
      <c r="D398" s="1151">
        <f t="shared" si="60"/>
        <v>1.9831374194935119E-2</v>
      </c>
      <c r="E398" s="304">
        <f>C398/937</f>
        <v>3635.708644610459</v>
      </c>
      <c r="F398" s="297">
        <f t="shared" si="61"/>
        <v>-4.1134392866961373E-3</v>
      </c>
      <c r="G398" s="547">
        <f t="shared" si="58"/>
        <v>3224225</v>
      </c>
      <c r="H398" s="548"/>
      <c r="I398" s="308">
        <v>1909</v>
      </c>
      <c r="J398" s="301">
        <f t="shared" si="57"/>
        <v>-0.34240440923182913</v>
      </c>
    </row>
    <row r="399" spans="2:10" ht="9" customHeight="1">
      <c r="B399" s="243">
        <v>36434</v>
      </c>
      <c r="C399" s="520">
        <f t="shared" si="59"/>
        <v>3474865</v>
      </c>
      <c r="D399" s="1151">
        <f t="shared" si="60"/>
        <v>2.0021375781961153E-2</v>
      </c>
      <c r="E399" s="304">
        <f>C399/958</f>
        <v>3627.2077244258871</v>
      </c>
      <c r="F399" s="297">
        <f t="shared" si="61"/>
        <v>-2.3381742090839929E-3</v>
      </c>
      <c r="G399" s="547">
        <f t="shared" si="58"/>
        <v>3926225</v>
      </c>
      <c r="H399" s="548"/>
      <c r="I399" s="308">
        <v>2219</v>
      </c>
      <c r="J399" s="301">
        <f t="shared" si="57"/>
        <v>0.16238868517548455</v>
      </c>
    </row>
    <row r="400" spans="2:10" ht="9" customHeight="1">
      <c r="B400" s="243">
        <v>36465</v>
      </c>
      <c r="C400" s="520">
        <f t="shared" si="59"/>
        <v>3524261</v>
      </c>
      <c r="D400" s="1151">
        <f t="shared" si="60"/>
        <v>1.4215228505280061E-2</v>
      </c>
      <c r="E400" s="304">
        <f>C400/978</f>
        <v>3603.5388548057258</v>
      </c>
      <c r="F400" s="297">
        <f t="shared" si="61"/>
        <v>-6.5253692146643267E-3</v>
      </c>
      <c r="G400" s="547">
        <f t="shared" si="58"/>
        <v>3614225</v>
      </c>
      <c r="H400" s="548"/>
      <c r="I400" s="308">
        <v>2141</v>
      </c>
      <c r="J400" s="301">
        <f t="shared" si="57"/>
        <v>-3.5150968904912122E-2</v>
      </c>
    </row>
    <row r="401" spans="2:10" ht="9" customHeight="1">
      <c r="B401" s="243">
        <v>36495</v>
      </c>
      <c r="C401" s="520">
        <f t="shared" si="59"/>
        <v>3564089</v>
      </c>
      <c r="D401" s="1151">
        <f t="shared" si="60"/>
        <v>1.1301092626227173E-2</v>
      </c>
      <c r="E401" s="304">
        <f>C401/1000</f>
        <v>3564.0889999999999</v>
      </c>
      <c r="F401" s="297">
        <f t="shared" si="61"/>
        <v>-1.0947531411549796E-2</v>
      </c>
      <c r="G401" s="547">
        <f t="shared" si="58"/>
        <v>3800225</v>
      </c>
      <c r="H401" s="548"/>
      <c r="I401" s="308">
        <v>2432</v>
      </c>
      <c r="J401" s="301">
        <f t="shared" si="57"/>
        <v>0.13591779542269966</v>
      </c>
    </row>
    <row r="402" spans="2:10" ht="9" customHeight="1">
      <c r="B402" s="243">
        <v>36526</v>
      </c>
      <c r="C402" s="520">
        <f t="shared" si="59"/>
        <v>3630882</v>
      </c>
      <c r="D402" s="1151">
        <f t="shared" si="60"/>
        <v>1.8740553336350468E-2</v>
      </c>
      <c r="E402" s="304">
        <f>C402/1019</f>
        <v>3563.1815505397449</v>
      </c>
      <c r="F402" s="297">
        <f t="shared" si="61"/>
        <v>-2.5460909092199041E-4</v>
      </c>
      <c r="G402" s="547">
        <f t="shared" si="58"/>
        <v>5038225</v>
      </c>
      <c r="H402" s="548"/>
      <c r="I402" s="308">
        <v>11277</v>
      </c>
      <c r="J402" s="301">
        <f t="shared" si="57"/>
        <v>3.6369243421052633</v>
      </c>
    </row>
    <row r="403" spans="2:10" ht="9" customHeight="1">
      <c r="B403" s="243">
        <v>36557</v>
      </c>
      <c r="C403" s="520">
        <f t="shared" si="59"/>
        <v>3691049</v>
      </c>
      <c r="D403" s="1151">
        <f t="shared" si="60"/>
        <v>1.6570904810456522E-2</v>
      </c>
      <c r="E403" s="304">
        <f>C403/1037</f>
        <v>3559.3529411764707</v>
      </c>
      <c r="F403" s="297">
        <f t="shared" si="61"/>
        <v>-1.0744918014896554E-3</v>
      </c>
      <c r="G403" s="547">
        <f t="shared" si="58"/>
        <v>2865225</v>
      </c>
      <c r="H403" s="548"/>
      <c r="I403" s="308">
        <v>10354</v>
      </c>
      <c r="J403" s="301">
        <f t="shared" si="57"/>
        <v>-8.1848009222310905E-2</v>
      </c>
    </row>
    <row r="404" spans="2:10" ht="9" customHeight="1">
      <c r="B404" s="243">
        <v>36586</v>
      </c>
      <c r="C404" s="520">
        <f t="shared" si="59"/>
        <v>3761140</v>
      </c>
      <c r="D404" s="1151">
        <f t="shared" si="60"/>
        <v>1.8989452591932538E-2</v>
      </c>
      <c r="E404" s="304">
        <f>C404/1059</f>
        <v>3551.5958451369215</v>
      </c>
      <c r="F404" s="297">
        <f t="shared" si="61"/>
        <v>-2.1793556772106023E-3</v>
      </c>
      <c r="G404" s="547">
        <f t="shared" si="58"/>
        <v>3819225</v>
      </c>
      <c r="H404" s="548"/>
      <c r="I404" s="308">
        <v>9635</v>
      </c>
      <c r="J404" s="301">
        <f t="shared" si="57"/>
        <v>-6.9441761638014299E-2</v>
      </c>
    </row>
    <row r="405" spans="2:10" ht="9" customHeight="1">
      <c r="B405" s="522">
        <v>36617</v>
      </c>
      <c r="C405" s="520">
        <f t="shared" si="59"/>
        <v>3817101</v>
      </c>
      <c r="D405" s="1153">
        <f t="shared" si="60"/>
        <v>1.4878733575458505E-2</v>
      </c>
      <c r="E405" s="426">
        <f>C405/1078</f>
        <v>3540.9100185528755</v>
      </c>
      <c r="F405" s="425">
        <f t="shared" si="61"/>
        <v>-3.0087394652963577E-3</v>
      </c>
      <c r="G405" s="547">
        <f t="shared" si="58"/>
        <v>2526225</v>
      </c>
      <c r="H405" s="550"/>
      <c r="I405" s="428">
        <v>9613</v>
      </c>
      <c r="J405" s="301">
        <f t="shared" si="57"/>
        <v>-2.2833419823559938E-3</v>
      </c>
    </row>
    <row r="406" spans="2:10" ht="9" customHeight="1">
      <c r="B406" s="243">
        <v>36647</v>
      </c>
      <c r="C406" s="520">
        <f t="shared" si="59"/>
        <v>3881242</v>
      </c>
      <c r="D406" s="1151">
        <f t="shared" si="60"/>
        <v>1.6803589949545481E-2</v>
      </c>
      <c r="E406" s="304">
        <f>C406/1099</f>
        <v>3531.6123748862601</v>
      </c>
      <c r="F406" s="297">
        <f t="shared" si="61"/>
        <v>-2.62577801127384E-3</v>
      </c>
      <c r="G406" s="547">
        <f t="shared" si="58"/>
        <v>3754225</v>
      </c>
      <c r="H406" s="548"/>
      <c r="I406" s="308">
        <v>10488</v>
      </c>
      <c r="J406" s="301">
        <f t="shared" si="57"/>
        <v>9.102257359825236E-2</v>
      </c>
    </row>
    <row r="407" spans="2:10" ht="9" customHeight="1">
      <c r="B407" s="243">
        <v>36678</v>
      </c>
      <c r="C407" s="520">
        <f t="shared" si="59"/>
        <v>3942646</v>
      </c>
      <c r="D407" s="1151">
        <f t="shared" si="60"/>
        <v>1.5820708938015203E-2</v>
      </c>
      <c r="E407" s="304">
        <f>C407/1120</f>
        <v>3520.2196428571428</v>
      </c>
      <c r="F407" s="297">
        <f t="shared" si="61"/>
        <v>-3.2259293545725517E-3</v>
      </c>
      <c r="G407" s="547">
        <f t="shared" si="58"/>
        <v>3943225</v>
      </c>
      <c r="H407" s="548"/>
      <c r="I407" s="308">
        <v>10524</v>
      </c>
      <c r="J407" s="301">
        <f t="shared" si="57"/>
        <v>3.4324942791762012E-3</v>
      </c>
    </row>
    <row r="408" spans="2:10" ht="9" customHeight="1">
      <c r="B408" s="243">
        <v>36708</v>
      </c>
      <c r="C408" s="520">
        <f t="shared" si="59"/>
        <v>4003975</v>
      </c>
      <c r="D408" s="1151">
        <f t="shared" si="60"/>
        <v>1.5555289518764809E-2</v>
      </c>
      <c r="E408" s="304">
        <f>C408/1141</f>
        <v>3509.1805433829973</v>
      </c>
      <c r="F408" s="297">
        <f t="shared" si="61"/>
        <v>-3.1359121288198478E-3</v>
      </c>
      <c r="G408" s="547">
        <f t="shared" si="58"/>
        <v>7047225</v>
      </c>
      <c r="H408" s="548"/>
      <c r="I408" s="308">
        <v>13528</v>
      </c>
      <c r="J408" s="301">
        <f t="shared" si="57"/>
        <v>0.28544279741543138</v>
      </c>
    </row>
    <row r="409" spans="2:10" ht="9" customHeight="1">
      <c r="B409" s="243">
        <v>36739</v>
      </c>
      <c r="C409" s="520">
        <f t="shared" si="59"/>
        <v>4055824</v>
      </c>
      <c r="D409" s="1151">
        <f t="shared" si="60"/>
        <v>1.2949381552082619E-2</v>
      </c>
      <c r="E409" s="304">
        <f>C409/1163</f>
        <v>3487.3809114359415</v>
      </c>
      <c r="F409" s="297">
        <f t="shared" si="61"/>
        <v>-6.212171667303281E-3</v>
      </c>
      <c r="G409" s="547">
        <f t="shared" si="58"/>
        <v>8438225</v>
      </c>
      <c r="H409" s="548"/>
      <c r="I409" s="308">
        <v>13789</v>
      </c>
      <c r="J409" s="301">
        <f t="shared" si="57"/>
        <v>1.929331756357185E-2</v>
      </c>
    </row>
    <row r="410" spans="2:10" ht="9" customHeight="1">
      <c r="B410" s="243">
        <v>36770</v>
      </c>
      <c r="C410" s="520">
        <f t="shared" si="59"/>
        <v>4112726</v>
      </c>
      <c r="D410" s="1151">
        <f t="shared" si="60"/>
        <v>1.4029701486060539E-2</v>
      </c>
      <c r="E410" s="304">
        <f>C410/1184</f>
        <v>3473.5861486486488</v>
      </c>
      <c r="F410" s="297">
        <f t="shared" si="61"/>
        <v>-3.9556226112428504E-3</v>
      </c>
      <c r="G410" s="547">
        <f t="shared" si="58"/>
        <v>4762225</v>
      </c>
      <c r="H410" s="548"/>
      <c r="I410" s="308">
        <v>12841</v>
      </c>
      <c r="J410" s="301">
        <f t="shared" si="57"/>
        <v>-6.8750453259844801E-2</v>
      </c>
    </row>
    <row r="411" spans="2:10" ht="9" customHeight="1">
      <c r="B411" s="243">
        <v>36800</v>
      </c>
      <c r="C411" s="520">
        <f t="shared" si="59"/>
        <v>4184390</v>
      </c>
      <c r="D411" s="1151">
        <f t="shared" si="60"/>
        <v>1.7424939079335702E-2</v>
      </c>
      <c r="E411" s="304">
        <f>C411/1205</f>
        <v>3472.5228215767634</v>
      </c>
      <c r="F411" s="297">
        <f t="shared" si="61"/>
        <v>-3.0611795026274773E-4</v>
      </c>
      <c r="G411" s="547">
        <f t="shared" si="58"/>
        <v>6303225</v>
      </c>
      <c r="H411" s="548"/>
      <c r="I411" s="308">
        <v>15505</v>
      </c>
      <c r="J411" s="301">
        <f t="shared" si="57"/>
        <v>0.20746047815590687</v>
      </c>
    </row>
    <row r="412" spans="2:10" ht="9" customHeight="1">
      <c r="B412" s="243">
        <v>36831</v>
      </c>
      <c r="C412" s="520">
        <f t="shared" si="59"/>
        <v>4241548</v>
      </c>
      <c r="D412" s="1151">
        <f t="shared" si="60"/>
        <v>1.3659816604092831E-2</v>
      </c>
      <c r="E412" s="304">
        <f>C412/1227</f>
        <v>3456.8443357783212</v>
      </c>
      <c r="F412" s="297">
        <f t="shared" si="61"/>
        <v>-4.5150130334702934E-3</v>
      </c>
      <c r="G412" s="547">
        <f t="shared" si="58"/>
        <v>3420225</v>
      </c>
      <c r="H412" s="548"/>
      <c r="I412" s="308">
        <v>17741</v>
      </c>
      <c r="J412" s="301">
        <f t="shared" si="57"/>
        <v>0.14421154466301192</v>
      </c>
    </row>
    <row r="413" spans="2:10" ht="9" customHeight="1">
      <c r="B413" s="243">
        <v>36861</v>
      </c>
      <c r="C413" s="520">
        <f t="shared" si="59"/>
        <v>4284814</v>
      </c>
      <c r="D413" s="1151">
        <f t="shared" si="60"/>
        <v>1.0200521130492924E-2</v>
      </c>
      <c r="E413" s="304">
        <f>C413/1244</f>
        <v>3444.3842443729905</v>
      </c>
      <c r="F413" s="297">
        <f t="shared" si="61"/>
        <v>-3.6044699138948503E-3</v>
      </c>
      <c r="G413" s="547">
        <f t="shared" si="58"/>
        <v>1909225</v>
      </c>
      <c r="H413" s="548"/>
      <c r="I413" s="308">
        <v>17006</v>
      </c>
      <c r="J413" s="301">
        <f t="shared" si="57"/>
        <v>-4.1429457189560905E-2</v>
      </c>
    </row>
    <row r="414" spans="2:10" ht="9" customHeight="1">
      <c r="B414" s="243">
        <v>36892</v>
      </c>
      <c r="C414" s="520">
        <f t="shared" si="59"/>
        <v>4343682</v>
      </c>
      <c r="D414" s="1151">
        <f t="shared" si="60"/>
        <v>1.3738752720654852E-2</v>
      </c>
      <c r="E414" s="304">
        <f>C414/1263</f>
        <v>3439.1781472684083</v>
      </c>
      <c r="F414" s="297">
        <f t="shared" si="61"/>
        <v>-1.511473963187235E-3</v>
      </c>
      <c r="G414" s="661">
        <f t="shared" ref="G414:G427" si="62">G627+G711+G915+G1109</f>
        <v>8398178.5199999996</v>
      </c>
      <c r="H414" s="548"/>
      <c r="I414" s="308">
        <v>19217</v>
      </c>
      <c r="J414" s="301">
        <f t="shared" si="57"/>
        <v>0.13001293661060803</v>
      </c>
    </row>
    <row r="415" spans="2:10" ht="9" customHeight="1">
      <c r="B415" s="243">
        <v>36924</v>
      </c>
      <c r="C415" s="520">
        <f t="shared" si="59"/>
        <v>4409370</v>
      </c>
      <c r="D415" s="1151">
        <f t="shared" si="60"/>
        <v>1.5122654006439699E-2</v>
      </c>
      <c r="E415" s="304">
        <f>C415/1282</f>
        <v>3439.4461778471141</v>
      </c>
      <c r="F415" s="297">
        <f t="shared" si="61"/>
        <v>7.7934485283535825E-5</v>
      </c>
      <c r="G415" s="661">
        <f t="shared" si="62"/>
        <v>8868109.9499999993</v>
      </c>
      <c r="H415" s="548"/>
      <c r="I415" s="308">
        <v>20158</v>
      </c>
      <c r="J415" s="301">
        <f t="shared" si="57"/>
        <v>4.8967060415257321E-2</v>
      </c>
    </row>
    <row r="416" spans="2:10" ht="9" customHeight="1">
      <c r="B416" s="243">
        <v>36952</v>
      </c>
      <c r="C416" s="520">
        <f t="shared" si="59"/>
        <v>4478855</v>
      </c>
      <c r="D416" s="1151">
        <f t="shared" si="60"/>
        <v>1.57584870400987E-2</v>
      </c>
      <c r="E416" s="304">
        <f>C416/1302</f>
        <v>3439.9807987711215</v>
      </c>
      <c r="F416" s="297">
        <f t="shared" si="61"/>
        <v>1.5543808402957874E-4</v>
      </c>
      <c r="G416" s="661">
        <f t="shared" si="62"/>
        <v>6717462.21</v>
      </c>
      <c r="H416" s="548"/>
      <c r="I416" s="308">
        <v>22161</v>
      </c>
      <c r="J416" s="301">
        <f t="shared" si="57"/>
        <v>9.9365016370671688E-2</v>
      </c>
    </row>
    <row r="417" spans="2:10" ht="9" customHeight="1">
      <c r="B417" s="243">
        <v>36982</v>
      </c>
      <c r="C417" s="520">
        <f t="shared" si="59"/>
        <v>4553768</v>
      </c>
      <c r="D417" s="1151">
        <f t="shared" si="60"/>
        <v>1.6725926604009282E-2</v>
      </c>
      <c r="E417" s="304">
        <f>C417/1323</f>
        <v>3442.0015117157973</v>
      </c>
      <c r="F417" s="297">
        <f t="shared" si="61"/>
        <v>5.8741983251698574E-4</v>
      </c>
      <c r="G417" s="661">
        <f t="shared" si="62"/>
        <v>7714342.6200000001</v>
      </c>
      <c r="H417" s="548"/>
      <c r="I417" s="308">
        <v>19273</v>
      </c>
      <c r="J417" s="301">
        <f t="shared" si="57"/>
        <v>-0.13031902892468752</v>
      </c>
    </row>
    <row r="418" spans="2:10" ht="9" customHeight="1">
      <c r="B418" s="243">
        <v>37012</v>
      </c>
      <c r="C418" s="520">
        <f t="shared" ref="C418:C448" si="63">C417+C318</f>
        <v>4608298</v>
      </c>
      <c r="D418" s="1151">
        <f t="shared" si="60"/>
        <v>1.1974698754965119E-2</v>
      </c>
      <c r="E418" s="304">
        <f>C418/1344</f>
        <v>3428.7931547619046</v>
      </c>
      <c r="F418" s="297">
        <f t="shared" si="61"/>
        <v>-3.8374059130812173E-3</v>
      </c>
      <c r="G418" s="661">
        <f t="shared" si="62"/>
        <v>5535649.2800000003</v>
      </c>
      <c r="H418" s="548"/>
      <c r="I418" s="308">
        <v>19245</v>
      </c>
      <c r="J418" s="301">
        <f t="shared" ref="J418:J423" si="64">(I418-I417)/I417</f>
        <v>-1.452809630052405E-3</v>
      </c>
    </row>
    <row r="419" spans="2:10" ht="9" customHeight="1">
      <c r="B419" s="243">
        <v>37043</v>
      </c>
      <c r="C419" s="520">
        <f t="shared" si="63"/>
        <v>4659620</v>
      </c>
      <c r="D419" s="1151">
        <f t="shared" si="60"/>
        <v>1.1136866582846856E-2</v>
      </c>
      <c r="E419" s="304">
        <f>C419/1364</f>
        <v>3416.1436950146626</v>
      </c>
      <c r="F419" s="297">
        <f t="shared" si="61"/>
        <v>-3.6891871793649626E-3</v>
      </c>
      <c r="G419" s="661">
        <f t="shared" si="62"/>
        <v>7988052.21</v>
      </c>
      <c r="H419" s="548"/>
      <c r="I419" s="308">
        <v>22339</v>
      </c>
      <c r="J419" s="301">
        <f t="shared" si="64"/>
        <v>0.16076903091712133</v>
      </c>
    </row>
    <row r="420" spans="2:10" ht="9" customHeight="1">
      <c r="B420" s="582">
        <v>37073</v>
      </c>
      <c r="C420" s="520">
        <f t="shared" si="63"/>
        <v>4748664</v>
      </c>
      <c r="D420" s="1154">
        <f t="shared" ref="D420:D425" si="65">(C420-C419)/C419</f>
        <v>1.9109712809199035E-2</v>
      </c>
      <c r="E420" s="573">
        <f>C420/1386</f>
        <v>3426.1645021645022</v>
      </c>
      <c r="F420" s="424">
        <f t="shared" si="61"/>
        <v>2.9333681614340211E-3</v>
      </c>
      <c r="G420" s="661">
        <f t="shared" si="62"/>
        <v>7792307.2199999997</v>
      </c>
      <c r="H420" s="575"/>
      <c r="I420" s="576">
        <v>24981</v>
      </c>
      <c r="J420" s="577">
        <f t="shared" si="64"/>
        <v>0.11826849903755764</v>
      </c>
    </row>
    <row r="421" spans="2:10" ht="9" customHeight="1">
      <c r="B421" s="257">
        <v>37104</v>
      </c>
      <c r="C421" s="520">
        <f t="shared" si="63"/>
        <v>4829521</v>
      </c>
      <c r="D421" s="1152">
        <f t="shared" si="65"/>
        <v>1.7027315472309686E-2</v>
      </c>
      <c r="E421" s="540">
        <f>C421/1408</f>
        <v>3430.057528409091</v>
      </c>
      <c r="F421" s="424">
        <f t="shared" si="61"/>
        <v>1.1362636680548575E-3</v>
      </c>
      <c r="G421" s="661">
        <f t="shared" si="62"/>
        <v>6704545.3600000003</v>
      </c>
      <c r="H421" s="549"/>
      <c r="I421" s="310">
        <v>26744</v>
      </c>
      <c r="J421" s="577">
        <f t="shared" si="64"/>
        <v>7.0573635963332132E-2</v>
      </c>
    </row>
    <row r="422" spans="2:10" ht="9" customHeight="1">
      <c r="B422" s="257">
        <v>37135</v>
      </c>
      <c r="C422" s="520">
        <f t="shared" si="63"/>
        <v>4903298</v>
      </c>
      <c r="D422" s="1152">
        <f t="shared" si="65"/>
        <v>1.5276256175301857E-2</v>
      </c>
      <c r="E422" s="540">
        <f>C422/1427</f>
        <v>3436.0882971268397</v>
      </c>
      <c r="F422" s="424">
        <f t="shared" ref="F422:F427" si="66">(E422-E421)/E421</f>
        <v>1.7582121197092277E-3</v>
      </c>
      <c r="G422" s="661">
        <f t="shared" si="62"/>
        <v>6504712.25</v>
      </c>
      <c r="H422" s="549"/>
      <c r="I422" s="310">
        <v>27393</v>
      </c>
      <c r="J422" s="577">
        <f t="shared" si="64"/>
        <v>2.426712533652408E-2</v>
      </c>
    </row>
    <row r="423" spans="2:10" ht="9" customHeight="1">
      <c r="B423" s="257">
        <v>37165</v>
      </c>
      <c r="C423" s="520">
        <f t="shared" si="63"/>
        <v>4983820</v>
      </c>
      <c r="D423" s="1152">
        <f t="shared" si="65"/>
        <v>1.6422008207537048E-2</v>
      </c>
      <c r="E423" s="540">
        <f>C423/1450</f>
        <v>3437.1172413793101</v>
      </c>
      <c r="F423" s="424">
        <f t="shared" si="66"/>
        <v>2.994522152794456E-4</v>
      </c>
      <c r="G423" s="661">
        <f t="shared" si="62"/>
        <v>9546335.5999999996</v>
      </c>
      <c r="H423" s="549"/>
      <c r="I423" s="310">
        <v>27089</v>
      </c>
      <c r="J423" s="577">
        <f t="shared" si="64"/>
        <v>-1.1097725696345782E-2</v>
      </c>
    </row>
    <row r="424" spans="2:10" ht="9" customHeight="1">
      <c r="B424" s="243">
        <v>37196</v>
      </c>
      <c r="C424" s="245">
        <f t="shared" si="63"/>
        <v>5064342</v>
      </c>
      <c r="D424" s="1151">
        <f t="shared" si="65"/>
        <v>1.615668302627302E-2</v>
      </c>
      <c r="E424" s="304">
        <f>C424/1470</f>
        <v>3445.1306122448977</v>
      </c>
      <c r="F424" s="297">
        <f t="shared" si="66"/>
        <v>2.3314220327182813E-3</v>
      </c>
      <c r="G424" s="661">
        <f t="shared" si="62"/>
        <v>5640363.9800000004</v>
      </c>
      <c r="H424" s="548"/>
      <c r="I424" s="308">
        <v>27135</v>
      </c>
      <c r="J424" s="301">
        <f t="shared" ref="J424:J429" si="67">(I424-I423)/I423</f>
        <v>1.6981062423862083E-3</v>
      </c>
    </row>
    <row r="425" spans="2:10" ht="9" customHeight="1">
      <c r="B425" s="257">
        <v>37226</v>
      </c>
      <c r="C425" s="520">
        <f t="shared" si="63"/>
        <v>5107619</v>
      </c>
      <c r="D425" s="1152">
        <f t="shared" si="65"/>
        <v>8.5454339379133562E-3</v>
      </c>
      <c r="E425" s="540">
        <f>C425/1487</f>
        <v>3434.8480161398788</v>
      </c>
      <c r="F425" s="424">
        <f t="shared" si="66"/>
        <v>-2.984675259762828E-3</v>
      </c>
      <c r="G425" s="677">
        <f t="shared" si="62"/>
        <v>3720511.55</v>
      </c>
      <c r="H425" s="549"/>
      <c r="I425" s="310">
        <v>23488</v>
      </c>
      <c r="J425" s="577">
        <f t="shared" si="67"/>
        <v>-0.13440206375529759</v>
      </c>
    </row>
    <row r="426" spans="2:10" ht="9" customHeight="1">
      <c r="B426" s="257">
        <v>37257</v>
      </c>
      <c r="C426" s="520">
        <f t="shared" si="63"/>
        <v>5203055</v>
      </c>
      <c r="D426" s="1152">
        <f t="shared" ref="D426:D431" si="68">(C426-C425)/C425</f>
        <v>1.8685027211309223E-2</v>
      </c>
      <c r="E426" s="540">
        <f>C426/1509</f>
        <v>3448.0152418820412</v>
      </c>
      <c r="F426" s="424">
        <f t="shared" si="66"/>
        <v>3.8334231035234713E-3</v>
      </c>
      <c r="G426" s="683">
        <f t="shared" si="62"/>
        <v>10925486.710999999</v>
      </c>
      <c r="H426" s="549"/>
      <c r="I426" s="310">
        <v>25125</v>
      </c>
      <c r="J426" s="577">
        <f t="shared" si="67"/>
        <v>6.9695163487738424E-2</v>
      </c>
    </row>
    <row r="427" spans="2:10" ht="9" customHeight="1">
      <c r="B427" s="257">
        <v>37288</v>
      </c>
      <c r="C427" s="520">
        <f t="shared" si="63"/>
        <v>5261538</v>
      </c>
      <c r="D427" s="1152">
        <f t="shared" si="68"/>
        <v>1.1240127194503999E-2</v>
      </c>
      <c r="E427" s="540">
        <f>C427/1525</f>
        <v>3450.1888524590163</v>
      </c>
      <c r="F427" s="424">
        <f t="shared" si="66"/>
        <v>6.3039471246323451E-4</v>
      </c>
      <c r="G427" s="867">
        <f t="shared" si="62"/>
        <v>4936848.67</v>
      </c>
      <c r="H427" s="549"/>
      <c r="I427" s="310">
        <v>24392</v>
      </c>
      <c r="J427" s="577">
        <f t="shared" si="67"/>
        <v>-2.9174129353233831E-2</v>
      </c>
    </row>
    <row r="428" spans="2:10" ht="9" customHeight="1">
      <c r="B428" s="257">
        <v>37316</v>
      </c>
      <c r="C428" s="520">
        <f t="shared" si="63"/>
        <v>5331355</v>
      </c>
      <c r="D428" s="1152">
        <f t="shared" si="68"/>
        <v>1.3269314029471992E-2</v>
      </c>
      <c r="E428" s="540">
        <f>C428/1545</f>
        <v>3450.715210355987</v>
      </c>
      <c r="F428" s="424">
        <f t="shared" ref="F428:F433" si="69">(E428-E427)/E427</f>
        <v>1.5255915530407811E-4</v>
      </c>
      <c r="G428" s="867">
        <f t="shared" ref="G428:G445" si="70">G641+G725+G929+G1123+G1177</f>
        <v>7222086.5</v>
      </c>
      <c r="H428" s="549"/>
      <c r="I428" s="310">
        <v>26219</v>
      </c>
      <c r="J428" s="577">
        <f t="shared" si="67"/>
        <v>7.4901607084289931E-2</v>
      </c>
    </row>
    <row r="429" spans="2:10" ht="9" customHeight="1">
      <c r="B429" s="257">
        <v>37347</v>
      </c>
      <c r="C429" s="520">
        <f t="shared" si="63"/>
        <v>5412048</v>
      </c>
      <c r="D429" s="1152">
        <f t="shared" si="68"/>
        <v>1.5135551843762045E-2</v>
      </c>
      <c r="E429" s="540">
        <f>C429/1566</f>
        <v>3455.969348659004</v>
      </c>
      <c r="F429" s="424">
        <f t="shared" si="69"/>
        <v>1.5226229876197201E-3</v>
      </c>
      <c r="G429" s="867">
        <f t="shared" si="70"/>
        <v>11120051.16</v>
      </c>
      <c r="H429" s="549"/>
      <c r="I429" s="310">
        <v>31602</v>
      </c>
      <c r="J429" s="577">
        <f t="shared" si="67"/>
        <v>0.20530912696899195</v>
      </c>
    </row>
    <row r="430" spans="2:10" ht="9" customHeight="1">
      <c r="B430" s="257">
        <v>37377</v>
      </c>
      <c r="C430" s="520">
        <f t="shared" si="63"/>
        <v>5509146</v>
      </c>
      <c r="D430" s="1152">
        <f t="shared" si="68"/>
        <v>1.7941082562460645E-2</v>
      </c>
      <c r="E430" s="540">
        <f>C430/1587</f>
        <v>3471.4215500945179</v>
      </c>
      <c r="F430" s="424">
        <f t="shared" si="69"/>
        <v>4.4711627553958725E-3</v>
      </c>
      <c r="G430" s="867">
        <f t="shared" si="70"/>
        <v>10038618.719999999</v>
      </c>
      <c r="H430" s="549"/>
      <c r="I430" s="310">
        <v>34658</v>
      </c>
      <c r="J430" s="577">
        <f t="shared" ref="J430:J435" si="71">(I430-I429)/I429</f>
        <v>9.6702740332890322E-2</v>
      </c>
    </row>
    <row r="431" spans="2:10" ht="9" customHeight="1">
      <c r="B431" s="257">
        <v>37408</v>
      </c>
      <c r="C431" s="520">
        <f t="shared" si="63"/>
        <v>5632586</v>
      </c>
      <c r="D431" s="1152">
        <f t="shared" si="68"/>
        <v>2.2406376596300043E-2</v>
      </c>
      <c r="E431" s="540">
        <f>C431/1607</f>
        <v>3505.0317361543248</v>
      </c>
      <c r="F431" s="424">
        <f t="shared" si="69"/>
        <v>9.68196618439837E-3</v>
      </c>
      <c r="G431" s="867">
        <f t="shared" si="70"/>
        <v>8243648.5353699997</v>
      </c>
      <c r="H431" s="549"/>
      <c r="I431" s="310">
        <v>36580</v>
      </c>
      <c r="J431" s="577">
        <f t="shared" si="71"/>
        <v>5.5456171735241505E-2</v>
      </c>
    </row>
    <row r="432" spans="2:10" ht="9" customHeight="1">
      <c r="B432" s="257">
        <v>37438</v>
      </c>
      <c r="C432" s="520">
        <f t="shared" si="63"/>
        <v>5773730</v>
      </c>
      <c r="D432" s="1152">
        <f t="shared" ref="D432:D437" si="72">(C432-C431)/C431</f>
        <v>2.5058472254129809E-2</v>
      </c>
      <c r="E432" s="540">
        <f>C432/1630</f>
        <v>3542.1656441717791</v>
      </c>
      <c r="F432" s="424">
        <f t="shared" si="69"/>
        <v>1.0594457001464186E-2</v>
      </c>
      <c r="G432" s="867">
        <f t="shared" si="70"/>
        <v>10175289.32117</v>
      </c>
      <c r="H432" s="549"/>
      <c r="I432" s="310">
        <v>35077</v>
      </c>
      <c r="J432" s="577">
        <f t="shared" si="71"/>
        <v>-4.10880262438491E-2</v>
      </c>
    </row>
    <row r="433" spans="2:10" ht="9" customHeight="1">
      <c r="B433" s="257">
        <v>37469</v>
      </c>
      <c r="C433" s="520">
        <f t="shared" si="63"/>
        <v>5883750</v>
      </c>
      <c r="D433" s="1152">
        <f t="shared" si="72"/>
        <v>1.9055272761282566E-2</v>
      </c>
      <c r="E433" s="540">
        <f>C433/1652</f>
        <v>3561.5920096852301</v>
      </c>
      <c r="F433" s="424">
        <f t="shared" si="69"/>
        <v>5.4843187656722853E-3</v>
      </c>
      <c r="G433" s="867">
        <f t="shared" si="70"/>
        <v>6273530.1264300002</v>
      </c>
      <c r="H433" s="549"/>
      <c r="I433" s="310">
        <v>41808</v>
      </c>
      <c r="J433" s="577">
        <f t="shared" si="71"/>
        <v>0.19189212304358982</v>
      </c>
    </row>
    <row r="434" spans="2:10" ht="9" customHeight="1">
      <c r="B434" s="257">
        <v>37500</v>
      </c>
      <c r="C434" s="520">
        <f t="shared" si="63"/>
        <v>6005904</v>
      </c>
      <c r="D434" s="1152">
        <f t="shared" si="72"/>
        <v>2.0761249203314212E-2</v>
      </c>
      <c r="E434" s="540">
        <f>C434/1673</f>
        <v>3589.9007770472203</v>
      </c>
      <c r="F434" s="424">
        <f t="shared" ref="F434:F439" si="73">(E434-E433)/E433</f>
        <v>7.9483464936490993E-3</v>
      </c>
      <c r="G434" s="867">
        <f t="shared" si="70"/>
        <v>6716932.7644100003</v>
      </c>
      <c r="H434" s="549"/>
      <c r="I434" s="310">
        <v>43565</v>
      </c>
      <c r="J434" s="577">
        <f t="shared" si="71"/>
        <v>4.2025449674703404E-2</v>
      </c>
    </row>
    <row r="435" spans="2:10" ht="9" customHeight="1">
      <c r="B435" s="257">
        <v>37530</v>
      </c>
      <c r="C435" s="520">
        <f t="shared" si="63"/>
        <v>6159549</v>
      </c>
      <c r="D435" s="1152">
        <f t="shared" si="72"/>
        <v>2.5582326990241603E-2</v>
      </c>
      <c r="E435" s="540">
        <f>C435/1696</f>
        <v>3631.8095518867926</v>
      </c>
      <c r="F435" s="424">
        <f t="shared" si="73"/>
        <v>1.1674076093558012E-2</v>
      </c>
      <c r="G435" s="867">
        <f t="shared" si="70"/>
        <v>14880267.941819999</v>
      </c>
      <c r="H435" s="549"/>
      <c r="I435" s="310">
        <v>48117</v>
      </c>
      <c r="J435" s="577">
        <f t="shared" si="71"/>
        <v>0.10448754734305062</v>
      </c>
    </row>
    <row r="436" spans="2:10" ht="9" customHeight="1">
      <c r="B436" s="257">
        <v>37561</v>
      </c>
      <c r="C436" s="520">
        <f t="shared" si="63"/>
        <v>6283155</v>
      </c>
      <c r="D436" s="1152">
        <f t="shared" si="72"/>
        <v>2.0067378309678193E-2</v>
      </c>
      <c r="E436" s="540">
        <f>C436/1716</f>
        <v>3661.5122377622379</v>
      </c>
      <c r="F436" s="424">
        <f t="shared" si="73"/>
        <v>8.1784811265816909E-3</v>
      </c>
      <c r="G436" s="867">
        <f t="shared" si="70"/>
        <v>8038185.9582700003</v>
      </c>
      <c r="H436" s="549"/>
      <c r="I436" s="310">
        <v>55834</v>
      </c>
      <c r="J436" s="577">
        <f t="shared" ref="J436:J441" si="74">(I436-I435)/I435</f>
        <v>0.16037990730926699</v>
      </c>
    </row>
    <row r="437" spans="2:10" ht="9" customHeight="1">
      <c r="B437" s="257">
        <v>37591</v>
      </c>
      <c r="C437" s="520">
        <f t="shared" si="63"/>
        <v>6395282</v>
      </c>
      <c r="D437" s="1152">
        <f t="shared" si="72"/>
        <v>1.7845652383237404E-2</v>
      </c>
      <c r="E437" s="540">
        <f>C437/1735</f>
        <v>3686.0414985590778</v>
      </c>
      <c r="F437" s="424">
        <f t="shared" si="73"/>
        <v>6.6992158441702187E-3</v>
      </c>
      <c r="G437" s="867">
        <f t="shared" si="70"/>
        <v>3928596.7185300002</v>
      </c>
      <c r="H437" s="549"/>
      <c r="I437" s="310">
        <v>44739</v>
      </c>
      <c r="J437" s="577">
        <f t="shared" si="74"/>
        <v>-0.19871404520543037</v>
      </c>
    </row>
    <row r="438" spans="2:10" ht="9" customHeight="1">
      <c r="B438" s="257">
        <v>37622</v>
      </c>
      <c r="C438" s="520">
        <f t="shared" si="63"/>
        <v>6548483</v>
      </c>
      <c r="D438" s="1152">
        <f t="shared" ref="D438:D443" si="75">(C438-C437)/C437</f>
        <v>2.3955315809373223E-2</v>
      </c>
      <c r="E438" s="540">
        <f>C438/1756</f>
        <v>3729.2044419134395</v>
      </c>
      <c r="F438" s="424">
        <f t="shared" si="73"/>
        <v>1.1709836520081136E-2</v>
      </c>
      <c r="G438" s="867">
        <f t="shared" si="70"/>
        <v>11856005.398049999</v>
      </c>
      <c r="H438" s="549"/>
      <c r="I438" s="310">
        <v>52724</v>
      </c>
      <c r="J438" s="577">
        <f t="shared" si="74"/>
        <v>0.17847962627685018</v>
      </c>
    </row>
    <row r="439" spans="2:10" ht="9" customHeight="1">
      <c r="B439" s="257">
        <v>37653</v>
      </c>
      <c r="C439" s="520">
        <f t="shared" si="63"/>
        <v>6646743</v>
      </c>
      <c r="D439" s="1152">
        <f t="shared" si="75"/>
        <v>1.5005001921819146E-2</v>
      </c>
      <c r="E439" s="540">
        <f>C439/1773</f>
        <v>3748.8680203045687</v>
      </c>
      <c r="F439" s="424">
        <f t="shared" si="73"/>
        <v>5.272861463460005E-3</v>
      </c>
      <c r="G439" s="867">
        <f t="shared" si="70"/>
        <v>8751998.0628200006</v>
      </c>
      <c r="H439" s="549"/>
      <c r="I439" s="310">
        <v>56453</v>
      </c>
      <c r="J439" s="577">
        <f t="shared" si="74"/>
        <v>7.0726803732645477E-2</v>
      </c>
    </row>
    <row r="440" spans="2:10" ht="9" customHeight="1">
      <c r="B440" s="257">
        <v>37681</v>
      </c>
      <c r="C440" s="520">
        <f t="shared" si="63"/>
        <v>6829477</v>
      </c>
      <c r="D440" s="1152">
        <f t="shared" si="75"/>
        <v>2.7492261999598901E-2</v>
      </c>
      <c r="E440" s="540">
        <f>C440/1793</f>
        <v>3808.9665365309538</v>
      </c>
      <c r="F440" s="424">
        <f t="shared" ref="F440:F446" si="76">(E440-E439)/E439</f>
        <v>1.6031110164689794E-2</v>
      </c>
      <c r="G440" s="867">
        <f t="shared" si="70"/>
        <v>21279663.732009999</v>
      </c>
      <c r="H440" s="549"/>
      <c r="I440" s="310">
        <v>54633</v>
      </c>
      <c r="J440" s="577">
        <f t="shared" si="74"/>
        <v>-3.2239207836607442E-2</v>
      </c>
    </row>
    <row r="441" spans="2:10" ht="9" customHeight="1">
      <c r="B441" s="257">
        <v>37712</v>
      </c>
      <c r="C441" s="520">
        <f t="shared" si="63"/>
        <v>7003014</v>
      </c>
      <c r="D441" s="1152">
        <f t="shared" si="75"/>
        <v>2.54099984522973E-2</v>
      </c>
      <c r="E441" s="540">
        <f>C441/1815</f>
        <v>3858.4099173553718</v>
      </c>
      <c r="F441" s="424">
        <f t="shared" si="76"/>
        <v>1.2980786349845159E-2</v>
      </c>
      <c r="G441" s="867">
        <f t="shared" si="70"/>
        <v>14772210.49767</v>
      </c>
      <c r="H441" s="549"/>
      <c r="I441" s="310">
        <v>65825</v>
      </c>
      <c r="J441" s="577">
        <f t="shared" si="74"/>
        <v>0.20485786978566067</v>
      </c>
    </row>
    <row r="442" spans="2:10" ht="9" customHeight="1">
      <c r="B442" s="257">
        <v>37742</v>
      </c>
      <c r="C442" s="520">
        <f t="shared" si="63"/>
        <v>7140128</v>
      </c>
      <c r="D442" s="1152">
        <f t="shared" si="75"/>
        <v>1.9579284005429663E-2</v>
      </c>
      <c r="E442" s="540">
        <f>C442/1834</f>
        <v>3893.1995637949835</v>
      </c>
      <c r="F442" s="424">
        <f t="shared" si="76"/>
        <v>9.0165760468128818E-3</v>
      </c>
      <c r="G442" s="867">
        <f t="shared" si="70"/>
        <v>6909676.2140500005</v>
      </c>
      <c r="H442" s="549"/>
      <c r="I442" s="310">
        <v>68238</v>
      </c>
      <c r="J442" s="577">
        <f t="shared" ref="J442:J448" si="77">(I442-I441)/I441</f>
        <v>3.6657804785415873E-2</v>
      </c>
    </row>
    <row r="443" spans="2:10" ht="9" customHeight="1">
      <c r="B443" s="257">
        <v>37773</v>
      </c>
      <c r="C443" s="520">
        <f t="shared" si="63"/>
        <v>7298492</v>
      </c>
      <c r="D443" s="1152">
        <f t="shared" si="75"/>
        <v>2.2179434318264322E-2</v>
      </c>
      <c r="E443" s="540">
        <f>C443/1855</f>
        <v>3934.4970350404315</v>
      </c>
      <c r="F443" s="424">
        <f t="shared" si="76"/>
        <v>1.0607591665604803E-2</v>
      </c>
      <c r="G443" s="867">
        <f t="shared" si="70"/>
        <v>9724275.4818200003</v>
      </c>
      <c r="H443" s="549"/>
      <c r="I443" s="310">
        <v>49391</v>
      </c>
      <c r="J443" s="577">
        <f t="shared" si="77"/>
        <v>-0.27619508191916525</v>
      </c>
    </row>
    <row r="444" spans="2:10" ht="9" customHeight="1">
      <c r="B444" s="257">
        <v>37803</v>
      </c>
      <c r="C444" s="520">
        <f t="shared" si="63"/>
        <v>7486291</v>
      </c>
      <c r="D444" s="1152">
        <f>(C444-C443)/C443</f>
        <v>2.5731205843618106E-2</v>
      </c>
      <c r="E444" s="540">
        <f>C444/1878</f>
        <v>3986.3104366347179</v>
      </c>
      <c r="F444" s="424">
        <f t="shared" si="76"/>
        <v>1.3169002577162704E-2</v>
      </c>
      <c r="G444" s="867">
        <f t="shared" si="70"/>
        <v>29262281.145119999</v>
      </c>
      <c r="H444" s="549"/>
      <c r="I444" s="310">
        <v>58951</v>
      </c>
      <c r="J444" s="577">
        <f t="shared" si="77"/>
        <v>0.19355753072422102</v>
      </c>
    </row>
    <row r="445" spans="2:10" ht="9" customHeight="1">
      <c r="B445" s="257">
        <v>37834</v>
      </c>
      <c r="C445" s="520">
        <f t="shared" si="63"/>
        <v>7642039</v>
      </c>
      <c r="D445" s="1152">
        <f>(C445-C444)/C444</f>
        <v>2.0804427719948369E-2</v>
      </c>
      <c r="E445" s="540">
        <f>C445/1899</f>
        <v>4024.2438125329122</v>
      </c>
      <c r="F445" s="424">
        <f t="shared" si="76"/>
        <v>9.5159111416867025E-3</v>
      </c>
      <c r="G445" s="867">
        <f t="shared" si="70"/>
        <v>14206675.547420001</v>
      </c>
      <c r="H445" s="549"/>
      <c r="I445" s="310">
        <v>57739</v>
      </c>
      <c r="J445" s="577">
        <f t="shared" si="77"/>
        <v>-2.0559447676884193E-2</v>
      </c>
    </row>
    <row r="446" spans="2:10" ht="9" customHeight="1">
      <c r="B446" s="257">
        <v>37865</v>
      </c>
      <c r="C446" s="520">
        <f t="shared" si="63"/>
        <v>7819533</v>
      </c>
      <c r="D446" s="1152">
        <f>(C446-C445)/C445</f>
        <v>2.3226000286049313E-2</v>
      </c>
      <c r="E446" s="540">
        <f>C446/1920</f>
        <v>4072.6734375000001</v>
      </c>
      <c r="F446" s="424">
        <f t="shared" si="76"/>
        <v>1.203446590792063E-2</v>
      </c>
      <c r="G446" s="867">
        <f>G659+G743+G947+G1145+G1199</f>
        <v>3331573.04165</v>
      </c>
      <c r="H446" s="549"/>
      <c r="I446" s="310">
        <v>52265</v>
      </c>
      <c r="J446" s="577">
        <f t="shared" si="77"/>
        <v>-9.4805937061604811E-2</v>
      </c>
    </row>
    <row r="447" spans="2:10" ht="9" customHeight="1">
      <c r="B447" s="243">
        <v>37895</v>
      </c>
      <c r="C447" s="245">
        <f t="shared" si="63"/>
        <v>8066087</v>
      </c>
      <c r="D447" s="1151">
        <f>(C447-C446)/C446</f>
        <v>3.1530527462445647E-2</v>
      </c>
      <c r="E447" s="304">
        <f>C447/1942</f>
        <v>4153.4948506694127</v>
      </c>
      <c r="F447" s="297">
        <f>(E447-E446)/E446</f>
        <v>1.9844805730121248E-2</v>
      </c>
      <c r="G447" s="661">
        <f>G660+G744+G948+G1146+G1200</f>
        <v>4435150.8302999996</v>
      </c>
      <c r="H447" s="548"/>
      <c r="I447" s="308">
        <v>53834</v>
      </c>
      <c r="J447" s="301">
        <f t="shared" si="77"/>
        <v>3.0020089926336938E-2</v>
      </c>
    </row>
    <row r="448" spans="2:10" ht="9" customHeight="1" thickBot="1">
      <c r="B448" s="1198">
        <v>37926</v>
      </c>
      <c r="C448" s="1203">
        <f t="shared" si="63"/>
        <v>8233972</v>
      </c>
      <c r="D448" s="1205">
        <f>(C448-C447)/C447</f>
        <v>2.0813685743781341E-2</v>
      </c>
      <c r="E448" s="1206">
        <f>C448/1959</f>
        <v>4203.1505870342007</v>
      </c>
      <c r="F448" s="1207">
        <f>(E448-E447)/E447</f>
        <v>1.1955169838909294E-2</v>
      </c>
      <c r="G448" s="1208">
        <f>G661+G745+G949+G1147+G1201</f>
        <v>2844097.6546999998</v>
      </c>
      <c r="H448" s="1209"/>
      <c r="I448" s="1210">
        <v>53636</v>
      </c>
      <c r="J448" s="1211">
        <f t="shared" si="77"/>
        <v>-3.6779730281977932E-3</v>
      </c>
    </row>
    <row r="449" spans="2:10" ht="9" customHeight="1">
      <c r="B449" s="11"/>
      <c r="J449" s="51"/>
    </row>
    <row r="450" spans="2:10" ht="11.25" customHeight="1" thickBot="1">
      <c r="B450" s="47" t="s">
        <v>52</v>
      </c>
    </row>
    <row r="451" spans="2:10" ht="9.6" customHeight="1">
      <c r="B451" s="203"/>
      <c r="C451" s="204" t="s">
        <v>53</v>
      </c>
      <c r="D451" s="1139"/>
      <c r="E451" s="205"/>
      <c r="F451" s="205"/>
      <c r="G451" s="205"/>
      <c r="H451" s="205"/>
      <c r="I451" s="205"/>
      <c r="J451" s="206"/>
    </row>
    <row r="452" spans="2:10" ht="9.6" customHeight="1">
      <c r="B452" s="207" t="s">
        <v>54</v>
      </c>
      <c r="C452" s="208" t="s">
        <v>55</v>
      </c>
      <c r="D452" s="1140"/>
      <c r="E452" s="210" t="s">
        <v>56</v>
      </c>
      <c r="F452" s="211"/>
      <c r="G452" s="209" t="s">
        <v>57</v>
      </c>
      <c r="H452" s="212"/>
      <c r="I452" s="213" t="s">
        <v>58</v>
      </c>
      <c r="J452" s="214"/>
    </row>
    <row r="453" spans="2:10" ht="9.6" customHeight="1">
      <c r="B453" s="207"/>
      <c r="C453" s="215"/>
      <c r="D453" s="1140"/>
      <c r="E453" s="216" t="s">
        <v>59</v>
      </c>
      <c r="F453" s="217"/>
      <c r="G453" s="218"/>
      <c r="H453" s="209"/>
      <c r="I453" s="216" t="s">
        <v>60</v>
      </c>
      <c r="J453" s="219"/>
    </row>
    <row r="454" spans="2:10" ht="9.6" customHeight="1" thickBot="1">
      <c r="B454" s="220" t="s">
        <v>61</v>
      </c>
      <c r="C454" s="109" t="s">
        <v>62</v>
      </c>
      <c r="D454" s="1141" t="s">
        <v>63</v>
      </c>
      <c r="E454" s="109" t="s">
        <v>62</v>
      </c>
      <c r="F454" s="221" t="s">
        <v>63</v>
      </c>
      <c r="G454" s="109" t="s">
        <v>62</v>
      </c>
      <c r="H454" s="221" t="s">
        <v>63</v>
      </c>
      <c r="I454" s="109" t="s">
        <v>62</v>
      </c>
      <c r="J454" s="222" t="s">
        <v>63</v>
      </c>
    </row>
    <row r="455" spans="2:10" ht="9.6" customHeight="1">
      <c r="B455" s="223">
        <v>35034</v>
      </c>
      <c r="C455" s="224">
        <v>672</v>
      </c>
      <c r="D455" s="225" t="s">
        <v>64</v>
      </c>
      <c r="E455" s="226">
        <v>67</v>
      </c>
      <c r="F455" s="225" t="s">
        <v>64</v>
      </c>
      <c r="G455" s="227" t="s">
        <v>64</v>
      </c>
      <c r="H455" s="228" t="s">
        <v>64</v>
      </c>
      <c r="I455" s="229"/>
      <c r="J455" s="230" t="s">
        <v>64</v>
      </c>
    </row>
    <row r="456" spans="2:10" ht="9.6" customHeight="1">
      <c r="B456" s="231">
        <v>35065</v>
      </c>
      <c r="C456" s="232">
        <v>2354</v>
      </c>
      <c r="D456" s="1142">
        <f t="shared" ref="D456:D471" si="78">(C456-C455)/C455</f>
        <v>2.5029761904761907</v>
      </c>
      <c r="E456" s="234">
        <f>C456/22</f>
        <v>107</v>
      </c>
      <c r="F456" s="233">
        <f t="shared" ref="F456:F471" si="79">(E456-E455)/E455</f>
        <v>0.59701492537313428</v>
      </c>
      <c r="G456" s="235">
        <f>SUM(C$456:C456)</f>
        <v>2354</v>
      </c>
      <c r="H456" s="236" t="s">
        <v>31</v>
      </c>
      <c r="I456" s="237">
        <f>G456/22</f>
        <v>107</v>
      </c>
      <c r="J456" s="238" t="s">
        <v>31</v>
      </c>
    </row>
    <row r="457" spans="2:10" ht="9.6" customHeight="1">
      <c r="B457" s="231">
        <v>35096</v>
      </c>
      <c r="C457" s="232">
        <v>2118</v>
      </c>
      <c r="D457" s="1142">
        <f t="shared" si="78"/>
        <v>-0.10025488530161428</v>
      </c>
      <c r="E457" s="234">
        <f>C457/15</f>
        <v>141.19999999999999</v>
      </c>
      <c r="F457" s="233">
        <f t="shared" si="79"/>
        <v>0.31962616822429896</v>
      </c>
      <c r="G457" s="235">
        <f>SUM(C$456:C457)</f>
        <v>4472</v>
      </c>
      <c r="H457" s="239">
        <f t="shared" ref="H457:H467" si="80">(G457-G456)/G456*100</f>
        <v>89.974511469838575</v>
      </c>
      <c r="I457" s="240">
        <f>G457/37</f>
        <v>120.86486486486487</v>
      </c>
      <c r="J457" s="241">
        <f t="shared" ref="J457:J467" si="81">(I457-I456)/I456*100</f>
        <v>12.957817630714832</v>
      </c>
    </row>
    <row r="458" spans="2:10" ht="9.6" customHeight="1">
      <c r="B458" s="231">
        <v>35125</v>
      </c>
      <c r="C458" s="232">
        <v>5539</v>
      </c>
      <c r="D458" s="1142">
        <f t="shared" si="78"/>
        <v>1.6152030217186024</v>
      </c>
      <c r="E458" s="234">
        <f>C458/21</f>
        <v>263.76190476190476</v>
      </c>
      <c r="F458" s="233">
        <f t="shared" si="79"/>
        <v>0.86800215837043049</v>
      </c>
      <c r="G458" s="235">
        <f>SUM(C$456:C458)</f>
        <v>10011</v>
      </c>
      <c r="H458" s="239">
        <f t="shared" si="80"/>
        <v>123.85957066189623</v>
      </c>
      <c r="I458" s="240">
        <f>G458/58</f>
        <v>172.60344827586206</v>
      </c>
      <c r="J458" s="241">
        <f t="shared" si="81"/>
        <v>42.806967491209662</v>
      </c>
    </row>
    <row r="459" spans="2:10" ht="9.6" customHeight="1">
      <c r="B459" s="231">
        <v>35156</v>
      </c>
      <c r="C459" s="232">
        <v>6468</v>
      </c>
      <c r="D459" s="1142">
        <f t="shared" si="78"/>
        <v>0.1677198050189565</v>
      </c>
      <c r="E459" s="234">
        <f>C459/21</f>
        <v>308</v>
      </c>
      <c r="F459" s="233">
        <f t="shared" si="79"/>
        <v>0.1677198050189565</v>
      </c>
      <c r="G459" s="235">
        <f>SUM(C$456:C459)</f>
        <v>16479</v>
      </c>
      <c r="H459" s="239">
        <f t="shared" si="80"/>
        <v>64.608930176805515</v>
      </c>
      <c r="I459" s="240">
        <f>G459/79</f>
        <v>208.59493670886076</v>
      </c>
      <c r="J459" s="241">
        <f t="shared" si="81"/>
        <v>20.85212595259139</v>
      </c>
    </row>
    <row r="460" spans="2:10" ht="9.6" customHeight="1">
      <c r="B460" s="231">
        <v>35186</v>
      </c>
      <c r="C460" s="232">
        <v>6550</v>
      </c>
      <c r="D460" s="1142">
        <f t="shared" si="78"/>
        <v>1.2677798392084107E-2</v>
      </c>
      <c r="E460" s="234">
        <f>C460/20</f>
        <v>327.5</v>
      </c>
      <c r="F460" s="233">
        <f t="shared" si="79"/>
        <v>6.3311688311688305E-2</v>
      </c>
      <c r="G460" s="235">
        <f>SUM(C$456:C460)</f>
        <v>23029</v>
      </c>
      <c r="H460" s="239">
        <f t="shared" si="80"/>
        <v>39.747557497420956</v>
      </c>
      <c r="I460" s="240">
        <f>G460/99</f>
        <v>232.61616161616161</v>
      </c>
      <c r="J460" s="241">
        <f t="shared" si="81"/>
        <v>11.515727699962177</v>
      </c>
    </row>
    <row r="461" spans="2:10" ht="9.6" customHeight="1">
      <c r="B461" s="231">
        <v>35217</v>
      </c>
      <c r="C461" s="232">
        <v>5733</v>
      </c>
      <c r="D461" s="1142">
        <f t="shared" si="78"/>
        <v>-0.12473282442748092</v>
      </c>
      <c r="E461" s="234">
        <f>C461/20</f>
        <v>286.64999999999998</v>
      </c>
      <c r="F461" s="233">
        <f t="shared" si="79"/>
        <v>-0.12473282442748099</v>
      </c>
      <c r="G461" s="235">
        <f>SUM(C$456:C461)</f>
        <v>28762</v>
      </c>
      <c r="H461" s="239">
        <f t="shared" si="80"/>
        <v>24.894697989491512</v>
      </c>
      <c r="I461" s="240">
        <f>G461/119</f>
        <v>241.69747899159663</v>
      </c>
      <c r="J461" s="241">
        <f t="shared" si="81"/>
        <v>3.9039924450391554</v>
      </c>
    </row>
    <row r="462" spans="2:10" ht="9.6" customHeight="1">
      <c r="B462" s="231">
        <v>35247</v>
      </c>
      <c r="C462" s="232">
        <v>7147</v>
      </c>
      <c r="D462" s="1143">
        <f t="shared" si="78"/>
        <v>0.24664224664224665</v>
      </c>
      <c r="E462" s="234">
        <f>C462/22</f>
        <v>324.86363636363637</v>
      </c>
      <c r="F462" s="233">
        <f t="shared" si="79"/>
        <v>0.13331113331113345</v>
      </c>
      <c r="G462" s="235">
        <f>SUM(C$456:C462)</f>
        <v>35909</v>
      </c>
      <c r="H462" s="239">
        <f t="shared" si="80"/>
        <v>24.84875877894444</v>
      </c>
      <c r="I462" s="240">
        <f>G462/141</f>
        <v>254.67375886524823</v>
      </c>
      <c r="J462" s="241">
        <f t="shared" si="81"/>
        <v>5.3688106006694287</v>
      </c>
    </row>
    <row r="463" spans="2:10" ht="9.6" customHeight="1">
      <c r="B463" s="231">
        <v>35278</v>
      </c>
      <c r="C463" s="242">
        <v>7858</v>
      </c>
      <c r="D463" s="1142">
        <f t="shared" si="78"/>
        <v>9.9482300265845813E-2</v>
      </c>
      <c r="E463" s="234">
        <f>C463/22</f>
        <v>357.18181818181819</v>
      </c>
      <c r="F463" s="233">
        <f t="shared" si="79"/>
        <v>9.9482300265845786E-2</v>
      </c>
      <c r="G463" s="235">
        <f>SUM(C$456:C463)</f>
        <v>43767</v>
      </c>
      <c r="H463" s="239">
        <f t="shared" si="80"/>
        <v>21.883093374919937</v>
      </c>
      <c r="I463" s="240">
        <f>G463/163</f>
        <v>268.50920245398771</v>
      </c>
      <c r="J463" s="241">
        <f t="shared" si="81"/>
        <v>5.4326145145012852</v>
      </c>
    </row>
    <row r="464" spans="2:10" ht="9.6" customHeight="1">
      <c r="B464" s="231">
        <v>35309</v>
      </c>
      <c r="C464" s="242">
        <v>6288</v>
      </c>
      <c r="D464" s="1142">
        <f t="shared" si="78"/>
        <v>-0.19979638584881648</v>
      </c>
      <c r="E464" s="234">
        <f>C464/21</f>
        <v>299.42857142857144</v>
      </c>
      <c r="F464" s="233">
        <f t="shared" si="79"/>
        <v>-0.16169145184161723</v>
      </c>
      <c r="G464" s="235">
        <f>SUM(C$456:C464)</f>
        <v>50055</v>
      </c>
      <c r="H464" s="239">
        <f t="shared" si="80"/>
        <v>14.366988827198574</v>
      </c>
      <c r="I464" s="240">
        <f>G464/184</f>
        <v>272.03804347826087</v>
      </c>
      <c r="J464" s="241">
        <f t="shared" si="81"/>
        <v>1.3142346675726588</v>
      </c>
    </row>
    <row r="465" spans="2:11" ht="9.6" customHeight="1">
      <c r="B465" s="231">
        <v>35339</v>
      </c>
      <c r="C465" s="242">
        <v>9486</v>
      </c>
      <c r="D465" s="1142">
        <f t="shared" si="78"/>
        <v>0.50858778625954193</v>
      </c>
      <c r="E465" s="234">
        <f>C465/23</f>
        <v>412.43478260869563</v>
      </c>
      <c r="F465" s="233">
        <f t="shared" si="79"/>
        <v>0.3774062396282773</v>
      </c>
      <c r="G465" s="235">
        <f>SUM(C$456:C465)</f>
        <v>59541</v>
      </c>
      <c r="H465" s="239">
        <f t="shared" si="80"/>
        <v>18.951153730896014</v>
      </c>
      <c r="I465" s="240">
        <f>G465/207</f>
        <v>287.63768115942031</v>
      </c>
      <c r="J465" s="241">
        <f t="shared" si="81"/>
        <v>5.734358871907574</v>
      </c>
    </row>
    <row r="466" spans="2:11" ht="9.6" customHeight="1">
      <c r="B466" s="231">
        <v>35370</v>
      </c>
      <c r="C466" s="242">
        <v>7075</v>
      </c>
      <c r="D466" s="1142">
        <f t="shared" si="78"/>
        <v>-0.25416403120387943</v>
      </c>
      <c r="E466" s="234">
        <f>C466/20</f>
        <v>353.75</v>
      </c>
      <c r="F466" s="233">
        <f t="shared" si="79"/>
        <v>-0.14228863588446125</v>
      </c>
      <c r="G466" s="235">
        <f>SUM(C$456:C466)</f>
        <v>66616</v>
      </c>
      <c r="H466" s="239">
        <f t="shared" si="80"/>
        <v>11.88256831427084</v>
      </c>
      <c r="I466" s="240">
        <f>G466/227</f>
        <v>293.46255506607929</v>
      </c>
      <c r="J466" s="241">
        <f t="shared" si="81"/>
        <v>2.0250733086082002</v>
      </c>
    </row>
    <row r="467" spans="2:11" ht="9.6" customHeight="1">
      <c r="B467" s="231">
        <v>35400</v>
      </c>
      <c r="C467" s="242">
        <v>10665</v>
      </c>
      <c r="D467" s="1142">
        <f t="shared" si="78"/>
        <v>0.50742049469964667</v>
      </c>
      <c r="E467" s="234">
        <f>C467/21</f>
        <v>507.85714285714283</v>
      </c>
      <c r="F467" s="233">
        <f t="shared" si="79"/>
        <v>0.43563856638061577</v>
      </c>
      <c r="G467" s="235">
        <f>SUM(C$456:C467)</f>
        <v>77281</v>
      </c>
      <c r="H467" s="239">
        <f t="shared" si="80"/>
        <v>16.009667347183861</v>
      </c>
      <c r="I467" s="240">
        <f>G467/248</f>
        <v>311.61693548387098</v>
      </c>
      <c r="J467" s="241">
        <f t="shared" si="81"/>
        <v>6.1862680960110374</v>
      </c>
    </row>
    <row r="468" spans="2:11" ht="9.6" customHeight="1">
      <c r="B468" s="243">
        <v>35431</v>
      </c>
      <c r="C468" s="244">
        <v>10901</v>
      </c>
      <c r="D468" s="1142">
        <f t="shared" si="78"/>
        <v>2.2128457571495546E-2</v>
      </c>
      <c r="E468" s="234">
        <f>C468/22</f>
        <v>495.5</v>
      </c>
      <c r="F468" s="233">
        <f t="shared" si="79"/>
        <v>-2.4331926863572387E-2</v>
      </c>
      <c r="G468" s="235">
        <f>SUM(C$468:C468)</f>
        <v>10901</v>
      </c>
      <c r="H468" s="236" t="s">
        <v>31</v>
      </c>
      <c r="I468" s="245">
        <f>G468/22</f>
        <v>495.5</v>
      </c>
      <c r="J468" s="238" t="s">
        <v>31</v>
      </c>
    </row>
    <row r="469" spans="2:11" ht="9.6" customHeight="1">
      <c r="B469" s="243">
        <v>35462</v>
      </c>
      <c r="C469" s="246">
        <v>8655</v>
      </c>
      <c r="D469" s="1143">
        <f t="shared" si="78"/>
        <v>-0.20603614347307586</v>
      </c>
      <c r="E469" s="247">
        <f>C469/16</f>
        <v>540.9375</v>
      </c>
      <c r="F469" s="233">
        <f t="shared" si="79"/>
        <v>9.1700302724520691E-2</v>
      </c>
      <c r="G469" s="235">
        <f>SUM(C$468:C469)</f>
        <v>19556</v>
      </c>
      <c r="H469" s="248">
        <f t="shared" ref="H469:H479" si="82">(G469-G468)/G468</f>
        <v>0.79396385652692414</v>
      </c>
      <c r="I469" s="240">
        <f>G469/38</f>
        <v>514.63157894736844</v>
      </c>
      <c r="J469" s="249">
        <f t="shared" ref="J469:J479" si="83">(I469-I468)/I468</f>
        <v>3.8610653778745591E-2</v>
      </c>
    </row>
    <row r="470" spans="2:11" ht="9.6" customHeight="1">
      <c r="B470" s="243">
        <v>35490</v>
      </c>
      <c r="C470" s="244">
        <v>11199</v>
      </c>
      <c r="D470" s="1142">
        <f t="shared" si="78"/>
        <v>0.29393414211438473</v>
      </c>
      <c r="E470" s="234">
        <f>C470/21</f>
        <v>533.28571428571433</v>
      </c>
      <c r="F470" s="233">
        <f t="shared" si="79"/>
        <v>-1.4145415531897245E-2</v>
      </c>
      <c r="G470" s="235">
        <f>SUM(C$468:C470)</f>
        <v>30755</v>
      </c>
      <c r="H470" s="250">
        <f t="shared" si="82"/>
        <v>0.57266312129269792</v>
      </c>
      <c r="I470" s="245">
        <f>G470/59</f>
        <v>521.27118644067798</v>
      </c>
      <c r="J470" s="251">
        <f t="shared" si="83"/>
        <v>1.2901671341059651E-2</v>
      </c>
    </row>
    <row r="471" spans="2:11" ht="9.6" customHeight="1">
      <c r="B471" s="243">
        <v>35521</v>
      </c>
      <c r="C471" s="244">
        <v>18366</v>
      </c>
      <c r="D471" s="1142">
        <f t="shared" si="78"/>
        <v>0.63996785427270297</v>
      </c>
      <c r="E471" s="252">
        <f>C471/21</f>
        <v>874.57142857142856</v>
      </c>
      <c r="F471" s="233">
        <f t="shared" si="79"/>
        <v>0.63996785427270275</v>
      </c>
      <c r="G471" s="235">
        <f>SUM(C$468:C471)</f>
        <v>49121</v>
      </c>
      <c r="H471" s="250">
        <f t="shared" si="82"/>
        <v>0.59717119167615018</v>
      </c>
      <c r="I471" s="245">
        <f>G471/80</f>
        <v>614.01250000000005</v>
      </c>
      <c r="J471" s="251">
        <f t="shared" si="83"/>
        <v>0.17791375386116084</v>
      </c>
      <c r="K471" s="124"/>
    </row>
    <row r="472" spans="2:11" ht="9.6" customHeight="1">
      <c r="B472" s="243">
        <v>35551</v>
      </c>
      <c r="C472" s="253">
        <v>24293</v>
      </c>
      <c r="D472" s="1142">
        <f t="shared" ref="D472:D487" si="84">(C472-C471)/C471</f>
        <v>0.32271588805401286</v>
      </c>
      <c r="E472" s="252">
        <f>C472/19</f>
        <v>1278.578947368421</v>
      </c>
      <c r="F472" s="233">
        <f>(E472-E471)/E471</f>
        <v>0.46194913942811949</v>
      </c>
      <c r="G472" s="235">
        <f>SUM(C$468:C472)</f>
        <v>73414</v>
      </c>
      <c r="H472" s="250">
        <f t="shared" si="82"/>
        <v>0.49455426396042423</v>
      </c>
      <c r="I472" s="245">
        <f>G472/99</f>
        <v>741.55555555555554</v>
      </c>
      <c r="J472" s="251">
        <f t="shared" si="83"/>
        <v>0.20772061734175687</v>
      </c>
    </row>
    <row r="473" spans="2:11" ht="9.6" customHeight="1">
      <c r="B473" s="243">
        <v>35582</v>
      </c>
      <c r="C473" s="254">
        <v>19991</v>
      </c>
      <c r="D473" s="1142">
        <f t="shared" si="84"/>
        <v>-0.17708805005557157</v>
      </c>
      <c r="E473" s="252">
        <f>C473/21</f>
        <v>951.95238095238096</v>
      </c>
      <c r="F473" s="233">
        <f>(E473-E472)/E472</f>
        <v>-0.2554606167169457</v>
      </c>
      <c r="G473" s="235">
        <f>SUM(C$468:C473)</f>
        <v>93405</v>
      </c>
      <c r="H473" s="233">
        <f t="shared" si="82"/>
        <v>0.27230500994360751</v>
      </c>
      <c r="I473" s="245">
        <f>G473/120</f>
        <v>778.375</v>
      </c>
      <c r="J473" s="255">
        <f t="shared" si="83"/>
        <v>4.9651633203476195E-2</v>
      </c>
    </row>
    <row r="474" spans="2:11" ht="9.6" customHeight="1">
      <c r="B474" s="243">
        <v>35612</v>
      </c>
      <c r="C474" s="244">
        <v>25080</v>
      </c>
      <c r="D474" s="1142">
        <f t="shared" si="84"/>
        <v>0.25456455404932221</v>
      </c>
      <c r="E474" s="252">
        <f>C474/22</f>
        <v>1140</v>
      </c>
      <c r="F474" s="233">
        <f>(E474-E473)/E473</f>
        <v>0.19753889250162571</v>
      </c>
      <c r="G474" s="235">
        <f>SUM(C$468:C474)</f>
        <v>118485</v>
      </c>
      <c r="H474" s="250">
        <f t="shared" si="82"/>
        <v>0.26850810984422674</v>
      </c>
      <c r="I474" s="245">
        <f>G474/142</f>
        <v>834.40140845070425</v>
      </c>
      <c r="J474" s="251">
        <f t="shared" si="83"/>
        <v>7.1978684375402932E-2</v>
      </c>
    </row>
    <row r="475" spans="2:11" ht="9.6" customHeight="1">
      <c r="B475" s="243">
        <v>35643</v>
      </c>
      <c r="C475" s="256">
        <v>44407</v>
      </c>
      <c r="D475" s="1142">
        <f t="shared" si="84"/>
        <v>0.77061403508771931</v>
      </c>
      <c r="E475" s="252">
        <f>C475/21</f>
        <v>2114.6190476190477</v>
      </c>
      <c r="F475" s="233">
        <f>(E475-E474)/E474</f>
        <v>0.85492898913951554</v>
      </c>
      <c r="G475" s="235">
        <f>SUM(C$468:C475)</f>
        <v>162892</v>
      </c>
      <c r="H475" s="250">
        <f t="shared" si="82"/>
        <v>0.37479005781322533</v>
      </c>
      <c r="I475" s="245">
        <f>G475/163</f>
        <v>999.3374233128834</v>
      </c>
      <c r="J475" s="251">
        <f t="shared" si="83"/>
        <v>0.19766986631581582</v>
      </c>
    </row>
    <row r="476" spans="2:11" ht="9.6" customHeight="1">
      <c r="B476" s="243">
        <v>35674</v>
      </c>
      <c r="C476" s="244">
        <v>61236</v>
      </c>
      <c r="D476" s="1142">
        <f t="shared" si="84"/>
        <v>0.37897178372779067</v>
      </c>
      <c r="E476" s="252">
        <f>C476/21</f>
        <v>2916</v>
      </c>
      <c r="F476" s="233">
        <f>(E476-E475)/E475</f>
        <v>0.37897178372779061</v>
      </c>
      <c r="G476" s="235">
        <f>SUM(C$468:C476)</f>
        <v>224128</v>
      </c>
      <c r="H476" s="250">
        <f t="shared" si="82"/>
        <v>0.37593006409154534</v>
      </c>
      <c r="I476" s="245">
        <f>G476/184</f>
        <v>1218.0869565217392</v>
      </c>
      <c r="J476" s="251">
        <f t="shared" si="83"/>
        <v>0.21889456764631476</v>
      </c>
    </row>
    <row r="477" spans="2:11" ht="9.6" customHeight="1">
      <c r="B477" s="257">
        <v>35704</v>
      </c>
      <c r="C477" s="258">
        <v>51405</v>
      </c>
      <c r="D477" s="1142">
        <f t="shared" si="84"/>
        <v>-0.16054281795022535</v>
      </c>
      <c r="E477" s="252">
        <f>C477/22</f>
        <v>2336.590909090909</v>
      </c>
      <c r="F477" s="259">
        <v>-0.1986999625888515</v>
      </c>
      <c r="G477" s="235">
        <f>SUM(C$468:C477)</f>
        <v>275533</v>
      </c>
      <c r="H477" s="233">
        <f t="shared" si="82"/>
        <v>0.22935554683038265</v>
      </c>
      <c r="I477" s="245">
        <f>G477/206</f>
        <v>1337.5388349514562</v>
      </c>
      <c r="J477" s="251">
        <f t="shared" si="83"/>
        <v>9.8065148625195983E-2</v>
      </c>
    </row>
    <row r="478" spans="2:11" ht="9.6" customHeight="1">
      <c r="B478" s="243">
        <v>35735</v>
      </c>
      <c r="C478" s="244">
        <v>54654</v>
      </c>
      <c r="D478" s="1142">
        <f t="shared" si="84"/>
        <v>6.3203968485555886E-2</v>
      </c>
      <c r="E478" s="252">
        <f>C478/20</f>
        <v>2732.7</v>
      </c>
      <c r="F478" s="233">
        <f>(E478-E477)/E477</f>
        <v>0.16952436533411144</v>
      </c>
      <c r="G478" s="235">
        <f>SUM(C$468:C478)</f>
        <v>330187</v>
      </c>
      <c r="H478" s="250">
        <f t="shared" si="82"/>
        <v>0.19835736554242142</v>
      </c>
      <c r="I478" s="245">
        <f>G478/226</f>
        <v>1461.0044247787609</v>
      </c>
      <c r="J478" s="251">
        <f t="shared" si="83"/>
        <v>9.2308041158136317E-2</v>
      </c>
    </row>
    <row r="479" spans="2:11" ht="9.6" customHeight="1">
      <c r="B479" s="243">
        <v>35765</v>
      </c>
      <c r="C479" s="244">
        <v>52787</v>
      </c>
      <c r="D479" s="1142">
        <f t="shared" si="84"/>
        <v>-3.4160354228418781E-2</v>
      </c>
      <c r="E479" s="252">
        <f>C479/22</f>
        <v>2399.409090909091</v>
      </c>
      <c r="F479" s="233">
        <f>(E479-E478)/E478</f>
        <v>-0.12196395838947154</v>
      </c>
      <c r="G479" s="235">
        <f>SUM(C$468:C479)</f>
        <v>382974</v>
      </c>
      <c r="H479" s="250">
        <f t="shared" si="82"/>
        <v>0.15987001305320925</v>
      </c>
      <c r="I479" s="245">
        <f>G479/248</f>
        <v>1544.25</v>
      </c>
      <c r="J479" s="251">
        <f t="shared" si="83"/>
        <v>5.6978318346876243E-2</v>
      </c>
    </row>
    <row r="480" spans="2:11" ht="9.6" customHeight="1">
      <c r="B480" s="243">
        <v>35796</v>
      </c>
      <c r="C480" s="244">
        <v>48767</v>
      </c>
      <c r="D480" s="1142">
        <f t="shared" si="84"/>
        <v>-7.6155113948510045E-2</v>
      </c>
      <c r="E480" s="252">
        <f>48767/17</f>
        <v>2868.6470588235293</v>
      </c>
      <c r="F480" s="233">
        <v>0.19556397018428101</v>
      </c>
      <c r="G480" s="245">
        <f>C480</f>
        <v>48767</v>
      </c>
      <c r="H480" s="260" t="s">
        <v>31</v>
      </c>
      <c r="I480" s="245">
        <f>G480/17</f>
        <v>2868.6470588235293</v>
      </c>
      <c r="J480" s="261" t="s">
        <v>31</v>
      </c>
    </row>
    <row r="481" spans="2:10" ht="9.6" customHeight="1">
      <c r="B481" s="243">
        <v>35827</v>
      </c>
      <c r="C481" s="244">
        <v>70112</v>
      </c>
      <c r="D481" s="1142">
        <f t="shared" si="84"/>
        <v>0.43769352225890457</v>
      </c>
      <c r="E481" s="252">
        <f>C481/19</f>
        <v>3690.1052631578946</v>
      </c>
      <c r="F481" s="233">
        <f t="shared" ref="F481:F491" si="85">(E481-E480)/E480</f>
        <v>0.28635736202112516</v>
      </c>
      <c r="G481" s="245">
        <f>SUM(C$480:C481)</f>
        <v>118879</v>
      </c>
      <c r="H481" s="250">
        <f t="shared" ref="H481:H490" si="86">(G481-G480)/G480</f>
        <v>1.4376935222589047</v>
      </c>
      <c r="I481" s="245">
        <f>G481/36</f>
        <v>3302.1944444444443</v>
      </c>
      <c r="J481" s="251">
        <f t="shared" ref="J481:J491" si="87">(I481-I480)/I480</f>
        <v>0.15113305217781609</v>
      </c>
    </row>
    <row r="482" spans="2:10" ht="9.6" customHeight="1">
      <c r="B482" s="243">
        <v>35855</v>
      </c>
      <c r="C482" s="244">
        <v>57992</v>
      </c>
      <c r="D482" s="1142">
        <f t="shared" si="84"/>
        <v>-0.17286627110908262</v>
      </c>
      <c r="E482" s="252">
        <f>C482/22</f>
        <v>2636</v>
      </c>
      <c r="F482" s="233">
        <f t="shared" si="85"/>
        <v>-0.28565723413966221</v>
      </c>
      <c r="G482" s="245">
        <f>SUM(C$480:C482)</f>
        <v>176871</v>
      </c>
      <c r="H482" s="250">
        <f t="shared" si="86"/>
        <v>0.48782375356454882</v>
      </c>
      <c r="I482" s="245">
        <f>G482/58</f>
        <v>3049.5</v>
      </c>
      <c r="J482" s="251">
        <f t="shared" si="87"/>
        <v>-7.6523187442693805E-2</v>
      </c>
    </row>
    <row r="483" spans="2:10" ht="9.6" customHeight="1">
      <c r="B483" s="243">
        <v>35886</v>
      </c>
      <c r="C483" s="244">
        <v>84560</v>
      </c>
      <c r="D483" s="1142">
        <f t="shared" si="84"/>
        <v>0.45813215615947028</v>
      </c>
      <c r="E483" s="252">
        <f>C483/20</f>
        <v>4228</v>
      </c>
      <c r="F483" s="233">
        <f t="shared" si="85"/>
        <v>0.60394537177541729</v>
      </c>
      <c r="G483" s="245">
        <f>SUM(C$480:C483)</f>
        <v>261431</v>
      </c>
      <c r="H483" s="250">
        <f t="shared" si="86"/>
        <v>0.47808855041244747</v>
      </c>
      <c r="I483" s="245">
        <f>G483/78</f>
        <v>3351.6794871794873</v>
      </c>
      <c r="J483" s="251">
        <f t="shared" si="87"/>
        <v>9.9091486204127666E-2</v>
      </c>
    </row>
    <row r="484" spans="2:10" ht="9.6" customHeight="1">
      <c r="B484" s="243">
        <v>35916</v>
      </c>
      <c r="C484" s="244">
        <v>83605</v>
      </c>
      <c r="D484" s="1142">
        <f t="shared" si="84"/>
        <v>-1.1293755912961211E-2</v>
      </c>
      <c r="E484" s="252">
        <f>C484/19</f>
        <v>4400.2631578947367</v>
      </c>
      <c r="F484" s="233">
        <f t="shared" si="85"/>
        <v>4.0743414828461839E-2</v>
      </c>
      <c r="G484" s="245">
        <f>SUM(C$480:C484)</f>
        <v>345036</v>
      </c>
      <c r="H484" s="250">
        <f t="shared" si="86"/>
        <v>0.31979757565093658</v>
      </c>
      <c r="I484" s="245">
        <f>G484/97</f>
        <v>3557.0721649484535</v>
      </c>
      <c r="J484" s="251">
        <f t="shared" si="87"/>
        <v>6.1280524750237597E-2</v>
      </c>
    </row>
    <row r="485" spans="2:10" ht="9.6" customHeight="1">
      <c r="B485" s="243">
        <v>35947</v>
      </c>
      <c r="C485" s="244">
        <v>94850</v>
      </c>
      <c r="D485" s="1142">
        <f t="shared" si="84"/>
        <v>0.1345015250284074</v>
      </c>
      <c r="E485" s="252">
        <f>C485/22</f>
        <v>4311.363636363636</v>
      </c>
      <c r="F485" s="233">
        <f t="shared" si="85"/>
        <v>-2.0203228384557285E-2</v>
      </c>
      <c r="G485" s="245">
        <f>SUM(C$480:C485)</f>
        <v>439886</v>
      </c>
      <c r="H485" s="250">
        <f t="shared" si="86"/>
        <v>0.2748988511343744</v>
      </c>
      <c r="I485" s="245">
        <f>G485/119</f>
        <v>3696.5210084033615</v>
      </c>
      <c r="J485" s="251">
        <f t="shared" si="87"/>
        <v>3.920326521037247E-2</v>
      </c>
    </row>
    <row r="486" spans="2:10" ht="9.6" customHeight="1">
      <c r="B486" s="243">
        <v>35977</v>
      </c>
      <c r="C486" s="244">
        <v>93106</v>
      </c>
      <c r="D486" s="1142">
        <f t="shared" si="84"/>
        <v>-1.8386926726410121E-2</v>
      </c>
      <c r="E486" s="252">
        <f>C486/22</f>
        <v>4232.090909090909</v>
      </c>
      <c r="F486" s="233">
        <f t="shared" si="85"/>
        <v>-1.8386926726410065E-2</v>
      </c>
      <c r="G486" s="245">
        <f>SUM(C$480:C486)</f>
        <v>532992</v>
      </c>
      <c r="H486" s="250">
        <f t="shared" si="86"/>
        <v>0.2116593844768872</v>
      </c>
      <c r="I486" s="245">
        <f>G486/141</f>
        <v>3780.0851063829787</v>
      </c>
      <c r="J486" s="251">
        <f t="shared" si="87"/>
        <v>2.2606147182621043E-2</v>
      </c>
    </row>
    <row r="487" spans="2:10" ht="9.6" customHeight="1">
      <c r="B487" s="243">
        <v>36008</v>
      </c>
      <c r="C487" s="244">
        <v>92927</v>
      </c>
      <c r="D487" s="1142">
        <f t="shared" si="84"/>
        <v>-1.9225399007582755E-3</v>
      </c>
      <c r="E487" s="252">
        <f>C487/20</f>
        <v>4646.3500000000004</v>
      </c>
      <c r="F487" s="233">
        <f t="shared" si="85"/>
        <v>9.7885206109165998E-2</v>
      </c>
      <c r="G487" s="245">
        <f>SUM(C$480:C487)</f>
        <v>625919</v>
      </c>
      <c r="H487" s="250">
        <f t="shared" si="86"/>
        <v>0.17434970881364073</v>
      </c>
      <c r="I487" s="245">
        <f>G487/161</f>
        <v>3887.695652173913</v>
      </c>
      <c r="J487" s="251">
        <f t="shared" si="87"/>
        <v>2.8467757408219527E-2</v>
      </c>
    </row>
    <row r="488" spans="2:10" ht="9.6" customHeight="1">
      <c r="B488" s="243">
        <v>36039</v>
      </c>
      <c r="C488" s="244">
        <v>75348</v>
      </c>
      <c r="D488" s="1142">
        <f>(C488-C487)/C487</f>
        <v>-0.18916999365093029</v>
      </c>
      <c r="E488" s="252">
        <f>C488/21</f>
        <v>3588</v>
      </c>
      <c r="F488" s="233">
        <f t="shared" si="85"/>
        <v>-0.22778094633421939</v>
      </c>
      <c r="G488" s="245">
        <f>SUM(C$480:C488)</f>
        <v>701267</v>
      </c>
      <c r="H488" s="250">
        <f t="shared" si="86"/>
        <v>0.12037979355156178</v>
      </c>
      <c r="I488" s="245">
        <f>G488/182</f>
        <v>3853.1153846153848</v>
      </c>
      <c r="J488" s="251">
        <f t="shared" si="87"/>
        <v>-8.8947980120799141E-3</v>
      </c>
    </row>
    <row r="489" spans="2:10" ht="9.6" customHeight="1">
      <c r="B489" s="257">
        <v>36069</v>
      </c>
      <c r="C489" s="258">
        <v>16893</v>
      </c>
      <c r="D489" s="1142">
        <f>(C489-C488)/C488</f>
        <v>-0.7758002866698519</v>
      </c>
      <c r="E489" s="252">
        <f>C489/21</f>
        <v>804.42857142857144</v>
      </c>
      <c r="F489" s="233">
        <f t="shared" si="85"/>
        <v>-0.7758002866698519</v>
      </c>
      <c r="G489" s="245">
        <f>SUM(C$480:C489)</f>
        <v>718160</v>
      </c>
      <c r="H489" s="250">
        <f t="shared" si="86"/>
        <v>2.408925559023881E-2</v>
      </c>
      <c r="I489" s="245">
        <f>G489/203</f>
        <v>3537.7339901477831</v>
      </c>
      <c r="J489" s="251">
        <f t="shared" si="87"/>
        <v>-8.1851012229441147E-2</v>
      </c>
    </row>
    <row r="490" spans="2:10" ht="9.6" customHeight="1">
      <c r="B490" s="257">
        <v>36100</v>
      </c>
      <c r="C490" s="258">
        <v>25484</v>
      </c>
      <c r="D490" s="1142">
        <f>(C490-C489)/C489</f>
        <v>0.50855383886817029</v>
      </c>
      <c r="E490" s="252">
        <f>C490/21</f>
        <v>1213.5238095238096</v>
      </c>
      <c r="F490" s="233">
        <f t="shared" si="85"/>
        <v>0.5085538388681704</v>
      </c>
      <c r="G490" s="245">
        <f>SUM(C$480:C490)</f>
        <v>743644</v>
      </c>
      <c r="H490" s="250">
        <f t="shared" si="86"/>
        <v>3.5485128662136572E-2</v>
      </c>
      <c r="I490" s="245">
        <f>G490/224</f>
        <v>3319.8392857142858</v>
      </c>
      <c r="J490" s="251">
        <f t="shared" si="87"/>
        <v>-6.1591602149938661E-2</v>
      </c>
    </row>
    <row r="491" spans="2:10" ht="9.6" customHeight="1" thickBot="1">
      <c r="B491" s="262">
        <v>36130</v>
      </c>
      <c r="C491" s="263">
        <v>27600</v>
      </c>
      <c r="D491" s="1146">
        <f>(C491-C490)/C490</f>
        <v>8.3032490974729242E-2</v>
      </c>
      <c r="E491" s="265">
        <f>C491/22</f>
        <v>1254.5454545454545</v>
      </c>
      <c r="F491" s="264">
        <f t="shared" si="85"/>
        <v>3.3803741384968694E-2</v>
      </c>
      <c r="G491" s="266">
        <f>SUM(C$480:C491)</f>
        <v>771244</v>
      </c>
      <c r="H491" s="267">
        <f>(G491-G490)/G490</f>
        <v>3.7114533298191067E-2</v>
      </c>
      <c r="I491" s="266">
        <f>G491/246</f>
        <v>3135.1382113821137</v>
      </c>
      <c r="J491" s="268">
        <f t="shared" si="87"/>
        <v>-5.5635546915468348E-2</v>
      </c>
    </row>
    <row r="492" spans="2:10" ht="9.75" customHeight="1" thickBot="1">
      <c r="B492" s="269" t="s">
        <v>65</v>
      </c>
      <c r="C492" s="270"/>
      <c r="D492" s="1147"/>
      <c r="E492" s="271"/>
      <c r="F492" s="271"/>
      <c r="G492" s="272"/>
      <c r="H492" s="271"/>
      <c r="I492" s="273"/>
      <c r="J492" s="274"/>
    </row>
    <row r="493" spans="2:10" ht="9.6" customHeight="1">
      <c r="B493" s="275"/>
      <c r="C493" s="276" t="s">
        <v>66</v>
      </c>
      <c r="D493" s="1148"/>
      <c r="E493" s="276" t="s">
        <v>67</v>
      </c>
      <c r="F493" s="277"/>
      <c r="G493" s="278" t="s">
        <v>68</v>
      </c>
      <c r="H493" s="277"/>
      <c r="I493" s="278" t="s">
        <v>69</v>
      </c>
      <c r="J493" s="277"/>
    </row>
    <row r="494" spans="2:10" ht="9.6" customHeight="1">
      <c r="B494" s="279" t="s">
        <v>54</v>
      </c>
      <c r="C494" s="280" t="s">
        <v>70</v>
      </c>
      <c r="D494" s="1149"/>
      <c r="E494" s="280" t="s">
        <v>71</v>
      </c>
      <c r="F494" s="282"/>
      <c r="G494" s="283"/>
      <c r="H494" s="284"/>
      <c r="I494" s="285" t="s">
        <v>9</v>
      </c>
      <c r="J494" s="282"/>
    </row>
    <row r="495" spans="2:10" ht="9.6" customHeight="1" thickBot="1">
      <c r="B495" s="286" t="s">
        <v>61</v>
      </c>
      <c r="C495" s="287" t="s">
        <v>62</v>
      </c>
      <c r="D495" s="1150" t="s">
        <v>63</v>
      </c>
      <c r="E495" s="287" t="s">
        <v>62</v>
      </c>
      <c r="F495" s="222" t="s">
        <v>63</v>
      </c>
      <c r="G495" s="288" t="s">
        <v>72</v>
      </c>
      <c r="H495" s="289" t="s">
        <v>73</v>
      </c>
      <c r="I495" s="290"/>
      <c r="J495" s="291" t="s">
        <v>63</v>
      </c>
    </row>
    <row r="496" spans="2:10" ht="9.6" customHeight="1">
      <c r="B496" s="223">
        <v>35034</v>
      </c>
      <c r="C496" s="292">
        <f>C455</f>
        <v>672</v>
      </c>
      <c r="D496" s="228" t="s">
        <v>64</v>
      </c>
      <c r="E496" s="227">
        <v>67.2</v>
      </c>
      <c r="F496" s="228" t="s">
        <v>64</v>
      </c>
      <c r="G496" s="293">
        <v>66728</v>
      </c>
      <c r="H496" s="294">
        <v>5.597624985634317E-3</v>
      </c>
      <c r="I496" s="295">
        <v>69</v>
      </c>
      <c r="J496" s="296" t="s">
        <v>64</v>
      </c>
    </row>
    <row r="497" spans="2:10" ht="9.6" customHeight="1">
      <c r="B497" s="231">
        <v>35065</v>
      </c>
      <c r="C497" s="245">
        <f t="shared" ref="C497:C532" si="88">C496+C456</f>
        <v>3026</v>
      </c>
      <c r="D497" s="1151">
        <f t="shared" ref="D497:D512" si="89">(C497-C496)/C496</f>
        <v>3.5029761904761907</v>
      </c>
      <c r="E497" s="298">
        <f>C497/32</f>
        <v>94.5625</v>
      </c>
      <c r="F497" s="297">
        <f t="shared" ref="F497:F512" si="90">(E497-E496)/E496</f>
        <v>0.40718005952380948</v>
      </c>
      <c r="G497" s="299">
        <v>249122</v>
      </c>
      <c r="H497" s="294">
        <v>2.472846748657475E-2</v>
      </c>
      <c r="I497" s="300">
        <v>316</v>
      </c>
      <c r="J497" s="301">
        <f t="shared" ref="J497:J512" si="91">(I497-I496)/I496</f>
        <v>3.5797101449275361</v>
      </c>
    </row>
    <row r="498" spans="2:10" ht="9.6" customHeight="1">
      <c r="B498" s="231">
        <v>35096</v>
      </c>
      <c r="C498" s="245">
        <f t="shared" si="88"/>
        <v>5144</v>
      </c>
      <c r="D498" s="1151">
        <f t="shared" si="89"/>
        <v>0.69993390614672835</v>
      </c>
      <c r="E498" s="298">
        <f>C498/47</f>
        <v>109.44680851063829</v>
      </c>
      <c r="F498" s="297">
        <f t="shared" si="90"/>
        <v>0.15740180844032561</v>
      </c>
      <c r="G498" s="299">
        <v>230304</v>
      </c>
      <c r="H498" s="294">
        <v>4.3900374757437008E-2</v>
      </c>
      <c r="I498" s="245">
        <v>527</v>
      </c>
      <c r="J498" s="301">
        <f t="shared" si="91"/>
        <v>0.66772151898734178</v>
      </c>
    </row>
    <row r="499" spans="2:10" ht="9.6" customHeight="1">
      <c r="B499" s="231">
        <v>35125</v>
      </c>
      <c r="C499" s="245">
        <f t="shared" si="88"/>
        <v>10683</v>
      </c>
      <c r="D499" s="1151">
        <f t="shared" si="89"/>
        <v>1.0767884914463453</v>
      </c>
      <c r="E499" s="298">
        <f>C499/68</f>
        <v>157.10294117647058</v>
      </c>
      <c r="F499" s="297">
        <f t="shared" si="90"/>
        <v>0.43542733967615038</v>
      </c>
      <c r="G499" s="299">
        <v>628756</v>
      </c>
      <c r="H499" s="294">
        <v>5.9139074965528012E-2</v>
      </c>
      <c r="I499" s="245">
        <v>689</v>
      </c>
      <c r="J499" s="301">
        <f t="shared" si="91"/>
        <v>0.30740037950664134</v>
      </c>
    </row>
    <row r="500" spans="2:10" ht="9.6" customHeight="1">
      <c r="B500" s="231">
        <v>35156</v>
      </c>
      <c r="C500" s="245">
        <f t="shared" si="88"/>
        <v>17151</v>
      </c>
      <c r="D500" s="1151">
        <f t="shared" si="89"/>
        <v>0.60544790789104186</v>
      </c>
      <c r="E500" s="298">
        <f>C500/89</f>
        <v>192.70786516853931</v>
      </c>
      <c r="F500" s="297">
        <f t="shared" si="90"/>
        <v>0.22663435659090836</v>
      </c>
      <c r="G500" s="299">
        <v>745081</v>
      </c>
      <c r="H500" s="294">
        <v>7.62643146374717E-2</v>
      </c>
      <c r="I500" s="245">
        <v>987</v>
      </c>
      <c r="J500" s="301">
        <f t="shared" si="91"/>
        <v>0.43251088534107401</v>
      </c>
    </row>
    <row r="501" spans="2:10" ht="9.6" customHeight="1">
      <c r="B501" s="231">
        <v>35186</v>
      </c>
      <c r="C501" s="245">
        <f t="shared" si="88"/>
        <v>23701</v>
      </c>
      <c r="D501" s="1151">
        <f t="shared" si="89"/>
        <v>0.38190192991662292</v>
      </c>
      <c r="E501" s="298">
        <f>C501/109</f>
        <v>217.44036697247705</v>
      </c>
      <c r="F501" s="297">
        <f t="shared" si="90"/>
        <v>0.12834194277595817</v>
      </c>
      <c r="G501" s="299">
        <v>751225</v>
      </c>
      <c r="H501" s="294">
        <v>9.3457100985546479E-2</v>
      </c>
      <c r="I501" s="245">
        <v>1138</v>
      </c>
      <c r="J501" s="301">
        <f t="shared" si="91"/>
        <v>0.15298885511651469</v>
      </c>
    </row>
    <row r="502" spans="2:10" ht="9.6" customHeight="1">
      <c r="B502" s="231">
        <v>35217</v>
      </c>
      <c r="C502" s="245">
        <f t="shared" si="88"/>
        <v>29434</v>
      </c>
      <c r="D502" s="1151">
        <f t="shared" si="89"/>
        <v>0.24188852791021476</v>
      </c>
      <c r="E502" s="298">
        <f>C502/129</f>
        <v>228.1705426356589</v>
      </c>
      <c r="F502" s="297">
        <f t="shared" si="90"/>
        <v>4.93476708698714E-2</v>
      </c>
      <c r="G502" s="299">
        <v>648292</v>
      </c>
      <c r="H502" s="294">
        <v>0.11301117574561625</v>
      </c>
      <c r="I502" s="245">
        <v>1333</v>
      </c>
      <c r="J502" s="301">
        <f t="shared" si="91"/>
        <v>0.17135325131810195</v>
      </c>
    </row>
    <row r="503" spans="2:10" ht="9.6" customHeight="1">
      <c r="B503" s="231">
        <v>35247</v>
      </c>
      <c r="C503" s="245">
        <f t="shared" si="88"/>
        <v>36581</v>
      </c>
      <c r="D503" s="1151">
        <f t="shared" si="89"/>
        <v>0.24281443228918936</v>
      </c>
      <c r="E503" s="298">
        <f>C503/151</f>
        <v>242.25827814569536</v>
      </c>
      <c r="F503" s="297">
        <f t="shared" si="90"/>
        <v>6.174213089606246E-2</v>
      </c>
      <c r="G503" s="299">
        <v>784491</v>
      </c>
      <c r="H503" s="294">
        <v>0.10982700473332521</v>
      </c>
      <c r="I503" s="245">
        <v>1507</v>
      </c>
      <c r="J503" s="301">
        <f t="shared" si="91"/>
        <v>0.13053263315828958</v>
      </c>
    </row>
    <row r="504" spans="2:10" ht="9.6" customHeight="1">
      <c r="B504" s="231">
        <v>35278</v>
      </c>
      <c r="C504" s="245">
        <f t="shared" si="88"/>
        <v>44439</v>
      </c>
      <c r="D504" s="1151">
        <f t="shared" si="89"/>
        <v>0.21481096744211475</v>
      </c>
      <c r="E504" s="298">
        <f>C504/173</f>
        <v>256.87283236994222</v>
      </c>
      <c r="F504" s="297">
        <f t="shared" si="90"/>
        <v>6.0326335744273686E-2</v>
      </c>
      <c r="G504" s="299">
        <v>865431</v>
      </c>
      <c r="H504" s="294">
        <v>0.16518695959229637</v>
      </c>
      <c r="I504" s="245">
        <v>1388</v>
      </c>
      <c r="J504" s="301">
        <f t="shared" si="91"/>
        <v>-7.8964830789648305E-2</v>
      </c>
    </row>
    <row r="505" spans="2:10" ht="9.6" customHeight="1">
      <c r="B505" s="231">
        <v>35309</v>
      </c>
      <c r="C505" s="245">
        <f t="shared" si="88"/>
        <v>50727</v>
      </c>
      <c r="D505" s="1151">
        <f t="shared" si="89"/>
        <v>0.14149733342334436</v>
      </c>
      <c r="E505" s="298">
        <f>C505/194</f>
        <v>261.47938144329896</v>
      </c>
      <c r="F505" s="297">
        <f t="shared" si="90"/>
        <v>1.7933189083703886E-2</v>
      </c>
      <c r="G505" s="302">
        <v>705505</v>
      </c>
      <c r="H505" s="294">
        <v>0.10211260878425633</v>
      </c>
      <c r="I505" s="245">
        <v>1533</v>
      </c>
      <c r="J505" s="301">
        <f t="shared" si="91"/>
        <v>0.10446685878962536</v>
      </c>
    </row>
    <row r="506" spans="2:10" ht="9.6" customHeight="1">
      <c r="B506" s="231">
        <v>35339</v>
      </c>
      <c r="C506" s="245">
        <f t="shared" si="88"/>
        <v>60213</v>
      </c>
      <c r="D506" s="1151">
        <f t="shared" si="89"/>
        <v>0.18700100538174935</v>
      </c>
      <c r="E506" s="298">
        <f>C506/217</f>
        <v>277.47926267281105</v>
      </c>
      <c r="F506" s="297">
        <f t="shared" si="90"/>
        <v>6.1189838912715996E-2</v>
      </c>
      <c r="G506" s="302">
        <v>1104204</v>
      </c>
      <c r="H506" s="294">
        <v>0.14740664302010315</v>
      </c>
      <c r="I506" s="245">
        <v>1823</v>
      </c>
      <c r="J506" s="301">
        <f t="shared" si="91"/>
        <v>0.18917155903457272</v>
      </c>
    </row>
    <row r="507" spans="2:10" ht="9.6" customHeight="1">
      <c r="B507" s="231">
        <v>35370</v>
      </c>
      <c r="C507" s="245">
        <f t="shared" si="88"/>
        <v>67288</v>
      </c>
      <c r="D507" s="1151">
        <f t="shared" si="89"/>
        <v>0.11749954328799429</v>
      </c>
      <c r="E507" s="298">
        <f>C507/237</f>
        <v>283.91561181434599</v>
      </c>
      <c r="F507" s="297">
        <f t="shared" si="90"/>
        <v>2.3195784360737444E-2</v>
      </c>
      <c r="G507" s="302">
        <v>861399</v>
      </c>
      <c r="H507" s="294">
        <v>0.10813580386397018</v>
      </c>
      <c r="I507" s="245">
        <v>1169</v>
      </c>
      <c r="J507" s="301">
        <f t="shared" si="91"/>
        <v>-0.35874931431705981</v>
      </c>
    </row>
    <row r="508" spans="2:10" ht="9.6" customHeight="1">
      <c r="B508" s="563">
        <v>35400</v>
      </c>
      <c r="C508" s="520">
        <f t="shared" si="88"/>
        <v>77953</v>
      </c>
      <c r="D508" s="1152">
        <f t="shared" si="89"/>
        <v>0.15849780049934609</v>
      </c>
      <c r="E508" s="678">
        <f>C508/258</f>
        <v>302.1434108527132</v>
      </c>
      <c r="F508" s="424">
        <f t="shared" si="90"/>
        <v>6.4201467900562192E-2</v>
      </c>
      <c r="G508" s="679">
        <v>1291855</v>
      </c>
      <c r="H508" s="680">
        <v>0.20645328422219425</v>
      </c>
      <c r="I508" s="520">
        <v>1312</v>
      </c>
      <c r="J508" s="577">
        <f t="shared" si="91"/>
        <v>0.12232677502138579</v>
      </c>
    </row>
    <row r="509" spans="2:10" ht="9.6" customHeight="1">
      <c r="B509" s="243">
        <v>35431</v>
      </c>
      <c r="C509" s="245">
        <f t="shared" si="88"/>
        <v>88854</v>
      </c>
      <c r="D509" s="1151">
        <f t="shared" si="89"/>
        <v>0.13984067322617474</v>
      </c>
      <c r="E509" s="303">
        <f>C509/280</f>
        <v>317.33571428571429</v>
      </c>
      <c r="F509" s="297">
        <f t="shared" si="90"/>
        <v>5.0281763186975227E-2</v>
      </c>
      <c r="G509" s="304">
        <v>1341167.1510000001</v>
      </c>
      <c r="H509" s="294">
        <v>0.11995666991341121</v>
      </c>
      <c r="I509" s="305">
        <v>2031</v>
      </c>
      <c r="J509" s="301">
        <f t="shared" si="91"/>
        <v>0.54801829268292679</v>
      </c>
    </row>
    <row r="510" spans="2:10" ht="9.6" customHeight="1">
      <c r="B510" s="243">
        <v>35462</v>
      </c>
      <c r="C510" s="245">
        <f t="shared" si="88"/>
        <v>97509</v>
      </c>
      <c r="D510" s="1151">
        <f t="shared" si="89"/>
        <v>9.7406982240529405E-2</v>
      </c>
      <c r="E510" s="303">
        <f>C510/296</f>
        <v>329.42229729729729</v>
      </c>
      <c r="F510" s="297">
        <f t="shared" si="90"/>
        <v>3.8087685903203466E-2</v>
      </c>
      <c r="G510" s="304">
        <v>1092931.31</v>
      </c>
      <c r="H510" s="294">
        <v>8.588351043762403E-2</v>
      </c>
      <c r="I510" s="305">
        <v>1850</v>
      </c>
      <c r="J510" s="306">
        <f t="shared" si="91"/>
        <v>-8.9118660758247176E-2</v>
      </c>
    </row>
    <row r="511" spans="2:10" ht="9.6" customHeight="1">
      <c r="B511" s="243">
        <v>35490</v>
      </c>
      <c r="C511" s="245">
        <f t="shared" si="88"/>
        <v>108708</v>
      </c>
      <c r="D511" s="1151">
        <f t="shared" si="89"/>
        <v>0.11485093683659969</v>
      </c>
      <c r="E511" s="303">
        <f>C511/317</f>
        <v>342.92744479495269</v>
      </c>
      <c r="F511" s="297">
        <f t="shared" si="90"/>
        <v>4.0996458371083677E-2</v>
      </c>
      <c r="G511" s="307">
        <v>1383481.28</v>
      </c>
      <c r="H511" s="294">
        <v>9.4087708204599982E-2</v>
      </c>
      <c r="I511" s="308">
        <v>2140</v>
      </c>
      <c r="J511" s="306">
        <f t="shared" si="91"/>
        <v>0.15675675675675677</v>
      </c>
    </row>
    <row r="512" spans="2:10" ht="9.6" customHeight="1">
      <c r="B512" s="243">
        <v>35521</v>
      </c>
      <c r="C512" s="245">
        <f t="shared" si="88"/>
        <v>127074</v>
      </c>
      <c r="D512" s="1151">
        <f t="shared" si="89"/>
        <v>0.16894800750634728</v>
      </c>
      <c r="E512" s="303">
        <f>C512/338</f>
        <v>375.95857988165682</v>
      </c>
      <c r="F512" s="297">
        <f t="shared" si="90"/>
        <v>9.6321060294414465E-2</v>
      </c>
      <c r="G512" s="307">
        <v>2034656.18</v>
      </c>
      <c r="H512" s="294">
        <v>0.15534966376193873</v>
      </c>
      <c r="I512" s="308">
        <v>2112</v>
      </c>
      <c r="J512" s="306">
        <f t="shared" si="91"/>
        <v>-1.3084112149532711E-2</v>
      </c>
    </row>
    <row r="513" spans="2:10" ht="9.6" customHeight="1">
      <c r="B513" s="243">
        <v>35551</v>
      </c>
      <c r="C513" s="245">
        <f t="shared" si="88"/>
        <v>151367</v>
      </c>
      <c r="D513" s="1151">
        <f t="shared" ref="D513:D528" si="92">(C513-C512)/C512</f>
        <v>0.19117207296535876</v>
      </c>
      <c r="E513" s="303">
        <f>C513/357</f>
        <v>423.99719887955183</v>
      </c>
      <c r="F513" s="297">
        <f t="shared" ref="F513:F528" si="93">(E513-E512)/E512</f>
        <v>0.12777636039857496</v>
      </c>
      <c r="G513" s="309">
        <v>2594212.52</v>
      </c>
      <c r="H513" s="294">
        <v>0.25072081354461873</v>
      </c>
      <c r="I513" s="310">
        <v>2859</v>
      </c>
      <c r="J513" s="306">
        <f t="shared" ref="J513:J528" si="94">(I513-I512)/I512</f>
        <v>0.35369318181818182</v>
      </c>
    </row>
    <row r="514" spans="2:10" ht="9.6" customHeight="1">
      <c r="B514" s="243">
        <v>35582</v>
      </c>
      <c r="C514" s="245">
        <f t="shared" si="88"/>
        <v>171358</v>
      </c>
      <c r="D514" s="1151">
        <f t="shared" si="92"/>
        <v>0.13206973778961068</v>
      </c>
      <c r="E514" s="303">
        <f>C514/378</f>
        <v>453.32804232804233</v>
      </c>
      <c r="F514" s="297">
        <f t="shared" si="93"/>
        <v>6.9176974579076733E-2</v>
      </c>
      <c r="G514" s="309">
        <v>2191162.4300000002</v>
      </c>
      <c r="H514" s="294">
        <v>0.26366379714385796</v>
      </c>
      <c r="I514" s="310">
        <v>2604</v>
      </c>
      <c r="J514" s="306">
        <f t="shared" si="94"/>
        <v>-8.9192025183630647E-2</v>
      </c>
    </row>
    <row r="515" spans="2:10" ht="9.6" customHeight="1">
      <c r="B515" s="243">
        <v>35612</v>
      </c>
      <c r="C515" s="245">
        <f t="shared" si="88"/>
        <v>196438</v>
      </c>
      <c r="D515" s="1151">
        <f t="shared" si="92"/>
        <v>0.14636025163692387</v>
      </c>
      <c r="E515" s="303">
        <f>C515/400</f>
        <v>491.09500000000003</v>
      </c>
      <c r="F515" s="297">
        <f t="shared" si="93"/>
        <v>8.3310437796893108E-2</v>
      </c>
      <c r="G515" s="309">
        <v>2575653.94</v>
      </c>
      <c r="H515" s="294">
        <v>0.28050992796591434</v>
      </c>
      <c r="I515" s="310">
        <v>3103</v>
      </c>
      <c r="J515" s="306">
        <f t="shared" si="94"/>
        <v>0.19162826420890938</v>
      </c>
    </row>
    <row r="516" spans="2:10" ht="9.6" customHeight="1">
      <c r="B516" s="243">
        <v>35643</v>
      </c>
      <c r="C516" s="245">
        <f t="shared" si="88"/>
        <v>240845</v>
      </c>
      <c r="D516" s="1151">
        <f t="shared" si="92"/>
        <v>0.2260611490648449</v>
      </c>
      <c r="E516" s="303">
        <f>C516/421</f>
        <v>572.07838479809982</v>
      </c>
      <c r="F516" s="297">
        <f t="shared" si="93"/>
        <v>0.16490370457467451</v>
      </c>
      <c r="G516" s="307">
        <f>3894753.71</f>
        <v>3894753.71</v>
      </c>
      <c r="H516" s="294">
        <v>0.41953971267198847</v>
      </c>
      <c r="I516" s="308">
        <v>6439</v>
      </c>
      <c r="J516" s="306">
        <f t="shared" si="94"/>
        <v>1.0750886239123429</v>
      </c>
    </row>
    <row r="517" spans="2:10" ht="9.6" customHeight="1">
      <c r="B517" s="243">
        <v>35674</v>
      </c>
      <c r="C517" s="245">
        <f t="shared" si="88"/>
        <v>302081</v>
      </c>
      <c r="D517" s="1151">
        <f t="shared" si="92"/>
        <v>0.25425481118561732</v>
      </c>
      <c r="E517" s="303">
        <f>C517/442</f>
        <v>683.44117647058829</v>
      </c>
      <c r="F517" s="297">
        <f t="shared" si="93"/>
        <v>0.194663519251459</v>
      </c>
      <c r="G517" s="307">
        <f>4738233.65</f>
        <v>4738233.6500000004</v>
      </c>
      <c r="H517" s="294">
        <v>0.36332266422766346</v>
      </c>
      <c r="I517" s="308">
        <v>5492</v>
      </c>
      <c r="J517" s="306">
        <f t="shared" si="94"/>
        <v>-0.1470725267898742</v>
      </c>
    </row>
    <row r="518" spans="2:10" ht="9.6" customHeight="1">
      <c r="B518" s="257">
        <v>35704</v>
      </c>
      <c r="C518" s="245">
        <f t="shared" si="88"/>
        <v>353486</v>
      </c>
      <c r="D518" s="1151">
        <f t="shared" si="92"/>
        <v>0.17016959027545592</v>
      </c>
      <c r="E518" s="303">
        <f>C518/464</f>
        <v>761.82327586206895</v>
      </c>
      <c r="F518" s="297">
        <f t="shared" si="93"/>
        <v>0.1146874114261885</v>
      </c>
      <c r="G518" s="309">
        <v>3738837</v>
      </c>
      <c r="H518" s="294">
        <v>0.44447943530224077</v>
      </c>
      <c r="I518" s="310">
        <v>8169</v>
      </c>
      <c r="J518" s="306">
        <f t="shared" si="94"/>
        <v>0.48743627093954844</v>
      </c>
    </row>
    <row r="519" spans="2:10" ht="9.6" customHeight="1">
      <c r="B519" s="243">
        <v>35735</v>
      </c>
      <c r="C519" s="245">
        <f t="shared" si="88"/>
        <v>408140</v>
      </c>
      <c r="D519" s="1151">
        <f t="shared" si="92"/>
        <v>0.15461432701719446</v>
      </c>
      <c r="E519" s="303">
        <f>C519/484</f>
        <v>843.2644628099174</v>
      </c>
      <c r="F519" s="297">
        <f t="shared" si="93"/>
        <v>0.10690299119003774</v>
      </c>
      <c r="G519" s="307">
        <v>3335404</v>
      </c>
      <c r="H519" s="294">
        <v>0.50021085795492382</v>
      </c>
      <c r="I519" s="308">
        <v>8089</v>
      </c>
      <c r="J519" s="306">
        <f t="shared" si="94"/>
        <v>-9.7931203329660911E-3</v>
      </c>
    </row>
    <row r="520" spans="2:10" ht="9.6" customHeight="1">
      <c r="B520" s="243">
        <v>35765</v>
      </c>
      <c r="C520" s="245">
        <f t="shared" si="88"/>
        <v>460927</v>
      </c>
      <c r="D520" s="1151">
        <f t="shared" si="92"/>
        <v>0.1293355221247611</v>
      </c>
      <c r="E520" s="303">
        <f>C520/506</f>
        <v>910.92292490118575</v>
      </c>
      <c r="F520" s="297">
        <f t="shared" si="93"/>
        <v>8.0233977684554023E-2</v>
      </c>
      <c r="G520" s="307">
        <v>3075592</v>
      </c>
      <c r="H520" s="294">
        <v>0.52553605038707041</v>
      </c>
      <c r="I520" s="308">
        <v>7614</v>
      </c>
      <c r="J520" s="306">
        <f t="shared" si="94"/>
        <v>-5.8721720855482752E-2</v>
      </c>
    </row>
    <row r="521" spans="2:10" ht="9.6" customHeight="1">
      <c r="B521" s="243">
        <v>35796</v>
      </c>
      <c r="C521" s="245">
        <f t="shared" si="88"/>
        <v>509694</v>
      </c>
      <c r="D521" s="1151">
        <f t="shared" si="92"/>
        <v>0.1058020033541103</v>
      </c>
      <c r="E521" s="304">
        <f>C521/523</f>
        <v>974.55831739961764</v>
      </c>
      <c r="F521" s="297">
        <f t="shared" si="93"/>
        <v>6.9858152384665112E-2</v>
      </c>
      <c r="G521" s="307">
        <v>2646176.6710000001</v>
      </c>
      <c r="H521" s="294">
        <v>0.55056338910519032</v>
      </c>
      <c r="I521" s="308">
        <v>8787</v>
      </c>
      <c r="J521" s="306">
        <f t="shared" si="94"/>
        <v>0.15405831363278172</v>
      </c>
    </row>
    <row r="522" spans="2:10" ht="9.6" customHeight="1">
      <c r="B522" s="243">
        <v>35827</v>
      </c>
      <c r="C522" s="245">
        <f t="shared" si="88"/>
        <v>579806</v>
      </c>
      <c r="D522" s="1151">
        <f t="shared" si="92"/>
        <v>0.13755704403033978</v>
      </c>
      <c r="E522" s="304">
        <f>C522/542</f>
        <v>1069.7527675276754</v>
      </c>
      <c r="F522" s="297">
        <f t="shared" si="93"/>
        <v>9.7679583077246709E-2</v>
      </c>
      <c r="G522" s="307">
        <f>5008457.37</f>
        <v>5008457.37</v>
      </c>
      <c r="H522" s="294">
        <v>0.40551160395022567</v>
      </c>
      <c r="I522" s="308">
        <v>8844</v>
      </c>
      <c r="J522" s="306">
        <f t="shared" si="94"/>
        <v>6.4868555821099355E-3</v>
      </c>
    </row>
    <row r="523" spans="2:10" ht="9.6" customHeight="1">
      <c r="B523" s="243">
        <v>35855</v>
      </c>
      <c r="C523" s="245">
        <f t="shared" si="88"/>
        <v>637798</v>
      </c>
      <c r="D523" s="1151">
        <f t="shared" si="92"/>
        <v>0.10001966174892982</v>
      </c>
      <c r="E523" s="304">
        <f>C523/564</f>
        <v>1130.8475177304965</v>
      </c>
      <c r="F523" s="297">
        <f t="shared" si="93"/>
        <v>5.7111093382836785E-2</v>
      </c>
      <c r="G523" s="307">
        <f>4173302.62</f>
        <v>4173302.62</v>
      </c>
      <c r="H523" s="294">
        <v>0.71130748716096459</v>
      </c>
      <c r="I523" s="308">
        <v>8603</v>
      </c>
      <c r="J523" s="306">
        <f t="shared" si="94"/>
        <v>-2.7250113071008594E-2</v>
      </c>
    </row>
    <row r="524" spans="2:10" ht="9.6" customHeight="1">
      <c r="B524" s="243">
        <v>35886</v>
      </c>
      <c r="C524" s="245">
        <f t="shared" si="88"/>
        <v>722358</v>
      </c>
      <c r="D524" s="1151">
        <f t="shared" si="92"/>
        <v>0.13258116206071516</v>
      </c>
      <c r="E524" s="304">
        <f>C524/584</f>
        <v>1236.9143835616439</v>
      </c>
      <c r="F524" s="297">
        <f t="shared" si="93"/>
        <v>9.3794135962745481E-2</v>
      </c>
      <c r="G524" s="307">
        <v>5259837</v>
      </c>
      <c r="H524" s="294">
        <v>1.2755061542834809</v>
      </c>
      <c r="I524" s="308">
        <v>14527</v>
      </c>
      <c r="J524" s="306">
        <f t="shared" si="94"/>
        <v>0.68859700104614674</v>
      </c>
    </row>
    <row r="525" spans="2:10" ht="9.6" customHeight="1">
      <c r="B525" s="243">
        <v>35916</v>
      </c>
      <c r="C525" s="245">
        <f t="shared" si="88"/>
        <v>805963</v>
      </c>
      <c r="D525" s="1151">
        <f t="shared" si="92"/>
        <v>0.11573901029683342</v>
      </c>
      <c r="E525" s="304">
        <f>C525/603</f>
        <v>1336.5887230514097</v>
      </c>
      <c r="F525" s="297">
        <f t="shared" si="93"/>
        <v>8.0583054748508645E-2</v>
      </c>
      <c r="G525" s="307">
        <v>4628267</v>
      </c>
      <c r="H525" s="294">
        <v>1.2675870292903073</v>
      </c>
      <c r="I525" s="308">
        <v>15973</v>
      </c>
      <c r="J525" s="306">
        <f t="shared" si="94"/>
        <v>9.953878983960901E-2</v>
      </c>
    </row>
    <row r="526" spans="2:10" ht="9.6" customHeight="1">
      <c r="B526" s="243">
        <v>35947</v>
      </c>
      <c r="C526" s="245">
        <f t="shared" si="88"/>
        <v>900813</v>
      </c>
      <c r="D526" s="1151">
        <f t="shared" si="92"/>
        <v>0.11768530317148554</v>
      </c>
      <c r="E526" s="304">
        <f>C526/625</f>
        <v>1441.3008</v>
      </c>
      <c r="F526" s="297">
        <f t="shared" si="93"/>
        <v>7.8342780499849163E-2</v>
      </c>
      <c r="G526" s="307">
        <v>4451961</v>
      </c>
      <c r="H526" s="294">
        <v>1.1901433771763681</v>
      </c>
      <c r="I526" s="308">
        <v>18442</v>
      </c>
      <c r="J526" s="306">
        <f t="shared" si="94"/>
        <v>0.1545733425154949</v>
      </c>
    </row>
    <row r="527" spans="2:10" ht="9.6" customHeight="1">
      <c r="B527" s="243">
        <v>35977</v>
      </c>
      <c r="C527" s="245">
        <f t="shared" si="88"/>
        <v>993919</v>
      </c>
      <c r="D527" s="1151">
        <f t="shared" si="92"/>
        <v>0.10335774461514211</v>
      </c>
      <c r="E527" s="304">
        <f>C527/647</f>
        <v>1536.1962905718701</v>
      </c>
      <c r="F527" s="297">
        <f t="shared" si="93"/>
        <v>6.5840170609681295E-2</v>
      </c>
      <c r="G527" s="307">
        <v>3993667</v>
      </c>
      <c r="H527" s="294">
        <v>1.0868026017948706</v>
      </c>
      <c r="I527" s="308">
        <v>16446</v>
      </c>
      <c r="J527" s="306">
        <f t="shared" si="94"/>
        <v>-0.10823121136536168</v>
      </c>
    </row>
    <row r="528" spans="2:10" ht="9.6" customHeight="1">
      <c r="B528" s="243">
        <v>36008</v>
      </c>
      <c r="C528" s="245">
        <f t="shared" si="88"/>
        <v>1086846</v>
      </c>
      <c r="D528" s="1151">
        <f t="shared" si="92"/>
        <v>9.3495546417766431E-2</v>
      </c>
      <c r="E528" s="304">
        <f>C528/667</f>
        <v>1629.4542728635681</v>
      </c>
      <c r="F528" s="297">
        <f t="shared" si="93"/>
        <v>6.0707074261311646E-2</v>
      </c>
      <c r="G528" s="307">
        <v>3122402</v>
      </c>
      <c r="H528" s="294">
        <v>1.0406639927956129</v>
      </c>
      <c r="I528" s="308">
        <v>14293</v>
      </c>
      <c r="J528" s="306">
        <f t="shared" si="94"/>
        <v>-0.13091329198589322</v>
      </c>
    </row>
    <row r="529" spans="2:11" ht="9.6" customHeight="1">
      <c r="B529" s="243">
        <v>36039</v>
      </c>
      <c r="C529" s="245">
        <f t="shared" si="88"/>
        <v>1162194</v>
      </c>
      <c r="D529" s="1151">
        <f>(C529-C528)/C528</f>
        <v>6.9327209190630498E-2</v>
      </c>
      <c r="E529" s="304">
        <f>C529/688</f>
        <v>1689.2354651162791</v>
      </c>
      <c r="F529" s="297">
        <f>(E529-E528)/E528</f>
        <v>3.6687861235684009E-2</v>
      </c>
      <c r="G529" s="307">
        <v>2898245</v>
      </c>
      <c r="H529" s="294">
        <v>0.4828442352555451</v>
      </c>
      <c r="I529" s="308">
        <v>681</v>
      </c>
      <c r="J529" s="306">
        <f>(I529-I528)/I528</f>
        <v>-0.95235429930735327</v>
      </c>
    </row>
    <row r="530" spans="2:11" ht="9.6" customHeight="1">
      <c r="B530" s="257">
        <v>36069</v>
      </c>
      <c r="C530" s="245">
        <f t="shared" si="88"/>
        <v>1179087</v>
      </c>
      <c r="D530" s="1151">
        <f>(C530-C529)/C529</f>
        <v>1.4535439005880257E-2</v>
      </c>
      <c r="E530" s="304">
        <f>C530/709</f>
        <v>1663.0282087447108</v>
      </c>
      <c r="F530" s="297">
        <f>(E530-E529)/E529</f>
        <v>-1.5514270753109191E-2</v>
      </c>
      <c r="G530" s="309">
        <v>691370</v>
      </c>
      <c r="H530" s="294">
        <v>0.21375637950112897</v>
      </c>
      <c r="I530" s="310">
        <v>1240</v>
      </c>
      <c r="J530" s="306">
        <f>(I530-I529)/I529</f>
        <v>0.82085168869309844</v>
      </c>
    </row>
    <row r="531" spans="2:11" ht="9.6" customHeight="1">
      <c r="B531" s="257">
        <v>36100</v>
      </c>
      <c r="C531" s="245">
        <f t="shared" si="88"/>
        <v>1204571</v>
      </c>
      <c r="D531" s="1151">
        <f>(C531-C530)/C530</f>
        <v>2.1613333028012351E-2</v>
      </c>
      <c r="E531" s="304">
        <f>C531/730</f>
        <v>1650.0972602739726</v>
      </c>
      <c r="F531" s="297">
        <f>(E531-E530)/E530</f>
        <v>-7.7755436755332094E-3</v>
      </c>
      <c r="G531" s="309">
        <v>1217831</v>
      </c>
      <c r="H531" s="294">
        <v>0.27310459182128854</v>
      </c>
      <c r="I531" s="310">
        <v>1519</v>
      </c>
      <c r="J531" s="306">
        <f>(I531-I530)/I530</f>
        <v>0.22500000000000001</v>
      </c>
    </row>
    <row r="532" spans="2:11" ht="9.6" customHeight="1" thickBot="1">
      <c r="B532" s="262">
        <v>36130</v>
      </c>
      <c r="C532" s="266">
        <f t="shared" si="88"/>
        <v>1232171</v>
      </c>
      <c r="D532" s="1155">
        <f>(C532-C531)/C531</f>
        <v>2.291272162454517E-2</v>
      </c>
      <c r="E532" s="312">
        <f>C532/752</f>
        <v>1638.5252659574469</v>
      </c>
      <c r="F532" s="311">
        <f>(E532-E531)/E531</f>
        <v>-7.0129165080877196E-3</v>
      </c>
      <c r="G532" s="313">
        <v>1529699</v>
      </c>
      <c r="H532" s="314">
        <v>0.24276535904126587</v>
      </c>
      <c r="I532" s="315">
        <v>1650</v>
      </c>
      <c r="J532" s="316">
        <f>(I532-I531)/I531</f>
        <v>8.6240947992100067E-2</v>
      </c>
    </row>
    <row r="533" spans="2:11">
      <c r="B533" s="62"/>
      <c r="C533" s="50"/>
      <c r="D533" s="1156"/>
      <c r="E533" s="36"/>
      <c r="F533" s="61"/>
      <c r="G533" s="25"/>
      <c r="H533" s="28"/>
      <c r="I533" s="50"/>
      <c r="J533" s="61"/>
      <c r="K533"/>
    </row>
    <row r="534" spans="2:11" ht="13.5" thickBot="1">
      <c r="B534" s="47" t="s">
        <v>238</v>
      </c>
      <c r="C534" s="27"/>
      <c r="D534" s="1157"/>
      <c r="E534" s="42"/>
      <c r="F534" s="28"/>
      <c r="G534" s="42"/>
      <c r="H534" s="28" t="s">
        <v>74</v>
      </c>
      <c r="I534" s="12"/>
      <c r="J534" s="25"/>
    </row>
    <row r="535" spans="2:11" s="404" customFormat="1" ht="9.6" customHeight="1">
      <c r="B535" s="401"/>
      <c r="C535" s="402" t="s">
        <v>156</v>
      </c>
      <c r="D535" s="1158"/>
      <c r="E535" s="402"/>
      <c r="F535" s="402"/>
      <c r="G535" s="402"/>
      <c r="H535" s="402"/>
      <c r="I535" s="402"/>
      <c r="J535" s="403"/>
    </row>
    <row r="536" spans="2:11" s="404" customFormat="1" ht="9.6" customHeight="1">
      <c r="B536" s="207" t="s">
        <v>54</v>
      </c>
      <c r="C536" s="208" t="s">
        <v>55</v>
      </c>
      <c r="D536" s="1140"/>
      <c r="E536" s="210" t="s">
        <v>56</v>
      </c>
      <c r="F536" s="211"/>
      <c r="G536" s="209" t="s">
        <v>57</v>
      </c>
      <c r="H536" s="212"/>
      <c r="I536" s="213" t="s">
        <v>58</v>
      </c>
      <c r="J536" s="214"/>
    </row>
    <row r="537" spans="2:11" s="404" customFormat="1" ht="9.6" customHeight="1">
      <c r="B537" s="207"/>
      <c r="C537" s="215"/>
      <c r="D537" s="1140"/>
      <c r="E537" s="216" t="s">
        <v>59</v>
      </c>
      <c r="F537" s="217"/>
      <c r="G537" s="218"/>
      <c r="H537" s="209"/>
      <c r="I537" s="216" t="s">
        <v>60</v>
      </c>
      <c r="J537" s="219"/>
    </row>
    <row r="538" spans="2:11" s="404" customFormat="1" ht="9.6" customHeight="1" thickBot="1">
      <c r="B538" s="220" t="s">
        <v>61</v>
      </c>
      <c r="C538" s="109" t="s">
        <v>62</v>
      </c>
      <c r="D538" s="1141" t="s">
        <v>63</v>
      </c>
      <c r="E538" s="109" t="s">
        <v>62</v>
      </c>
      <c r="F538" s="221" t="s">
        <v>63</v>
      </c>
      <c r="G538" s="109" t="s">
        <v>62</v>
      </c>
      <c r="H538" s="221" t="s">
        <v>63</v>
      </c>
      <c r="I538" s="109" t="s">
        <v>62</v>
      </c>
      <c r="J538" s="444" t="s">
        <v>63</v>
      </c>
    </row>
    <row r="539" spans="2:11" s="404" customFormat="1" ht="9.6" customHeight="1">
      <c r="B539" s="243">
        <v>36161</v>
      </c>
      <c r="C539" s="244">
        <v>23755</v>
      </c>
      <c r="D539" s="1142">
        <v>-0.13931159420289854</v>
      </c>
      <c r="E539" s="252">
        <f>C539/17</f>
        <v>1397.3529411764705</v>
      </c>
      <c r="F539" s="233">
        <v>0.11383205456095478</v>
      </c>
      <c r="G539" s="245">
        <f>SUM(C$535:C539)</f>
        <v>23755</v>
      </c>
      <c r="H539" s="260" t="s">
        <v>31</v>
      </c>
      <c r="I539" s="245">
        <f>G539/17</f>
        <v>1397.3529411764705</v>
      </c>
      <c r="J539" s="570" t="s">
        <v>31</v>
      </c>
    </row>
    <row r="540" spans="2:11" s="404" customFormat="1" ht="9.6" customHeight="1">
      <c r="B540" s="243">
        <v>36192</v>
      </c>
      <c r="C540" s="244">
        <v>35770</v>
      </c>
      <c r="D540" s="1142">
        <f>(C540-C539)/C539</f>
        <v>0.50578825510418857</v>
      </c>
      <c r="E540" s="252">
        <f>C540/16</f>
        <v>2235.625</v>
      </c>
      <c r="F540" s="233">
        <f>(E540-E539)/E539</f>
        <v>0.5999000210482005</v>
      </c>
      <c r="G540" s="245">
        <f>SUM(C$535:C540)</f>
        <v>59525</v>
      </c>
      <c r="H540" s="250">
        <f>(G540-G539)/G539</f>
        <v>1.5057882551041886</v>
      </c>
      <c r="I540" s="245">
        <f>G540/33</f>
        <v>1803.7878787878788</v>
      </c>
      <c r="J540" s="251">
        <f t="shared" ref="J540:J558" si="95">(I540-I539)/I539</f>
        <v>0.29086061626579418</v>
      </c>
    </row>
    <row r="541" spans="2:11" s="404" customFormat="1" ht="9.6" customHeight="1">
      <c r="B541" s="243">
        <v>36220</v>
      </c>
      <c r="C541" s="244">
        <v>34817</v>
      </c>
      <c r="D541" s="1142">
        <f>(C541-C540)/C540</f>
        <v>-2.6642437797036622E-2</v>
      </c>
      <c r="E541" s="252">
        <f>C541/22</f>
        <v>1582.590909090909</v>
      </c>
      <c r="F541" s="233">
        <f>(E541-E540)/E540</f>
        <v>-0.29210359112511758</v>
      </c>
      <c r="G541" s="245">
        <f>SUM(C$535:C541)</f>
        <v>94342</v>
      </c>
      <c r="H541" s="250">
        <f>(G541-G540)/G540</f>
        <v>0.58491390172196556</v>
      </c>
      <c r="I541" s="245">
        <f>G541/55</f>
        <v>1715.3090909090909</v>
      </c>
      <c r="J541" s="251">
        <f t="shared" si="95"/>
        <v>-4.9051658966820677E-2</v>
      </c>
    </row>
    <row r="542" spans="2:11" s="404" customFormat="1" ht="9.6" customHeight="1">
      <c r="B542" s="243">
        <v>36251</v>
      </c>
      <c r="C542" s="244">
        <v>56542</v>
      </c>
      <c r="D542" s="1142">
        <f>(C542-C541)/C541</f>
        <v>0.62397679294597463</v>
      </c>
      <c r="E542" s="252">
        <f>C542/22</f>
        <v>2570.090909090909</v>
      </c>
      <c r="F542" s="233">
        <f>(E542-E541)/E541</f>
        <v>0.62397679294597475</v>
      </c>
      <c r="G542" s="245">
        <f>SUM(C$535:C542)</f>
        <v>150884</v>
      </c>
      <c r="H542" s="250">
        <f>(G542-G541)/G541</f>
        <v>0.59933009688155858</v>
      </c>
      <c r="I542" s="245">
        <f>G542/77</f>
        <v>1959.5324675324675</v>
      </c>
      <c r="J542" s="251">
        <f t="shared" si="95"/>
        <v>0.14237864062968475</v>
      </c>
    </row>
    <row r="543" spans="2:11" s="404" customFormat="1" ht="9.6" customHeight="1">
      <c r="B543" s="243">
        <v>36281</v>
      </c>
      <c r="C543" s="244">
        <v>58378</v>
      </c>
      <c r="D543" s="1142">
        <f>(C543-C542)/C542</f>
        <v>3.2471437161755864E-2</v>
      </c>
      <c r="E543" s="252">
        <f>C543/21</f>
        <v>2779.9047619047619</v>
      </c>
      <c r="F543" s="233">
        <f>(E543-E542)/E542</f>
        <v>8.1636743693268093E-2</v>
      </c>
      <c r="G543" s="245">
        <f>SUM(C$535:C543)</f>
        <v>209262</v>
      </c>
      <c r="H543" s="250">
        <f>(G543-G542)/G542</f>
        <v>0.38690649770684765</v>
      </c>
      <c r="I543" s="245">
        <f>G543/98</f>
        <v>2135.3265306122448</v>
      </c>
      <c r="J543" s="251">
        <f t="shared" si="95"/>
        <v>8.9712248198237393E-2</v>
      </c>
    </row>
    <row r="544" spans="2:11" s="404" customFormat="1" ht="9.6" customHeight="1">
      <c r="B544" s="257">
        <v>36312</v>
      </c>
      <c r="C544" s="258">
        <v>46973</v>
      </c>
      <c r="D544" s="1144">
        <v>-0.19536469217856042</v>
      </c>
      <c r="E544" s="252">
        <f>C544/22</f>
        <v>2135.1363636363635</v>
      </c>
      <c r="F544" s="259">
        <v>-0.23193902435226227</v>
      </c>
      <c r="G544" s="245">
        <f>SUM(C$535:C544)</f>
        <v>256235</v>
      </c>
      <c r="H544" s="406">
        <v>0.2244698034043448</v>
      </c>
      <c r="I544" s="245">
        <f>G544/120</f>
        <v>2135.2916666666665</v>
      </c>
      <c r="J544" s="251">
        <f t="shared" si="95"/>
        <v>-1.6327219785122219E-5</v>
      </c>
    </row>
    <row r="545" spans="2:10" s="404" customFormat="1" ht="9.6" customHeight="1">
      <c r="B545" s="243">
        <v>36342</v>
      </c>
      <c r="C545" s="244">
        <v>41173</v>
      </c>
      <c r="D545" s="1142">
        <f t="shared" ref="D545:D559" si="96">(C545-C544)/C544</f>
        <v>-0.12347518787388499</v>
      </c>
      <c r="E545" s="252">
        <f>C545/22</f>
        <v>1871.5</v>
      </c>
      <c r="F545" s="233">
        <f t="shared" ref="F545:F559" si="97">(E545-E544)/E544</f>
        <v>-0.12347518787388495</v>
      </c>
      <c r="G545" s="245">
        <f>SUM(C$535:C545)</f>
        <v>297408</v>
      </c>
      <c r="H545" s="250">
        <f t="shared" ref="H545:H550" si="98">(G545-G544)/G544</f>
        <v>0.16068452787480242</v>
      </c>
      <c r="I545" s="245">
        <f>G545/142</f>
        <v>2094.4225352112676</v>
      </c>
      <c r="J545" s="251">
        <f t="shared" si="95"/>
        <v>-1.913983559875845E-2</v>
      </c>
    </row>
    <row r="546" spans="2:10" s="404" customFormat="1" ht="9.6" customHeight="1">
      <c r="B546" s="243">
        <v>36373</v>
      </c>
      <c r="C546" s="244">
        <v>44288</v>
      </c>
      <c r="D546" s="1142">
        <f t="shared" si="96"/>
        <v>7.5656376751754795E-2</v>
      </c>
      <c r="E546" s="252">
        <f>C546/21</f>
        <v>2108.9523809523807</v>
      </c>
      <c r="F546" s="233">
        <f t="shared" si="97"/>
        <v>0.1268781089780287</v>
      </c>
      <c r="G546" s="245">
        <f>SUM(C$535:C546)</f>
        <v>341696</v>
      </c>
      <c r="H546" s="250">
        <f t="shared" si="98"/>
        <v>0.14891327738325802</v>
      </c>
      <c r="I546" s="245">
        <f>G546/163</f>
        <v>2096.2944785276072</v>
      </c>
      <c r="J546" s="251">
        <f t="shared" si="95"/>
        <v>8.9377538909588417E-4</v>
      </c>
    </row>
    <row r="547" spans="2:10" s="404" customFormat="1" ht="9.6" customHeight="1" ph="1">
      <c r="B547" s="243">
        <v>36404</v>
      </c>
      <c r="C547" s="244">
        <v>29451</v>
      </c>
      <c r="D547" s="1142">
        <f t="shared" si="96"/>
        <v>-0.33501174132947975</v>
      </c>
      <c r="E547" s="252">
        <f>C547/22</f>
        <v>1338.6818181818182</v>
      </c>
      <c r="F547" s="233">
        <f t="shared" si="97"/>
        <v>-0.36523848035995787</v>
      </c>
      <c r="G547" s="245">
        <f>SUM(C$535:C547)</f>
        <v>371147</v>
      </c>
      <c r="H547" s="250">
        <f t="shared" si="98"/>
        <v>8.6190648997939684E-2</v>
      </c>
      <c r="I547" s="245">
        <f>G547/185</f>
        <v>2006.2</v>
      </c>
      <c r="J547" s="251">
        <f t="shared" si="95"/>
        <v>-4.2977968720734137E-2</v>
      </c>
    </row>
    <row r="548" spans="2:10" s="404" customFormat="1" ht="9.6" customHeight="1">
      <c r="B548" s="243">
        <v>36434</v>
      </c>
      <c r="C548" s="244">
        <v>31079</v>
      </c>
      <c r="D548" s="1142">
        <f t="shared" si="96"/>
        <v>5.5278258802757121E-2</v>
      </c>
      <c r="E548" s="252">
        <f>C548/21</f>
        <v>1479.952380952381</v>
      </c>
      <c r="F548" s="233">
        <f t="shared" si="97"/>
        <v>0.10552960446003123</v>
      </c>
      <c r="G548" s="245">
        <f>SUM(C$535:C548)</f>
        <v>402226</v>
      </c>
      <c r="H548" s="250">
        <f t="shared" si="98"/>
        <v>8.3737710395072579E-2</v>
      </c>
      <c r="I548" s="245">
        <f>G548/206</f>
        <v>1952.5533980582525</v>
      </c>
      <c r="J548" s="251">
        <f t="shared" si="95"/>
        <v>-2.6740405713162982E-2</v>
      </c>
    </row>
    <row r="549" spans="2:10" s="404" customFormat="1" ht="9.6" customHeight="1">
      <c r="B549" s="243">
        <v>36465</v>
      </c>
      <c r="C549" s="244">
        <v>17584</v>
      </c>
      <c r="D549" s="1142">
        <f t="shared" si="96"/>
        <v>-0.4342160301167991</v>
      </c>
      <c r="E549" s="252">
        <f>C549/20</f>
        <v>879.2</v>
      </c>
      <c r="F549" s="233">
        <f t="shared" si="97"/>
        <v>-0.40592683162263904</v>
      </c>
      <c r="G549" s="245">
        <f>SUM(C$535:C549)</f>
        <v>419810</v>
      </c>
      <c r="H549" s="250">
        <f t="shared" si="98"/>
        <v>4.3716716472828709E-2</v>
      </c>
      <c r="I549" s="245">
        <f>G549/226</f>
        <v>1857.5663716814158</v>
      </c>
      <c r="J549" s="251">
        <f t="shared" si="95"/>
        <v>-4.8647594719457087E-2</v>
      </c>
    </row>
    <row r="550" spans="2:10" s="404" customFormat="1" ht="9.6" customHeight="1">
      <c r="B550" s="243">
        <v>36495</v>
      </c>
      <c r="C550" s="244">
        <v>16868</v>
      </c>
      <c r="D550" s="1142">
        <f t="shared" si="96"/>
        <v>-4.0718835304822565E-2</v>
      </c>
      <c r="E550" s="252">
        <f>C550/22</f>
        <v>766.72727272727275</v>
      </c>
      <c r="F550" s="233">
        <f t="shared" si="97"/>
        <v>-0.12792621391347508</v>
      </c>
      <c r="G550" s="245">
        <f>SUM(C$535:C550)</f>
        <v>436678</v>
      </c>
      <c r="H550" s="250">
        <f t="shared" si="98"/>
        <v>4.0180081465424837E-2</v>
      </c>
      <c r="I550" s="245">
        <f>G550/248</f>
        <v>1760.7983870967741</v>
      </c>
      <c r="J550" s="251">
        <f t="shared" si="95"/>
        <v>-5.2093958019411211E-2</v>
      </c>
    </row>
    <row r="551" spans="2:10" s="404" customFormat="1" ht="9.6" customHeight="1">
      <c r="B551" s="243">
        <v>36526</v>
      </c>
      <c r="C551" s="244">
        <v>39595</v>
      </c>
      <c r="D551" s="1142">
        <f t="shared" si="96"/>
        <v>1.3473440834716623</v>
      </c>
      <c r="E551" s="252">
        <f>C551/19</f>
        <v>2083.9473684210525</v>
      </c>
      <c r="F551" s="233">
        <f t="shared" si="97"/>
        <v>1.7179773598092929</v>
      </c>
      <c r="G551" s="245">
        <f>SUM(C$551:C551)</f>
        <v>39595</v>
      </c>
      <c r="H551" s="260" t="s">
        <v>31</v>
      </c>
      <c r="I551" s="245">
        <f>G551/19</f>
        <v>2083.9473684210525</v>
      </c>
      <c r="J551" s="261" t="s">
        <v>31</v>
      </c>
    </row>
    <row r="552" spans="2:10" s="404" customFormat="1" ht="9.6" customHeight="1">
      <c r="B552" s="243">
        <v>36557</v>
      </c>
      <c r="C552" s="244">
        <v>29311</v>
      </c>
      <c r="D552" s="1142">
        <f t="shared" si="96"/>
        <v>-0.25972976385907309</v>
      </c>
      <c r="E552" s="252">
        <f>C552/18</f>
        <v>1628.3888888888889</v>
      </c>
      <c r="F552" s="233">
        <f t="shared" si="97"/>
        <v>-0.21860363962902155</v>
      </c>
      <c r="G552" s="245">
        <f>SUM(C$551:C552)</f>
        <v>68906</v>
      </c>
      <c r="H552" s="233">
        <f t="shared" ref="H552:H560" si="99">(G552-G551)/G551</f>
        <v>0.74027023614092691</v>
      </c>
      <c r="I552" s="245">
        <f>G552/37</f>
        <v>1862.3243243243244</v>
      </c>
      <c r="J552" s="251">
        <f>(I552-I551)/I551</f>
        <v>-0.1063477165762807</v>
      </c>
    </row>
    <row r="553" spans="2:10" s="404" customFormat="1" ht="9.6" customHeight="1">
      <c r="B553" s="243">
        <v>36586</v>
      </c>
      <c r="C553" s="244">
        <v>38877</v>
      </c>
      <c r="D553" s="1142">
        <f t="shared" si="96"/>
        <v>0.32636211661151104</v>
      </c>
      <c r="E553" s="252">
        <f>C553/22</f>
        <v>1767.1363636363637</v>
      </c>
      <c r="F553" s="233">
        <f t="shared" si="97"/>
        <v>8.5205368136690898E-2</v>
      </c>
      <c r="G553" s="245">
        <f>SUM(C$551:C553)</f>
        <v>107783</v>
      </c>
      <c r="H553" s="233">
        <f t="shared" si="99"/>
        <v>0.56420340754070764</v>
      </c>
      <c r="I553" s="245">
        <f>G553/59</f>
        <v>1826.8305084745762</v>
      </c>
      <c r="J553" s="251">
        <f>(I553-I552)/I552</f>
        <v>-1.9058880016844453E-2</v>
      </c>
    </row>
    <row r="554" spans="2:10" s="404" customFormat="1" ht="9.6" customHeight="1">
      <c r="B554" s="522">
        <v>36617</v>
      </c>
      <c r="C554" s="407">
        <v>27905</v>
      </c>
      <c r="D554" s="1145">
        <f t="shared" si="96"/>
        <v>-0.28222342258919153</v>
      </c>
      <c r="E554" s="409">
        <f>C554/19</f>
        <v>1468.6842105263158</v>
      </c>
      <c r="F554" s="408">
        <f t="shared" si="97"/>
        <v>-0.16889027878748497</v>
      </c>
      <c r="G554" s="245">
        <f>SUM(C$551:C554)</f>
        <v>135688</v>
      </c>
      <c r="H554" s="408">
        <f t="shared" si="99"/>
        <v>0.25889982650325188</v>
      </c>
      <c r="I554" s="410">
        <f>G554/78</f>
        <v>1739.5897435897436</v>
      </c>
      <c r="J554" s="249">
        <f t="shared" si="95"/>
        <v>-4.7755259439847833E-2</v>
      </c>
    </row>
    <row r="555" spans="2:10" s="404" customFormat="1" ht="9.6" customHeight="1">
      <c r="B555" s="243">
        <v>36647</v>
      </c>
      <c r="C555" s="244">
        <v>32154</v>
      </c>
      <c r="D555" s="1142">
        <f t="shared" si="96"/>
        <v>0.15226661888550438</v>
      </c>
      <c r="E555" s="252">
        <f>C555/21</f>
        <v>1531.1428571428571</v>
      </c>
      <c r="F555" s="233">
        <f t="shared" si="97"/>
        <v>4.2526940896408676E-2</v>
      </c>
      <c r="G555" s="245">
        <f>SUM(C$551:C555)</f>
        <v>167842</v>
      </c>
      <c r="H555" s="233">
        <f t="shared" si="99"/>
        <v>0.2369701078945817</v>
      </c>
      <c r="I555" s="245">
        <f>G555/99</f>
        <v>1695.3737373737374</v>
      </c>
      <c r="J555" s="251">
        <f t="shared" si="95"/>
        <v>-2.5417490749723531E-2</v>
      </c>
    </row>
    <row r="556" spans="2:10" s="404" customFormat="1" ht="9.6" customHeight="1">
      <c r="B556" s="243">
        <v>36678</v>
      </c>
      <c r="C556" s="244">
        <v>35997</v>
      </c>
      <c r="D556" s="1142">
        <f t="shared" si="96"/>
        <v>0.11951856689680911</v>
      </c>
      <c r="E556" s="252">
        <f>C556/21</f>
        <v>1714.1428571428571</v>
      </c>
      <c r="F556" s="233">
        <f t="shared" si="97"/>
        <v>0.11951856689680911</v>
      </c>
      <c r="G556" s="245">
        <f>SUM(C$551:C556)</f>
        <v>203839</v>
      </c>
      <c r="H556" s="233">
        <f t="shared" si="99"/>
        <v>0.21446956065823811</v>
      </c>
      <c r="I556" s="245">
        <f>G556/120</f>
        <v>1698.6583333333333</v>
      </c>
      <c r="J556" s="251">
        <f t="shared" si="95"/>
        <v>1.9373875430463957E-3</v>
      </c>
    </row>
    <row r="557" spans="2:10" s="404" customFormat="1" ht="9.6" customHeight="1">
      <c r="B557" s="243">
        <v>36708</v>
      </c>
      <c r="C557" s="244">
        <v>32968</v>
      </c>
      <c r="D557" s="1142">
        <f t="shared" si="96"/>
        <v>-8.4145901047309499E-2</v>
      </c>
      <c r="E557" s="252">
        <f>C557/21</f>
        <v>1569.9047619047619</v>
      </c>
      <c r="F557" s="233">
        <f t="shared" si="97"/>
        <v>-8.4145901047309471E-2</v>
      </c>
      <c r="G557" s="245">
        <f>SUM(C$551:C557)</f>
        <v>236807</v>
      </c>
      <c r="H557" s="233">
        <f t="shared" si="99"/>
        <v>0.16173548732087578</v>
      </c>
      <c r="I557" s="245">
        <f>G557/141</f>
        <v>1679.4822695035461</v>
      </c>
      <c r="J557" s="251">
        <f t="shared" si="95"/>
        <v>-1.1288946960956728E-2</v>
      </c>
    </row>
    <row r="558" spans="2:10" s="404" customFormat="1" ht="9.6" customHeight="1">
      <c r="B558" s="243">
        <v>36739</v>
      </c>
      <c r="C558" s="244">
        <v>20228</v>
      </c>
      <c r="D558" s="1142">
        <f t="shared" si="96"/>
        <v>-0.3864353312302839</v>
      </c>
      <c r="E558" s="252">
        <f>C558/22</f>
        <v>919.4545454545455</v>
      </c>
      <c r="F558" s="233">
        <f t="shared" si="97"/>
        <v>-0.41432463435618005</v>
      </c>
      <c r="G558" s="245">
        <f>SUM(C$551:C558)</f>
        <v>257035</v>
      </c>
      <c r="H558" s="233">
        <f t="shared" si="99"/>
        <v>8.5419772219571213E-2</v>
      </c>
      <c r="I558" s="245">
        <f>G558/163</f>
        <v>1576.9018404907974</v>
      </c>
      <c r="J558" s="251">
        <f t="shared" si="95"/>
        <v>-6.1078601945033582E-2</v>
      </c>
    </row>
    <row r="559" spans="2:10" s="404" customFormat="1" ht="9.6" customHeight="1">
      <c r="B559" s="243">
        <v>36770</v>
      </c>
      <c r="C559" s="244">
        <v>29259</v>
      </c>
      <c r="D559" s="1142">
        <f t="shared" si="96"/>
        <v>0.44646035198734429</v>
      </c>
      <c r="E559" s="252">
        <f>C559/21</f>
        <v>1393.2857142857142</v>
      </c>
      <c r="F559" s="233">
        <f t="shared" si="97"/>
        <v>0.51533941636769387</v>
      </c>
      <c r="G559" s="245">
        <f>SUM(C$551:C559)</f>
        <v>286294</v>
      </c>
      <c r="H559" s="233">
        <f t="shared" si="99"/>
        <v>0.11383274651312078</v>
      </c>
      <c r="I559" s="245">
        <f>G559/184</f>
        <v>1555.945652173913</v>
      </c>
      <c r="J559" s="251">
        <f>(I559-I558)/I558</f>
        <v>-1.3289469121528832E-2</v>
      </c>
    </row>
    <row r="560" spans="2:10" s="404" customFormat="1" ht="9.6" customHeight="1">
      <c r="B560" s="243">
        <v>36800</v>
      </c>
      <c r="C560" s="244">
        <v>34279</v>
      </c>
      <c r="D560" s="1142">
        <f t="shared" ref="D560:D566" si="100">(C560-C559)/C559</f>
        <v>0.17157114050377661</v>
      </c>
      <c r="E560" s="252">
        <f>C560/21</f>
        <v>1632.3333333333333</v>
      </c>
      <c r="F560" s="233">
        <f t="shared" ref="F560:F566" si="101">(E560-E559)/E559</f>
        <v>0.17157114050377661</v>
      </c>
      <c r="G560" s="245">
        <f>SUM(C$551:C560)</f>
        <v>320573</v>
      </c>
      <c r="H560" s="233">
        <f t="shared" si="99"/>
        <v>0.11973356060553138</v>
      </c>
      <c r="I560" s="245">
        <f>G560/205</f>
        <v>1563.7707317073171</v>
      </c>
      <c r="J560" s="251">
        <f>(I560-I559)/I559</f>
        <v>5.0291470800867127E-3</v>
      </c>
    </row>
    <row r="561" spans="2:10" s="404" customFormat="1" ht="9.6" customHeight="1">
      <c r="B561" s="243">
        <v>36831</v>
      </c>
      <c r="C561" s="244">
        <v>27552</v>
      </c>
      <c r="D561" s="1142">
        <f t="shared" si="100"/>
        <v>-0.19624259750867878</v>
      </c>
      <c r="E561" s="252">
        <f>C561/22</f>
        <v>1252.3636363636363</v>
      </c>
      <c r="F561" s="233">
        <f t="shared" si="101"/>
        <v>-0.23277702489464797</v>
      </c>
      <c r="G561" s="245">
        <f>SUM(C$551:C561)</f>
        <v>348125</v>
      </c>
      <c r="H561" s="233">
        <f>(G561-G560)/G560</f>
        <v>8.5946102759745832E-2</v>
      </c>
      <c r="I561" s="245">
        <f>G561/227</f>
        <v>1533.5903083700441</v>
      </c>
      <c r="J561" s="251">
        <f>(I561-I560)/I560</f>
        <v>-1.9299775040758121E-2</v>
      </c>
    </row>
    <row r="562" spans="2:10" s="404" customFormat="1" ht="9.6" customHeight="1">
      <c r="B562" s="243">
        <v>36861</v>
      </c>
      <c r="C562" s="244">
        <v>18817</v>
      </c>
      <c r="D562" s="1142">
        <f t="shared" si="100"/>
        <v>-0.31703687572590011</v>
      </c>
      <c r="E562" s="252">
        <f>C562/17</f>
        <v>1106.8823529411766</v>
      </c>
      <c r="F562" s="233">
        <f t="shared" si="101"/>
        <v>-0.11616536858645882</v>
      </c>
      <c r="G562" s="245">
        <f>SUM(C$551:C562)</f>
        <v>366942</v>
      </c>
      <c r="H562" s="233">
        <f>(G562-G561)/G561</f>
        <v>5.40524236983842E-2</v>
      </c>
      <c r="I562" s="245">
        <f>G562/244</f>
        <v>1503.860655737705</v>
      </c>
      <c r="J562" s="251">
        <f>(I562-I561)/I561</f>
        <v>-1.9385655001913062E-2</v>
      </c>
    </row>
    <row r="563" spans="2:10" s="404" customFormat="1" ht="9.6" customHeight="1">
      <c r="B563" s="243">
        <v>36892</v>
      </c>
      <c r="C563" s="244">
        <v>22974</v>
      </c>
      <c r="D563" s="1142">
        <f t="shared" si="100"/>
        <v>0.22091725567306159</v>
      </c>
      <c r="E563" s="252">
        <f>C563/19</f>
        <v>1209.1578947368421</v>
      </c>
      <c r="F563" s="233">
        <f t="shared" si="101"/>
        <v>9.2399649812739196E-2</v>
      </c>
      <c r="G563" s="245">
        <f>SUM(C$563:C563)</f>
        <v>22974</v>
      </c>
      <c r="H563" s="458" t="s">
        <v>31</v>
      </c>
      <c r="I563" s="245">
        <f>G563/19</f>
        <v>1209.1578947368421</v>
      </c>
      <c r="J563" s="261" t="s">
        <v>31</v>
      </c>
    </row>
    <row r="564" spans="2:10" s="404" customFormat="1" ht="9.6" customHeight="1">
      <c r="B564" s="243">
        <v>36923</v>
      </c>
      <c r="C564" s="244">
        <v>22076</v>
      </c>
      <c r="D564" s="1142">
        <f t="shared" si="100"/>
        <v>-3.9087664316183511E-2</v>
      </c>
      <c r="E564" s="252">
        <f>C564/19</f>
        <v>1161.8947368421052</v>
      </c>
      <c r="F564" s="233">
        <f t="shared" si="101"/>
        <v>-3.9087664316183539E-2</v>
      </c>
      <c r="G564" s="245">
        <f>SUM(C$563:C564)</f>
        <v>45050</v>
      </c>
      <c r="H564" s="233">
        <f t="shared" ref="H564:H569" si="102">(G564-G563)/G563</f>
        <v>0.96091233568381651</v>
      </c>
      <c r="I564" s="245">
        <f>G564/38</f>
        <v>1185.5263157894738</v>
      </c>
      <c r="J564" s="251">
        <f>(I564-I563)/I563</f>
        <v>-1.9543832158091676E-2</v>
      </c>
    </row>
    <row r="565" spans="2:10" s="404" customFormat="1" ht="9.6" customHeight="1">
      <c r="B565" s="243">
        <v>36951</v>
      </c>
      <c r="C565" s="244">
        <v>20961</v>
      </c>
      <c r="D565" s="1142">
        <f t="shared" si="100"/>
        <v>-5.0507338285921362E-2</v>
      </c>
      <c r="E565" s="252">
        <f>C565/20</f>
        <v>1048.05</v>
      </c>
      <c r="F565" s="233">
        <f t="shared" si="101"/>
        <v>-9.7981971371625287E-2</v>
      </c>
      <c r="G565" s="245">
        <f>SUM(C$563:C565)</f>
        <v>66011</v>
      </c>
      <c r="H565" s="233">
        <f t="shared" si="102"/>
        <v>0.4652830188679245</v>
      </c>
      <c r="I565" s="245">
        <f>G565/58</f>
        <v>1138.1206896551723</v>
      </c>
      <c r="J565" s="251">
        <f t="shared" ref="J565:J570" si="103">(I565-I564)/I564</f>
        <v>-3.9986987638256477E-2</v>
      </c>
    </row>
    <row r="566" spans="2:10" s="404" customFormat="1" ht="9.6" customHeight="1">
      <c r="B566" s="243">
        <v>36982</v>
      </c>
      <c r="C566" s="244">
        <v>36447</v>
      </c>
      <c r="D566" s="1142">
        <f t="shared" si="100"/>
        <v>0.73880062974094751</v>
      </c>
      <c r="E566" s="252">
        <f>C566/21</f>
        <v>1735.5714285714287</v>
      </c>
      <c r="F566" s="233">
        <f t="shared" si="101"/>
        <v>0.65600059975328351</v>
      </c>
      <c r="G566" s="245">
        <f>SUM(C$563:C566)</f>
        <v>102458</v>
      </c>
      <c r="H566" s="233">
        <f t="shared" si="102"/>
        <v>0.55213525018557508</v>
      </c>
      <c r="I566" s="245">
        <f>G566/79</f>
        <v>1296.9367088607594</v>
      </c>
      <c r="J566" s="251">
        <f t="shared" si="103"/>
        <v>0.139542335579283</v>
      </c>
    </row>
    <row r="567" spans="2:10" s="404" customFormat="1" ht="9.6" customHeight="1">
      <c r="B567" s="243">
        <v>37012</v>
      </c>
      <c r="C567" s="244">
        <v>26089</v>
      </c>
      <c r="D567" s="1142">
        <f t="shared" ref="D567:D572" si="104">(C567-C566)/C566</f>
        <v>-0.28419348643235381</v>
      </c>
      <c r="E567" s="252">
        <f>C567/21</f>
        <v>1242.3333333333333</v>
      </c>
      <c r="F567" s="233">
        <f t="shared" ref="F567:F572" si="105">(E567-E566)/E566</f>
        <v>-0.28419348643235393</v>
      </c>
      <c r="G567" s="245">
        <f>SUM(C$563:C567)</f>
        <v>128547</v>
      </c>
      <c r="H567" s="233">
        <f t="shared" si="102"/>
        <v>0.25463116594116614</v>
      </c>
      <c r="I567" s="245">
        <f>G567/100</f>
        <v>1285.47</v>
      </c>
      <c r="J567" s="251">
        <f t="shared" si="103"/>
        <v>-8.841378906478646E-3</v>
      </c>
    </row>
    <row r="568" spans="2:10" s="404" customFormat="1" ht="9.6" customHeight="1">
      <c r="B568" s="243">
        <v>37043</v>
      </c>
      <c r="C568" s="244">
        <v>19693</v>
      </c>
      <c r="D568" s="1142">
        <f t="shared" si="104"/>
        <v>-0.24516079573766722</v>
      </c>
      <c r="E568" s="252">
        <f>C568/20</f>
        <v>984.65</v>
      </c>
      <c r="F568" s="233">
        <f t="shared" si="105"/>
        <v>-0.20741883552455054</v>
      </c>
      <c r="G568" s="245">
        <f>SUM(C$563:C568)</f>
        <v>148240</v>
      </c>
      <c r="H568" s="233">
        <f t="shared" si="102"/>
        <v>0.15319688518596311</v>
      </c>
      <c r="I568" s="245">
        <f>G568/120</f>
        <v>1235.3333333333333</v>
      </c>
      <c r="J568" s="251">
        <f t="shared" si="103"/>
        <v>-3.9002595678364151E-2</v>
      </c>
    </row>
    <row r="569" spans="2:10" s="404" customFormat="1" ht="9.6" customHeight="1">
      <c r="B569" s="582">
        <v>37073</v>
      </c>
      <c r="C569" s="578">
        <v>28487</v>
      </c>
      <c r="D569" s="1159">
        <f t="shared" si="104"/>
        <v>0.44655461331437568</v>
      </c>
      <c r="E569" s="519">
        <f>C569/22</f>
        <v>1294.8636363636363</v>
      </c>
      <c r="F569" s="579">
        <f t="shared" si="105"/>
        <v>0.31504964846761419</v>
      </c>
      <c r="G569" s="534">
        <f>SUM(C$563:C569)</f>
        <v>176727</v>
      </c>
      <c r="H569" s="579">
        <f t="shared" si="102"/>
        <v>0.19216810577441987</v>
      </c>
      <c r="I569" s="520">
        <f>G569/142</f>
        <v>1244.556338028169</v>
      </c>
      <c r="J569" s="580">
        <f t="shared" si="103"/>
        <v>7.4660048797914533E-3</v>
      </c>
    </row>
    <row r="570" spans="2:10" s="404" customFormat="1" ht="9.6" customHeight="1">
      <c r="B570" s="257">
        <v>37104</v>
      </c>
      <c r="C570" s="258">
        <v>21717</v>
      </c>
      <c r="D570" s="1144">
        <f t="shared" si="104"/>
        <v>-0.23765226243549689</v>
      </c>
      <c r="E570" s="519">
        <f>C570/22</f>
        <v>987.13636363636363</v>
      </c>
      <c r="F570" s="259">
        <f t="shared" si="105"/>
        <v>-0.23765226243549684</v>
      </c>
      <c r="G570" s="520">
        <f>SUM(C$563:C570)</f>
        <v>198444</v>
      </c>
      <c r="H570" s="259">
        <f>(G570-G569)/G569</f>
        <v>0.12288444889575446</v>
      </c>
      <c r="I570" s="520">
        <f>G570/164</f>
        <v>1210.0243902439024</v>
      </c>
      <c r="J570" s="521">
        <f t="shared" si="103"/>
        <v>-2.7746391809773549E-2</v>
      </c>
    </row>
    <row r="571" spans="2:10" s="404" customFormat="1" ht="9.6" customHeight="1">
      <c r="B571" s="257">
        <v>37135</v>
      </c>
      <c r="C571" s="258">
        <v>28940</v>
      </c>
      <c r="D571" s="1144">
        <f t="shared" si="104"/>
        <v>0.33259658332182163</v>
      </c>
      <c r="E571" s="519">
        <f>C571/19</f>
        <v>1523.1578947368421</v>
      </c>
      <c r="F571" s="259">
        <f t="shared" si="105"/>
        <v>0.54300657016210918</v>
      </c>
      <c r="G571" s="520">
        <f>SUM(C$563:C571)</f>
        <v>227384</v>
      </c>
      <c r="H571" s="259">
        <f>(G571-G570)/G570</f>
        <v>0.14583459313458708</v>
      </c>
      <c r="I571" s="520">
        <f>G571/183</f>
        <v>1242.5355191256831</v>
      </c>
      <c r="J571" s="521">
        <f>(I571-I570)/I570</f>
        <v>2.6868159967608149E-2</v>
      </c>
    </row>
    <row r="572" spans="2:10" s="404" customFormat="1" ht="9.6" customHeight="1">
      <c r="B572" s="257">
        <v>37165</v>
      </c>
      <c r="C572" s="258">
        <v>19939</v>
      </c>
      <c r="D572" s="1144">
        <f t="shared" si="104"/>
        <v>-0.31102280580511404</v>
      </c>
      <c r="E572" s="519">
        <f>C572/23</f>
        <v>866.91304347826087</v>
      </c>
      <c r="F572" s="259">
        <f t="shared" si="105"/>
        <v>-0.43084492653465939</v>
      </c>
      <c r="G572" s="520">
        <f>SUM(C$563:C572)</f>
        <v>247323</v>
      </c>
      <c r="H572" s="259">
        <f>(G572-G571)/G571</f>
        <v>8.7688667628329164E-2</v>
      </c>
      <c r="I572" s="520">
        <f>G572/206</f>
        <v>1200.5970873786407</v>
      </c>
      <c r="J572" s="521">
        <f>(I572-I571)/I571</f>
        <v>-3.3752300116581452E-2</v>
      </c>
    </row>
    <row r="573" spans="2:10" s="404" customFormat="1" ht="9.6" customHeight="1">
      <c r="B573" s="243">
        <v>37196</v>
      </c>
      <c r="C573" s="244">
        <v>23097</v>
      </c>
      <c r="D573" s="1142">
        <f t="shared" ref="D573:D578" si="106">(C573-C572)/C572</f>
        <v>0.15838306835849342</v>
      </c>
      <c r="E573" s="252">
        <f>C573/20</f>
        <v>1154.8499999999999</v>
      </c>
      <c r="F573" s="233">
        <f t="shared" ref="F573:F578" si="107">(E573-E572)/E572</f>
        <v>0.33214052861226728</v>
      </c>
      <c r="G573" s="245">
        <f>SUM(C$563:C573)</f>
        <v>270420</v>
      </c>
      <c r="H573" s="233">
        <f>(G573-G572)/G572</f>
        <v>9.3387998689972218E-2</v>
      </c>
      <c r="I573" s="245">
        <f>G573/226</f>
        <v>1196.5486725663716</v>
      </c>
      <c r="J573" s="251">
        <f>(I573-I572)/I572</f>
        <v>-3.3720011940961444E-3</v>
      </c>
    </row>
    <row r="574" spans="2:10" s="404" customFormat="1" ht="9.6" customHeight="1">
      <c r="B574" s="257">
        <v>37226</v>
      </c>
      <c r="C574" s="258">
        <v>17108</v>
      </c>
      <c r="D574" s="1144">
        <f t="shared" si="106"/>
        <v>-0.259297744295796</v>
      </c>
      <c r="E574" s="519">
        <f>C574/17</f>
        <v>1006.3529411764706</v>
      </c>
      <c r="F574" s="259">
        <f t="shared" si="107"/>
        <v>-0.12858558152446578</v>
      </c>
      <c r="G574" s="520">
        <f>SUM(C$563:C574)</f>
        <v>287528</v>
      </c>
      <c r="H574" s="259">
        <f>(G574-G573)/G573</f>
        <v>6.3264551438503069E-2</v>
      </c>
      <c r="I574" s="520">
        <f>G574/243</f>
        <v>1183.2427983539094</v>
      </c>
      <c r="J574" s="521">
        <f>(I574-I573)/I573</f>
        <v>-1.112021141933457E-2</v>
      </c>
    </row>
    <row r="575" spans="2:10" s="404" customFormat="1" ht="9.6" customHeight="1">
      <c r="B575" s="257">
        <v>37257</v>
      </c>
      <c r="C575" s="258">
        <v>20037</v>
      </c>
      <c r="D575" s="1144">
        <f t="shared" si="106"/>
        <v>0.17120645312134675</v>
      </c>
      <c r="E575" s="519">
        <f>C575/22</f>
        <v>910.77272727272725</v>
      </c>
      <c r="F575" s="259">
        <f t="shared" si="107"/>
        <v>-9.4976831678959373E-2</v>
      </c>
      <c r="G575" s="520">
        <f>SUM(C575)</f>
        <v>20037</v>
      </c>
      <c r="H575" s="675" t="s">
        <v>31</v>
      </c>
      <c r="I575" s="520">
        <f>G575/22</f>
        <v>910.77272727272725</v>
      </c>
      <c r="J575" s="684" t="s">
        <v>31</v>
      </c>
    </row>
    <row r="576" spans="2:10" s="404" customFormat="1" ht="9.6" customHeight="1">
      <c r="B576" s="257">
        <v>37288</v>
      </c>
      <c r="C576" s="258">
        <v>16320</v>
      </c>
      <c r="D576" s="1144">
        <f t="shared" si="106"/>
        <v>-0.18550681239706543</v>
      </c>
      <c r="E576" s="519">
        <f>C576/16</f>
        <v>1020</v>
      </c>
      <c r="F576" s="259">
        <f t="shared" si="107"/>
        <v>0.11992813295403507</v>
      </c>
      <c r="G576" s="520">
        <f>SUM(C$575:C576)</f>
        <v>36357</v>
      </c>
      <c r="H576" s="259">
        <f t="shared" ref="H576:H581" si="108">(G576-G575)/G575</f>
        <v>0.81449318760293454</v>
      </c>
      <c r="I576" s="520">
        <f>G576/38</f>
        <v>956.76315789473688</v>
      </c>
      <c r="J576" s="521">
        <f t="shared" ref="J576:J581" si="109">(I576-I575)/I575</f>
        <v>5.0496055980646395E-2</v>
      </c>
    </row>
    <row r="577" spans="2:10" s="404" customFormat="1" ht="9.6" customHeight="1">
      <c r="B577" s="257">
        <v>37316</v>
      </c>
      <c r="C577" s="258">
        <v>20429</v>
      </c>
      <c r="D577" s="1144">
        <f t="shared" si="106"/>
        <v>0.25177696078431372</v>
      </c>
      <c r="E577" s="519">
        <f>C577/20</f>
        <v>1021.45</v>
      </c>
      <c r="F577" s="259">
        <f t="shared" si="107"/>
        <v>1.421568627451025E-3</v>
      </c>
      <c r="G577" s="520">
        <f>SUM(C$575:C577)</f>
        <v>56786</v>
      </c>
      <c r="H577" s="259">
        <f t="shared" si="108"/>
        <v>0.56190004675853344</v>
      </c>
      <c r="I577" s="520">
        <f>G577/58</f>
        <v>979.06896551724139</v>
      </c>
      <c r="J577" s="521">
        <f t="shared" si="109"/>
        <v>2.3313823738349469E-2</v>
      </c>
    </row>
    <row r="578" spans="2:10" s="404" customFormat="1" ht="9.6" customHeight="1">
      <c r="B578" s="257">
        <v>37347</v>
      </c>
      <c r="C578" s="258">
        <v>22848</v>
      </c>
      <c r="D578" s="1144">
        <f t="shared" si="106"/>
        <v>0.11841010328454647</v>
      </c>
      <c r="E578" s="519">
        <f>C578/21</f>
        <v>1088</v>
      </c>
      <c r="F578" s="259">
        <f t="shared" si="107"/>
        <v>6.5152479318615647E-2</v>
      </c>
      <c r="G578" s="520">
        <f>SUM(C$575:C578)</f>
        <v>79634</v>
      </c>
      <c r="H578" s="259">
        <f t="shared" si="108"/>
        <v>0.40235269256506884</v>
      </c>
      <c r="I578" s="520">
        <f>G578/79</f>
        <v>1008.0253164556962</v>
      </c>
      <c r="J578" s="521">
        <f t="shared" si="109"/>
        <v>2.9575394541442892E-2</v>
      </c>
    </row>
    <row r="579" spans="2:10" s="404" customFormat="1" ht="9.6" customHeight="1" ph="1">
      <c r="B579" s="257">
        <v>37377</v>
      </c>
      <c r="C579" s="258">
        <v>18316</v>
      </c>
      <c r="D579" s="1144">
        <f t="shared" ref="D579:D584" si="110">(C579-C578)/C578</f>
        <v>-0.19835434173669467</v>
      </c>
      <c r="E579" s="519">
        <f>C579/21</f>
        <v>872.19047619047615</v>
      </c>
      <c r="F579" s="259">
        <f t="shared" ref="F579:F584" si="111">(E579-E578)/E578</f>
        <v>-0.19835434173669472</v>
      </c>
      <c r="G579" s="520">
        <f>SUM(C$575:C579)</f>
        <v>97950</v>
      </c>
      <c r="H579" s="259">
        <f t="shared" si="108"/>
        <v>0.23000226034106036</v>
      </c>
      <c r="I579" s="520">
        <f>G579/100</f>
        <v>979.5</v>
      </c>
      <c r="J579" s="521">
        <f t="shared" si="109"/>
        <v>-2.8298214330562278E-2</v>
      </c>
    </row>
    <row r="580" spans="2:10" s="404" customFormat="1" ht="9.6" customHeight="1">
      <c r="B580" s="257">
        <v>37408</v>
      </c>
      <c r="C580" s="258">
        <v>19155</v>
      </c>
      <c r="D580" s="1144">
        <f t="shared" si="110"/>
        <v>4.5806944747761522E-2</v>
      </c>
      <c r="E580" s="519">
        <f>C580/21</f>
        <v>912.14285714285711</v>
      </c>
      <c r="F580" s="259">
        <f t="shared" si="111"/>
        <v>4.5806944747761535E-2</v>
      </c>
      <c r="G580" s="520">
        <f>SUM(C$575:C580)</f>
        <v>117105</v>
      </c>
      <c r="H580" s="259">
        <f t="shared" si="108"/>
        <v>0.19555895865237366</v>
      </c>
      <c r="I580" s="520">
        <f>G580/120</f>
        <v>975.875</v>
      </c>
      <c r="J580" s="521">
        <f t="shared" si="109"/>
        <v>-3.7008677896886166E-3</v>
      </c>
    </row>
    <row r="581" spans="2:10" s="404" customFormat="1" ht="9.6" customHeight="1">
      <c r="B581" s="257">
        <v>37438</v>
      </c>
      <c r="C581" s="258">
        <v>24752</v>
      </c>
      <c r="D581" s="1144">
        <f t="shared" si="110"/>
        <v>0.29219524928217178</v>
      </c>
      <c r="E581" s="519">
        <f>C581/23</f>
        <v>1076.1739130434783</v>
      </c>
      <c r="F581" s="259">
        <f t="shared" si="111"/>
        <v>0.17983044499676554</v>
      </c>
      <c r="G581" s="520">
        <f>SUM(C$575:C581)</f>
        <v>141857</v>
      </c>
      <c r="H581" s="259">
        <f t="shared" si="108"/>
        <v>0.21136586823790615</v>
      </c>
      <c r="I581" s="520">
        <f>G581/143</f>
        <v>992.00699300699296</v>
      </c>
      <c r="J581" s="521">
        <f t="shared" si="109"/>
        <v>1.6530798521319796E-2</v>
      </c>
    </row>
    <row r="582" spans="2:10" s="404" customFormat="1" ht="9.6" customHeight="1">
      <c r="B582" s="257">
        <v>37469</v>
      </c>
      <c r="C582" s="258">
        <v>16817</v>
      </c>
      <c r="D582" s="1144">
        <f t="shared" si="110"/>
        <v>-0.3205801551389787</v>
      </c>
      <c r="E582" s="519">
        <f>C582/22</f>
        <v>764.40909090909088</v>
      </c>
      <c r="F582" s="259">
        <f t="shared" si="111"/>
        <v>-0.28969743491802319</v>
      </c>
      <c r="G582" s="520">
        <f>SUM(C$575:C582)</f>
        <v>158674</v>
      </c>
      <c r="H582" s="259">
        <f>(G582-G581)/G581</f>
        <v>0.11854896127790662</v>
      </c>
      <c r="I582" s="520">
        <f>G582/165</f>
        <v>961.66060606060603</v>
      </c>
      <c r="J582" s="521">
        <f>(I582-I581)/I581</f>
        <v>-3.0590900225814243E-2</v>
      </c>
    </row>
    <row r="583" spans="2:10" s="404" customFormat="1" ht="9.6" customHeight="1">
      <c r="B583" s="257">
        <v>37500</v>
      </c>
      <c r="C583" s="258">
        <v>24506</v>
      </c>
      <c r="D583" s="1144">
        <f t="shared" si="110"/>
        <v>0.45721591246952487</v>
      </c>
      <c r="E583" s="519">
        <f>C583/21</f>
        <v>1166.952380952381</v>
      </c>
      <c r="F583" s="259">
        <f t="shared" si="111"/>
        <v>0.52660714639664519</v>
      </c>
      <c r="G583" s="520">
        <f>SUM(C$575:C583)</f>
        <v>183180</v>
      </c>
      <c r="H583" s="259">
        <f>(G583-G582)/G582</f>
        <v>0.15444244173588614</v>
      </c>
      <c r="I583" s="520">
        <f>G583/186</f>
        <v>984.83870967741939</v>
      </c>
      <c r="J583" s="521">
        <f>(I583-I582)/I582</f>
        <v>2.410216605602811E-2</v>
      </c>
    </row>
    <row r="584" spans="2:10" s="404" customFormat="1" ht="9.6" customHeight="1">
      <c r="B584" s="257">
        <v>37530</v>
      </c>
      <c r="C584" s="258">
        <v>24779</v>
      </c>
      <c r="D584" s="1144">
        <f t="shared" si="110"/>
        <v>1.1140128948012732E-2</v>
      </c>
      <c r="E584" s="519">
        <f>C584/23</f>
        <v>1077.3478260869565</v>
      </c>
      <c r="F584" s="259">
        <f t="shared" si="111"/>
        <v>-7.6785099656162314E-2</v>
      </c>
      <c r="G584" s="520">
        <f>SUM(C$575:C584)</f>
        <v>207959</v>
      </c>
      <c r="H584" s="259">
        <f>(G584-G583)/G583</f>
        <v>0.13527131782945737</v>
      </c>
      <c r="I584" s="520">
        <f>G584/209</f>
        <v>995.01913875598086</v>
      </c>
      <c r="J584" s="521">
        <f>(I584-I583)/I583</f>
        <v>1.0337153666406999E-2</v>
      </c>
    </row>
    <row r="585" spans="2:10" s="404" customFormat="1" ht="9.6" customHeight="1">
      <c r="B585" s="257">
        <v>37561</v>
      </c>
      <c r="C585" s="258">
        <v>15373</v>
      </c>
      <c r="D585" s="1144">
        <f t="shared" ref="D585:D590" si="112">(C585-C584)/C584</f>
        <v>-0.37959562532789864</v>
      </c>
      <c r="E585" s="519">
        <f>C585/20</f>
        <v>768.65</v>
      </c>
      <c r="F585" s="259">
        <f t="shared" ref="F585:F590" si="113">(E585-E584)/E584</f>
        <v>-0.28653496912708343</v>
      </c>
      <c r="G585" s="520">
        <f>SUM(C$575:C585)</f>
        <v>223332</v>
      </c>
      <c r="H585" s="259">
        <f>(G585-G584)/G584</f>
        <v>7.3923225251131236E-2</v>
      </c>
      <c r="I585" s="520">
        <f>G585/229</f>
        <v>975.24890829694323</v>
      </c>
      <c r="J585" s="521">
        <f>(I585-I584)/I584</f>
        <v>-1.9869196168181544E-2</v>
      </c>
    </row>
    <row r="586" spans="2:10" s="404" customFormat="1" ht="9.6" customHeight="1">
      <c r="B586" s="257">
        <v>37591</v>
      </c>
      <c r="C586" s="258">
        <v>10531</v>
      </c>
      <c r="D586" s="1144">
        <f t="shared" si="112"/>
        <v>-0.31496780068952057</v>
      </c>
      <c r="E586" s="519">
        <f>C586/19</f>
        <v>554.26315789473688</v>
      </c>
      <c r="F586" s="259">
        <f t="shared" si="113"/>
        <v>-0.27891347441002162</v>
      </c>
      <c r="G586" s="520">
        <f>SUM(C$575:C586)</f>
        <v>233863</v>
      </c>
      <c r="H586" s="259">
        <f>(G586-G585)/G585</f>
        <v>4.7154012859778265E-2</v>
      </c>
      <c r="I586" s="520">
        <f>G586/248</f>
        <v>942.99596774193549</v>
      </c>
      <c r="J586" s="521">
        <f>(I586-I585)/I585</f>
        <v>-3.3071496189962801E-2</v>
      </c>
    </row>
    <row r="587" spans="2:10" s="404" customFormat="1" ht="9.6" customHeight="1">
      <c r="B587" s="257">
        <v>37622</v>
      </c>
      <c r="C587" s="258">
        <v>19633</v>
      </c>
      <c r="D587" s="1144">
        <f t="shared" si="112"/>
        <v>0.86430538410407365</v>
      </c>
      <c r="E587" s="519">
        <f>C587/21</f>
        <v>934.90476190476193</v>
      </c>
      <c r="F587" s="259">
        <f t="shared" si="113"/>
        <v>0.68675249037987607</v>
      </c>
      <c r="G587" s="520">
        <f>SUM(C$587:C587)</f>
        <v>19633</v>
      </c>
      <c r="H587" s="675" t="s">
        <v>31</v>
      </c>
      <c r="I587" s="520">
        <f>G587/21</f>
        <v>934.90476190476193</v>
      </c>
      <c r="J587" s="521" t="s">
        <v>31</v>
      </c>
    </row>
    <row r="588" spans="2:10" s="404" customFormat="1" ht="9.6" customHeight="1">
      <c r="B588" s="257">
        <v>37653</v>
      </c>
      <c r="C588" s="258">
        <v>12296</v>
      </c>
      <c r="D588" s="1144">
        <f t="shared" si="112"/>
        <v>-0.37370753323485967</v>
      </c>
      <c r="E588" s="519">
        <f>C588/17</f>
        <v>723.29411764705878</v>
      </c>
      <c r="F588" s="259">
        <f t="shared" si="113"/>
        <v>-0.22634459987835612</v>
      </c>
      <c r="G588" s="520">
        <f>SUM(C$587:C588)</f>
        <v>31929</v>
      </c>
      <c r="H588" s="259">
        <f t="shared" ref="H588:H593" si="114">(G588-G587)/G587</f>
        <v>0.62629246676514028</v>
      </c>
      <c r="I588" s="520">
        <f>G588/38</f>
        <v>840.23684210526312</v>
      </c>
      <c r="J588" s="521">
        <f t="shared" ref="J588:J593" si="115">(I588-I587)/I587</f>
        <v>-0.10125942626136988</v>
      </c>
    </row>
    <row r="589" spans="2:10" s="404" customFormat="1" ht="9.6" customHeight="1">
      <c r="B589" s="257">
        <v>37681</v>
      </c>
      <c r="C589" s="258">
        <v>14720</v>
      </c>
      <c r="D589" s="1144">
        <f t="shared" si="112"/>
        <v>0.19713728041639558</v>
      </c>
      <c r="E589" s="519">
        <f>C589/20</f>
        <v>736</v>
      </c>
      <c r="F589" s="259">
        <f t="shared" si="113"/>
        <v>1.7566688353936297E-2</v>
      </c>
      <c r="G589" s="520">
        <f>SUM(C$587:C589)</f>
        <v>46649</v>
      </c>
      <c r="H589" s="259">
        <f t="shared" si="114"/>
        <v>0.4610228945472768</v>
      </c>
      <c r="I589" s="520">
        <f>G589/58</f>
        <v>804.29310344827582</v>
      </c>
      <c r="J589" s="521">
        <f t="shared" si="115"/>
        <v>-4.2778103572473858E-2</v>
      </c>
    </row>
    <row r="590" spans="2:10" s="404" customFormat="1" ht="9.6" customHeight="1">
      <c r="B590" s="257">
        <v>37712</v>
      </c>
      <c r="C590" s="258">
        <v>14493</v>
      </c>
      <c r="D590" s="1144">
        <f t="shared" si="112"/>
        <v>-1.5421195652173912E-2</v>
      </c>
      <c r="E590" s="519">
        <f>C590/22</f>
        <v>658.77272727272725</v>
      </c>
      <c r="F590" s="259">
        <f t="shared" si="113"/>
        <v>-0.10492835968379449</v>
      </c>
      <c r="G590" s="520">
        <f>SUM(C$587:C590)</f>
        <v>61142</v>
      </c>
      <c r="H590" s="259">
        <f t="shared" si="114"/>
        <v>0.31068190100538062</v>
      </c>
      <c r="I590" s="520">
        <f>G590/80</f>
        <v>764.27499999999998</v>
      </c>
      <c r="J590" s="521">
        <f t="shared" si="115"/>
        <v>-4.9755621771099032E-2</v>
      </c>
    </row>
    <row r="591" spans="2:10" s="404" customFormat="1" ht="9.6" customHeight="1">
      <c r="B591" s="257">
        <v>37742</v>
      </c>
      <c r="C591" s="258">
        <v>14521</v>
      </c>
      <c r="D591" s="1144">
        <f t="shared" ref="D591:D596" si="116">(C591-C590)/C590</f>
        <v>1.9319671565583385E-3</v>
      </c>
      <c r="E591" s="519">
        <f>C591/19</f>
        <v>764.26315789473688</v>
      </c>
      <c r="F591" s="259">
        <f t="shared" ref="F591:F596" si="117">(E591-E590)/E590</f>
        <v>0.16013175144443606</v>
      </c>
      <c r="G591" s="520">
        <f>SUM(C$587:C591)</f>
        <v>75663</v>
      </c>
      <c r="H591" s="259">
        <f t="shared" si="114"/>
        <v>0.23749632004186974</v>
      </c>
      <c r="I591" s="520">
        <f>G591/99</f>
        <v>764.27272727272725</v>
      </c>
      <c r="J591" s="521">
        <f t="shared" si="115"/>
        <v>-2.9737035395966189E-6</v>
      </c>
    </row>
    <row r="592" spans="2:10" s="404" customFormat="1" ht="9.6" customHeight="1">
      <c r="B592" s="257">
        <v>37773</v>
      </c>
      <c r="C592" s="258">
        <v>21750</v>
      </c>
      <c r="D592" s="1144">
        <f t="shared" si="116"/>
        <v>0.4978307279113009</v>
      </c>
      <c r="E592" s="519">
        <f>C592/21</f>
        <v>1035.7142857142858</v>
      </c>
      <c r="F592" s="259">
        <f t="shared" si="117"/>
        <v>0.3551801823959389</v>
      </c>
      <c r="G592" s="520">
        <f>SUM(C$587:C592)</f>
        <v>97413</v>
      </c>
      <c r="H592" s="259">
        <f t="shared" si="114"/>
        <v>0.28745886364537487</v>
      </c>
      <c r="I592" s="520">
        <f>G592/120</f>
        <v>811.77499999999998</v>
      </c>
      <c r="J592" s="521">
        <f t="shared" si="115"/>
        <v>6.2153562507434278E-2</v>
      </c>
    </row>
    <row r="593" spans="2:11" s="404" customFormat="1" ht="9.6" customHeight="1">
      <c r="B593" s="257">
        <v>37803</v>
      </c>
      <c r="C593" s="258">
        <v>29007</v>
      </c>
      <c r="D593" s="1144">
        <f t="shared" si="116"/>
        <v>0.33365517241379311</v>
      </c>
      <c r="E593" s="519">
        <f>C593/23</f>
        <v>1261.1739130434783</v>
      </c>
      <c r="F593" s="259">
        <f t="shared" si="117"/>
        <v>0.21768515742128927</v>
      </c>
      <c r="G593" s="520">
        <f>SUM(C$587:C593)</f>
        <v>126420</v>
      </c>
      <c r="H593" s="259">
        <f t="shared" si="114"/>
        <v>0.29777339780111484</v>
      </c>
      <c r="I593" s="520">
        <f>G593/143</f>
        <v>884.05594405594411</v>
      </c>
      <c r="J593" s="521">
        <f t="shared" si="115"/>
        <v>8.904061353939717E-2</v>
      </c>
    </row>
    <row r="594" spans="2:11" s="404" customFormat="1" ht="9.6" customHeight="1">
      <c r="B594" s="257">
        <v>37834</v>
      </c>
      <c r="C594" s="258">
        <v>21560</v>
      </c>
      <c r="D594" s="1144">
        <f t="shared" si="116"/>
        <v>-0.25673113386423968</v>
      </c>
      <c r="E594" s="519">
        <f>C594/21</f>
        <v>1026.6666666666667</v>
      </c>
      <c r="F594" s="259">
        <f t="shared" si="117"/>
        <v>-0.18594362280369101</v>
      </c>
      <c r="G594" s="520">
        <f>SUM(C$587:C594)</f>
        <v>147980</v>
      </c>
      <c r="H594" s="259">
        <f>(G594-G593)/G593</f>
        <v>0.17054263565891473</v>
      </c>
      <c r="I594" s="520">
        <f>G594/164</f>
        <v>902.31707317073176</v>
      </c>
      <c r="J594" s="521">
        <f>(I594-I593)/I593</f>
        <v>2.0656078653809792E-2</v>
      </c>
    </row>
    <row r="595" spans="2:11" s="404" customFormat="1" ht="9.6" customHeight="1">
      <c r="B595" s="257">
        <v>37865</v>
      </c>
      <c r="C595" s="258">
        <v>29605</v>
      </c>
      <c r="D595" s="1144">
        <f t="shared" si="116"/>
        <v>0.37314471243042674</v>
      </c>
      <c r="E595" s="519">
        <f>C595/21</f>
        <v>1409.7619047619048</v>
      </c>
      <c r="F595" s="259">
        <f t="shared" si="117"/>
        <v>0.37314471243042668</v>
      </c>
      <c r="G595" s="520">
        <f>SUM(C$587:C595)</f>
        <v>177585</v>
      </c>
      <c r="H595" s="259">
        <f>(G595-G594)/G594</f>
        <v>0.2000608190295986</v>
      </c>
      <c r="I595" s="520">
        <f>G595/185</f>
        <v>959.91891891891896</v>
      </c>
      <c r="J595" s="521">
        <f>(I595-I594)/I594</f>
        <v>6.3837699031644143E-2</v>
      </c>
    </row>
    <row r="596" spans="2:11" s="404" customFormat="1" ht="9.6" customHeight="1">
      <c r="B596" s="257">
        <v>37895</v>
      </c>
      <c r="C596" s="258">
        <v>54864</v>
      </c>
      <c r="D596" s="1144">
        <f t="shared" si="116"/>
        <v>0.85320047289309242</v>
      </c>
      <c r="E596" s="519">
        <f>C596/22</f>
        <v>2493.818181818182</v>
      </c>
      <c r="F596" s="259">
        <f t="shared" si="117"/>
        <v>0.7689640877615882</v>
      </c>
      <c r="G596" s="520">
        <f>SUM(C$587:C596)</f>
        <v>232449</v>
      </c>
      <c r="H596" s="259">
        <f>(G596-G595)/G595</f>
        <v>0.30894501224765603</v>
      </c>
      <c r="I596" s="520">
        <f>G596/207</f>
        <v>1122.9420289855072</v>
      </c>
      <c r="J596" s="521">
        <f>(I596-I595)/I595</f>
        <v>0.16983008340974087</v>
      </c>
    </row>
    <row r="597" spans="2:11" s="404" customFormat="1" ht="9.6" customHeight="1">
      <c r="B597" s="257">
        <v>37926</v>
      </c>
      <c r="C597" s="258">
        <v>43550</v>
      </c>
      <c r="D597" s="1144">
        <f>(C597-C596)/C596</f>
        <v>-0.20621901428988043</v>
      </c>
      <c r="E597" s="519">
        <f>C597/17</f>
        <v>2561.7647058823532</v>
      </c>
      <c r="F597" s="259">
        <f>(E597-E596)/E596</f>
        <v>2.7245981507213576E-2</v>
      </c>
      <c r="G597" s="520">
        <f>SUM(C$587:C597)</f>
        <v>275999</v>
      </c>
      <c r="H597" s="259">
        <f>(G597-G596)/G596</f>
        <v>0.18735292472757464</v>
      </c>
      <c r="I597" s="520">
        <f>G597/224</f>
        <v>1232.1383928571429</v>
      </c>
      <c r="J597" s="521">
        <f>(I597-I596)/I596</f>
        <v>9.7241318833071244E-2</v>
      </c>
    </row>
    <row r="598" spans="2:11" s="404" customFormat="1" ht="9.6" customHeight="1" thickBot="1">
      <c r="B598" s="262">
        <v>37956</v>
      </c>
      <c r="C598" s="263">
        <v>55219</v>
      </c>
      <c r="D598" s="1146">
        <f>(C598-C597)/C597</f>
        <v>0.26794489092996554</v>
      </c>
      <c r="E598" s="265">
        <f>C598/22</f>
        <v>2509.9545454545455</v>
      </c>
      <c r="F598" s="264">
        <f>(E598-E597)/E597</f>
        <v>-2.0224402463208498E-2</v>
      </c>
      <c r="G598" s="266">
        <f>SUM(C$587:C598)</f>
        <v>331218</v>
      </c>
      <c r="H598" s="264">
        <f>(G598-G597)/G597</f>
        <v>0.2000695654694401</v>
      </c>
      <c r="I598" s="266">
        <f>G598/246</f>
        <v>1346.4146341463415</v>
      </c>
      <c r="J598" s="268">
        <f>(I598-I597)/I597</f>
        <v>9.2746270996563379E-2</v>
      </c>
    </row>
    <row r="599" spans="2:11" s="404" customFormat="1" ht="9" customHeight="1" thickBot="1">
      <c r="B599" s="269" t="s">
        <v>51</v>
      </c>
      <c r="C599" s="270"/>
      <c r="D599" s="1147"/>
      <c r="E599" s="271"/>
      <c r="F599" s="271"/>
      <c r="G599" s="411"/>
      <c r="H599" s="271"/>
      <c r="I599" s="273"/>
      <c r="J599" s="272"/>
    </row>
    <row r="600" spans="2:11" s="404" customFormat="1" ht="9.6" customHeight="1">
      <c r="B600" s="412"/>
      <c r="C600" s="413" t="s">
        <v>66</v>
      </c>
      <c r="D600" s="1160"/>
      <c r="E600" s="413" t="s">
        <v>67</v>
      </c>
      <c r="F600" s="414"/>
      <c r="G600" s="415"/>
      <c r="H600" s="414"/>
      <c r="I600" s="416" t="s">
        <v>76</v>
      </c>
      <c r="J600" s="417"/>
    </row>
    <row r="601" spans="2:11" s="404" customFormat="1" ht="9.6" customHeight="1">
      <c r="B601" s="418" t="s">
        <v>54</v>
      </c>
      <c r="C601" s="419" t="s">
        <v>70</v>
      </c>
      <c r="D601" s="1161"/>
      <c r="E601" s="216" t="s">
        <v>71</v>
      </c>
      <c r="F601" s="420"/>
      <c r="G601" s="421" t="s">
        <v>77</v>
      </c>
      <c r="H601" s="420"/>
      <c r="I601" s="422" t="s">
        <v>78</v>
      </c>
      <c r="J601" s="423"/>
    </row>
    <row r="602" spans="2:11" s="404" customFormat="1" ht="9.6" customHeight="1" thickBot="1">
      <c r="B602" s="552" t="s">
        <v>61</v>
      </c>
      <c r="C602" s="530" t="s">
        <v>62</v>
      </c>
      <c r="D602" s="1141" t="s">
        <v>63</v>
      </c>
      <c r="E602" s="530" t="s">
        <v>62</v>
      </c>
      <c r="F602" s="221" t="s">
        <v>63</v>
      </c>
      <c r="G602" s="531" t="s">
        <v>72</v>
      </c>
      <c r="H602" s="532" t="s">
        <v>79</v>
      </c>
      <c r="I602" s="533"/>
      <c r="J602" s="222" t="s">
        <v>63</v>
      </c>
    </row>
    <row r="603" spans="2:11" s="404" customFormat="1" ht="9.6" customHeight="1">
      <c r="B603" s="522">
        <v>36161</v>
      </c>
      <c r="C603" s="410">
        <f>G539+$C$532</f>
        <v>1255926</v>
      </c>
      <c r="D603" s="1153">
        <v>1.9278979946776867E-2</v>
      </c>
      <c r="E603" s="426">
        <f>C603/769</f>
        <v>1633.1937581274383</v>
      </c>
      <c r="F603" s="425">
        <v>-3.2538453576382419E-3</v>
      </c>
      <c r="G603" s="427">
        <v>1463754</v>
      </c>
      <c r="H603" s="551">
        <v>0.3797133616194695</v>
      </c>
      <c r="I603" s="428">
        <v>2682</v>
      </c>
      <c r="J603" s="429">
        <v>0.62545454545454549</v>
      </c>
    </row>
    <row r="604" spans="2:11" s="404" customFormat="1" ht="9.6" customHeight="1">
      <c r="B604" s="243">
        <v>36192</v>
      </c>
      <c r="C604" s="245">
        <f t="shared" ref="C604:C614" si="118">G540+$C$532</f>
        <v>1291696</v>
      </c>
      <c r="D604" s="1151">
        <f>(C604-C603)/C603</f>
        <v>2.8480977382425398E-2</v>
      </c>
      <c r="E604" s="304">
        <f>C604/785</f>
        <v>1645.4726114649682</v>
      </c>
      <c r="F604" s="297">
        <f>(E604-E603)/E603</f>
        <v>7.5183077797262568E-3</v>
      </c>
      <c r="G604" s="307">
        <v>2018657</v>
      </c>
      <c r="H604" s="294">
        <v>0.64094595570040669</v>
      </c>
      <c r="I604" s="308">
        <v>2546</v>
      </c>
      <c r="J604" s="306">
        <f t="shared" ref="J604:J614" si="119">(I604-I603)/I603</f>
        <v>-5.070842654735272E-2</v>
      </c>
    </row>
    <row r="605" spans="2:11" s="404" customFormat="1" ht="9.6" customHeight="1">
      <c r="B605" s="243">
        <v>36220</v>
      </c>
      <c r="C605" s="245">
        <f t="shared" si="118"/>
        <v>1326513</v>
      </c>
      <c r="D605" s="1151">
        <f>(C605-C604)/C604</f>
        <v>2.695448464654222E-2</v>
      </c>
      <c r="E605" s="304">
        <f>C605/807</f>
        <v>1643.7583643122678</v>
      </c>
      <c r="F605" s="297">
        <f>(E605-E604)/E604</f>
        <v>-1.0417962236236864E-3</v>
      </c>
      <c r="G605" s="307">
        <v>1809569</v>
      </c>
      <c r="H605" s="294">
        <v>0.76529761374814553</v>
      </c>
      <c r="I605" s="308">
        <v>2048</v>
      </c>
      <c r="J605" s="306">
        <f t="shared" si="119"/>
        <v>-0.19560094265514533</v>
      </c>
    </row>
    <row r="606" spans="2:11" s="404" customFormat="1" ht="9.6" customHeight="1">
      <c r="B606" s="243">
        <v>36251</v>
      </c>
      <c r="C606" s="245">
        <f t="shared" si="118"/>
        <v>1383055</v>
      </c>
      <c r="D606" s="1151">
        <f>(C606-C605)/C605</f>
        <v>4.2624535153443652E-2</v>
      </c>
      <c r="E606" s="304">
        <f>C606/829</f>
        <v>1668.3413751507842</v>
      </c>
      <c r="F606" s="297">
        <f>(E606-E605)/E605</f>
        <v>1.4955367754920425E-2</v>
      </c>
      <c r="G606" s="307">
        <v>3504262</v>
      </c>
      <c r="H606" s="294">
        <v>0.45368371275951153</v>
      </c>
      <c r="I606" s="308">
        <v>4878</v>
      </c>
      <c r="J606" s="306">
        <f t="shared" si="119"/>
        <v>1.3818359375</v>
      </c>
    </row>
    <row r="607" spans="2:11" s="404" customFormat="1" ht="9.6" customHeight="1">
      <c r="B607" s="243">
        <v>36281</v>
      </c>
      <c r="C607" s="245">
        <f t="shared" si="118"/>
        <v>1441433</v>
      </c>
      <c r="D607" s="1151">
        <v>4.2209456601508981E-2</v>
      </c>
      <c r="E607" s="304">
        <f>C607/850</f>
        <v>1695.8035294117647</v>
      </c>
      <c r="F607" s="297">
        <v>1.6460752379589248E-2</v>
      </c>
      <c r="G607" s="307">
        <f>4373213.71</f>
        <v>4373213.71</v>
      </c>
      <c r="H607" s="294">
        <v>0.39132606668415143</v>
      </c>
      <c r="I607" s="308">
        <v>3450</v>
      </c>
      <c r="J607" s="306">
        <f t="shared" si="119"/>
        <v>-0.29274292742927427</v>
      </c>
    </row>
    <row r="608" spans="2:11" s="404" customFormat="1" ht="9.6" customHeight="1">
      <c r="B608" s="257">
        <v>36312</v>
      </c>
      <c r="C608" s="245">
        <f t="shared" si="118"/>
        <v>1488406</v>
      </c>
      <c r="D608" s="1152">
        <v>6.5175419183548591E-2</v>
      </c>
      <c r="E608" s="304">
        <f>C608/872</f>
        <v>1706.8876146788991</v>
      </c>
      <c r="F608" s="424">
        <v>3.8301727415156292E-2</v>
      </c>
      <c r="G608" s="309">
        <v>3731313</v>
      </c>
      <c r="H608" s="294">
        <v>0.39588308109139825</v>
      </c>
      <c r="I608" s="310">
        <v>3939</v>
      </c>
      <c r="J608" s="306">
        <f t="shared" si="119"/>
        <v>0.14173913043478262</v>
      </c>
      <c r="K608" s="273"/>
    </row>
    <row r="609" spans="2:11" s="404" customFormat="1" ht="9.6" customHeight="1">
      <c r="B609" s="243">
        <v>36342</v>
      </c>
      <c r="C609" s="245">
        <f t="shared" si="118"/>
        <v>1529579</v>
      </c>
      <c r="D609" s="1151">
        <f t="shared" ref="D609:D622" si="120">(C609-C608)/C608</f>
        <v>2.7662479189145973E-2</v>
      </c>
      <c r="E609" s="304">
        <f>C609/894</f>
        <v>1710.9384787472036</v>
      </c>
      <c r="F609" s="297">
        <f t="shared" ref="F609:F622" si="121">(E609-E608)/E608</f>
        <v>2.3732459205092508E-3</v>
      </c>
      <c r="G609" s="307">
        <v>3458659</v>
      </c>
      <c r="H609" s="297">
        <v>0.23498035216061094</v>
      </c>
      <c r="I609" s="308">
        <v>3019</v>
      </c>
      <c r="J609" s="306">
        <f t="shared" si="119"/>
        <v>-0.23356181772023357</v>
      </c>
      <c r="K609" s="273"/>
    </row>
    <row r="610" spans="2:11" s="404" customFormat="1" ht="9.6" customHeight="1">
      <c r="B610" s="243">
        <v>36373</v>
      </c>
      <c r="C610" s="245">
        <f t="shared" si="118"/>
        <v>1573867</v>
      </c>
      <c r="D610" s="1151">
        <f t="shared" si="120"/>
        <v>2.8954372412278148E-2</v>
      </c>
      <c r="E610" s="304">
        <f>C610/915</f>
        <v>1720.0732240437158</v>
      </c>
      <c r="F610" s="297">
        <f t="shared" si="121"/>
        <v>5.339026160193017E-3</v>
      </c>
      <c r="G610" s="307">
        <v>3325850.16</v>
      </c>
      <c r="H610" s="297">
        <v>0.368422096226107</v>
      </c>
      <c r="I610" s="308">
        <v>2903</v>
      </c>
      <c r="J610" s="306">
        <f t="shared" si="119"/>
        <v>-3.8423318979794632E-2</v>
      </c>
      <c r="K610" s="273"/>
    </row>
    <row r="611" spans="2:11" s="404" customFormat="1" ht="9.6" customHeight="1" ph="1">
      <c r="B611" s="243">
        <v>36404</v>
      </c>
      <c r="C611" s="245">
        <f t="shared" si="118"/>
        <v>1603318</v>
      </c>
      <c r="D611" s="1151">
        <f t="shared" si="120"/>
        <v>1.8712508744385643E-2</v>
      </c>
      <c r="E611" s="304">
        <f>C611/937</f>
        <v>1711.1184631803628</v>
      </c>
      <c r="F611" s="297">
        <f t="shared" si="121"/>
        <v>-5.2060346839777009E-3</v>
      </c>
      <c r="G611" s="307">
        <v>2137981.85</v>
      </c>
      <c r="H611" s="297">
        <v>0.38533015084989392</v>
      </c>
      <c r="I611" s="308">
        <v>1909</v>
      </c>
      <c r="J611" s="306">
        <f t="shared" si="119"/>
        <v>-0.34240440923182913</v>
      </c>
      <c r="K611" s="273"/>
    </row>
    <row r="612" spans="2:11" s="404" customFormat="1" ht="9.6" customHeight="1">
      <c r="B612" s="243">
        <v>36434</v>
      </c>
      <c r="C612" s="245">
        <f t="shared" si="118"/>
        <v>1634397</v>
      </c>
      <c r="D612" s="1151">
        <f t="shared" si="120"/>
        <v>1.9384177062815984E-2</v>
      </c>
      <c r="E612" s="304">
        <f>C612/958</f>
        <v>1706.0511482254697</v>
      </c>
      <c r="F612" s="297">
        <f t="shared" si="121"/>
        <v>-2.9614051066194566E-3</v>
      </c>
      <c r="G612" s="307">
        <v>2299510.56</v>
      </c>
      <c r="H612" s="297">
        <v>0.41570000000000001</v>
      </c>
      <c r="I612" s="308">
        <v>2219</v>
      </c>
      <c r="J612" s="306">
        <f t="shared" si="119"/>
        <v>0.16238868517548455</v>
      </c>
      <c r="K612" s="273"/>
    </row>
    <row r="613" spans="2:11" s="404" customFormat="1" ht="9.6" customHeight="1">
      <c r="B613" s="243">
        <v>36465</v>
      </c>
      <c r="C613" s="245">
        <f t="shared" si="118"/>
        <v>1651981</v>
      </c>
      <c r="D613" s="1151">
        <f t="shared" si="120"/>
        <v>1.0758707951617629E-2</v>
      </c>
      <c r="E613" s="304">
        <f>C613/978</f>
        <v>1689.1421267893661</v>
      </c>
      <c r="F613" s="297">
        <f t="shared" si="121"/>
        <v>-9.9112042764317419E-3</v>
      </c>
      <c r="G613" s="307">
        <v>1313773.78</v>
      </c>
      <c r="H613" s="297">
        <v>0.31009999999999999</v>
      </c>
      <c r="I613" s="308">
        <v>2141</v>
      </c>
      <c r="J613" s="306">
        <f t="shared" si="119"/>
        <v>-3.5150968904912122E-2</v>
      </c>
      <c r="K613" s="273"/>
    </row>
    <row r="614" spans="2:11" s="404" customFormat="1" ht="9.6" customHeight="1">
      <c r="B614" s="243">
        <v>36495</v>
      </c>
      <c r="C614" s="245">
        <f t="shared" si="118"/>
        <v>1668849</v>
      </c>
      <c r="D614" s="1151">
        <f t="shared" si="120"/>
        <v>1.0210771189257018E-2</v>
      </c>
      <c r="E614" s="304">
        <f>C614/1000</f>
        <v>1668.8489999999999</v>
      </c>
      <c r="F614" s="297">
        <f t="shared" si="121"/>
        <v>-1.2013865776906704E-2</v>
      </c>
      <c r="G614" s="307">
        <v>1323920.92</v>
      </c>
      <c r="H614" s="297">
        <v>0.27900000000000003</v>
      </c>
      <c r="I614" s="308">
        <v>2432</v>
      </c>
      <c r="J614" s="306">
        <f t="shared" si="119"/>
        <v>0.13591779542269966</v>
      </c>
      <c r="K614" s="273"/>
    </row>
    <row r="615" spans="2:11" s="404" customFormat="1" ht="9.6" customHeight="1">
      <c r="B615" s="243">
        <v>36526</v>
      </c>
      <c r="C615" s="245">
        <f t="shared" ref="C615:C662" si="122">C614+C551</f>
        <v>1708444</v>
      </c>
      <c r="D615" s="1151">
        <f t="shared" si="120"/>
        <v>2.3725933262985447E-2</v>
      </c>
      <c r="E615" s="304">
        <f>C615/1019</f>
        <v>1676.5888125613346</v>
      </c>
      <c r="F615" s="297">
        <f t="shared" si="121"/>
        <v>4.6378147821251065E-3</v>
      </c>
      <c r="G615" s="307">
        <v>3669533</v>
      </c>
      <c r="H615" s="297">
        <v>0.26169999999999999</v>
      </c>
      <c r="I615" s="308">
        <v>3152</v>
      </c>
      <c r="J615" s="306">
        <f>(I615-I553)/I553</f>
        <v>0.72539268715845739</v>
      </c>
      <c r="K615" s="273"/>
    </row>
    <row r="616" spans="2:11" s="404" customFormat="1" ht="9.6" customHeight="1">
      <c r="B616" s="243">
        <v>36557</v>
      </c>
      <c r="C616" s="245">
        <f t="shared" si="122"/>
        <v>1737755</v>
      </c>
      <c r="D616" s="1151">
        <f t="shared" si="120"/>
        <v>1.7156547127093424E-2</v>
      </c>
      <c r="E616" s="304">
        <f>C616/1037</f>
        <v>1675.7521697203472</v>
      </c>
      <c r="F616" s="297">
        <f t="shared" si="121"/>
        <v>-4.9901492525725936E-4</v>
      </c>
      <c r="G616" s="307">
        <v>2933479.3</v>
      </c>
      <c r="H616" s="297">
        <v>0.185</v>
      </c>
      <c r="I616" s="308">
        <v>2990</v>
      </c>
      <c r="J616" s="306">
        <f>(I616-I615)/I615</f>
        <v>-5.1395939086294418E-2</v>
      </c>
    </row>
    <row r="617" spans="2:11" s="404" customFormat="1" ht="9.6" customHeight="1">
      <c r="B617" s="243">
        <v>36586</v>
      </c>
      <c r="C617" s="245">
        <f t="shared" si="122"/>
        <v>1776632</v>
      </c>
      <c r="D617" s="1151">
        <f t="shared" si="120"/>
        <v>2.2371968430532498E-2</v>
      </c>
      <c r="E617" s="304">
        <f>C617/1059</f>
        <v>1677.6506137865911</v>
      </c>
      <c r="F617" s="297">
        <f t="shared" si="121"/>
        <v>1.1328907105402697E-3</v>
      </c>
      <c r="G617" s="307">
        <v>3731579.01</v>
      </c>
      <c r="H617" s="297">
        <v>0.35599999999999998</v>
      </c>
      <c r="I617" s="308">
        <v>2891</v>
      </c>
      <c r="J617" s="306">
        <f>(I617-I616)/I616</f>
        <v>-3.311036789297659E-2</v>
      </c>
    </row>
    <row r="618" spans="2:11" s="404" customFormat="1" ht="9.6" customHeight="1">
      <c r="B618" s="522">
        <v>36617</v>
      </c>
      <c r="C618" s="410">
        <f t="shared" si="122"/>
        <v>1804537</v>
      </c>
      <c r="D618" s="1153">
        <f t="shared" si="120"/>
        <v>1.5706685458778184E-2</v>
      </c>
      <c r="E618" s="426">
        <f>C618/1078</f>
        <v>1673.9675324675325</v>
      </c>
      <c r="F618" s="425">
        <f t="shared" si="121"/>
        <v>-2.1953804259312332E-3</v>
      </c>
      <c r="G618" s="427">
        <v>2540663.31</v>
      </c>
      <c r="H618" s="425">
        <v>0.31340000000000001</v>
      </c>
      <c r="I618" s="428">
        <v>2926</v>
      </c>
      <c r="J618" s="429">
        <f t="shared" ref="J618:J624" si="123">(I618-I617)/I617</f>
        <v>1.2106537530266344E-2</v>
      </c>
    </row>
    <row r="619" spans="2:11" s="404" customFormat="1" ht="9.6" customHeight="1">
      <c r="B619" s="243">
        <v>36647</v>
      </c>
      <c r="C619" s="245">
        <f t="shared" si="122"/>
        <v>1836691</v>
      </c>
      <c r="D619" s="1151">
        <f t="shared" si="120"/>
        <v>1.7818421013257139E-2</v>
      </c>
      <c r="E619" s="304">
        <f>C619/1099</f>
        <v>1671.2383985441311</v>
      </c>
      <c r="F619" s="297">
        <f t="shared" si="121"/>
        <v>-1.6303386239388193E-3</v>
      </c>
      <c r="G619" s="307">
        <v>2955281.09</v>
      </c>
      <c r="H619" s="297">
        <v>0.34179999999999999</v>
      </c>
      <c r="I619" s="308">
        <v>2701</v>
      </c>
      <c r="J619" s="306">
        <f t="shared" si="123"/>
        <v>-7.6896787423103213E-2</v>
      </c>
    </row>
    <row r="620" spans="2:11" s="404" customFormat="1" ht="9.6" customHeight="1">
      <c r="B620" s="243">
        <v>36678</v>
      </c>
      <c r="C620" s="410">
        <f t="shared" si="122"/>
        <v>1872688</v>
      </c>
      <c r="D620" s="1151">
        <f t="shared" si="120"/>
        <v>1.9598832901124904E-2</v>
      </c>
      <c r="E620" s="304">
        <f>C620/1120</f>
        <v>1672.0428571428572</v>
      </c>
      <c r="F620" s="297">
        <f t="shared" si="121"/>
        <v>4.8135478422881131E-4</v>
      </c>
      <c r="G620" s="307">
        <v>3044745.42</v>
      </c>
      <c r="H620" s="297">
        <v>0.40450000000000003</v>
      </c>
      <c r="I620" s="308">
        <v>3173</v>
      </c>
      <c r="J620" s="306">
        <f t="shared" si="123"/>
        <v>0.17475009255831173</v>
      </c>
    </row>
    <row r="621" spans="2:11" s="404" customFormat="1" ht="9.6" customHeight="1">
      <c r="B621" s="243">
        <v>36708</v>
      </c>
      <c r="C621" s="245">
        <f t="shared" si="122"/>
        <v>1905656</v>
      </c>
      <c r="D621" s="1151">
        <f t="shared" si="120"/>
        <v>1.7604641029365275E-2</v>
      </c>
      <c r="E621" s="304">
        <f>C621/1141</f>
        <v>1670.1630148992112</v>
      </c>
      <c r="F621" s="297">
        <f t="shared" si="121"/>
        <v>-1.1242787441813412E-3</v>
      </c>
      <c r="G621" s="307">
        <v>2725965.59</v>
      </c>
      <c r="H621" s="297">
        <v>0.59940000000000004</v>
      </c>
      <c r="I621" s="308">
        <v>2986</v>
      </c>
      <c r="J621" s="306">
        <f t="shared" si="123"/>
        <v>-5.8934762054837692E-2</v>
      </c>
    </row>
    <row r="622" spans="2:11" s="404" customFormat="1" ht="9.6" customHeight="1">
      <c r="B622" s="243">
        <v>36739</v>
      </c>
      <c r="C622" s="410">
        <f t="shared" si="122"/>
        <v>1925884</v>
      </c>
      <c r="D622" s="1151">
        <f t="shared" si="120"/>
        <v>1.0614717451628206E-2</v>
      </c>
      <c r="E622" s="304">
        <f>C622/1163</f>
        <v>1655.9621668099742</v>
      </c>
      <c r="F622" s="297">
        <f t="shared" si="121"/>
        <v>-8.5026718724782943E-3</v>
      </c>
      <c r="G622" s="307">
        <v>1642642.97</v>
      </c>
      <c r="H622" s="297">
        <v>0.43759999999999999</v>
      </c>
      <c r="I622" s="308">
        <v>2685</v>
      </c>
      <c r="J622" s="306">
        <f t="shared" si="123"/>
        <v>-0.10080375083724046</v>
      </c>
    </row>
    <row r="623" spans="2:11" s="404" customFormat="1" ht="9.6" customHeight="1">
      <c r="B623" s="243">
        <v>36770</v>
      </c>
      <c r="C623" s="245">
        <f t="shared" si="122"/>
        <v>1955143</v>
      </c>
      <c r="D623" s="1151">
        <f t="shared" ref="D623:D632" si="124">(C623-C622)/C622</f>
        <v>1.5192503806044394E-2</v>
      </c>
      <c r="E623" s="304">
        <f>C623/1184</f>
        <v>1651.3032094594594</v>
      </c>
      <c r="F623" s="297">
        <f t="shared" ref="F623:F633" si="125">(E623-E622)/E622</f>
        <v>-2.8134443188939338E-3</v>
      </c>
      <c r="G623" s="307">
        <v>2169282.08</v>
      </c>
      <c r="H623" s="297">
        <v>0.50770000000000004</v>
      </c>
      <c r="I623" s="308">
        <v>2705</v>
      </c>
      <c r="J623" s="306">
        <f t="shared" si="123"/>
        <v>7.4487895716945996E-3</v>
      </c>
    </row>
    <row r="624" spans="2:11" s="404" customFormat="1" ht="9.6" customHeight="1">
      <c r="B624" s="243">
        <v>36800</v>
      </c>
      <c r="C624" s="245">
        <f t="shared" si="122"/>
        <v>1989422</v>
      </c>
      <c r="D624" s="1151">
        <f t="shared" si="124"/>
        <v>1.7532732899844156E-2</v>
      </c>
      <c r="E624" s="304">
        <f>C624/1205</f>
        <v>1650.9726141078838</v>
      </c>
      <c r="F624" s="297">
        <f t="shared" si="125"/>
        <v>-2.0020269426095089E-4</v>
      </c>
      <c r="G624" s="307">
        <v>2564161.1800000002</v>
      </c>
      <c r="H624" s="297">
        <v>0.36909999999999998</v>
      </c>
      <c r="I624" s="308">
        <v>2322</v>
      </c>
      <c r="J624" s="306">
        <f t="shared" si="123"/>
        <v>-0.14158964879852126</v>
      </c>
    </row>
    <row r="625" spans="2:10" s="404" customFormat="1" ht="9.6" customHeight="1">
      <c r="B625" s="243">
        <v>36831</v>
      </c>
      <c r="C625" s="245">
        <f t="shared" si="122"/>
        <v>2016974</v>
      </c>
      <c r="D625" s="1151">
        <f t="shared" si="124"/>
        <v>1.384924867624868E-2</v>
      </c>
      <c r="E625" s="304">
        <f>C625/1227</f>
        <v>1643.8255908720457</v>
      </c>
      <c r="F625" s="297">
        <f t="shared" si="125"/>
        <v>-4.3289774613857277E-3</v>
      </c>
      <c r="G625" s="307">
        <v>2064261.91</v>
      </c>
      <c r="H625" s="297">
        <v>0.54590000000000005</v>
      </c>
      <c r="I625" s="308">
        <v>2246</v>
      </c>
      <c r="J625" s="306">
        <f>(I625-I624)/I624</f>
        <v>-3.273040482342808E-2</v>
      </c>
    </row>
    <row r="626" spans="2:10" s="404" customFormat="1" ht="9.6" customHeight="1">
      <c r="B626" s="243">
        <v>36861</v>
      </c>
      <c r="C626" s="245">
        <f t="shared" si="122"/>
        <v>2035791</v>
      </c>
      <c r="D626" s="1151">
        <f t="shared" si="124"/>
        <v>9.3293220438141495E-3</v>
      </c>
      <c r="E626" s="304">
        <f>C626/1244</f>
        <v>1636.4879421221865</v>
      </c>
      <c r="F626" s="297">
        <f t="shared" si="125"/>
        <v>-4.463763546816801E-3</v>
      </c>
      <c r="G626" s="307">
        <v>1363954.65</v>
      </c>
      <c r="H626" s="297">
        <v>0.43190000000000001</v>
      </c>
      <c r="I626" s="308">
        <v>1644</v>
      </c>
      <c r="J626" s="306">
        <f t="shared" ref="J626:J635" si="126">(I626-I625)/I625</f>
        <v>-0.26803205699020483</v>
      </c>
    </row>
    <row r="627" spans="2:10" s="404" customFormat="1" ht="9.6" customHeight="1">
      <c r="B627" s="243">
        <v>36892</v>
      </c>
      <c r="C627" s="245">
        <f t="shared" si="122"/>
        <v>2058765</v>
      </c>
      <c r="D627" s="1151">
        <f t="shared" si="124"/>
        <v>1.1285048416070215E-2</v>
      </c>
      <c r="E627" s="304">
        <f>C627/1263</f>
        <v>1630.0593824228029</v>
      </c>
      <c r="F627" s="297">
        <f t="shared" si="125"/>
        <v>-3.9282658514716139E-3</v>
      </c>
      <c r="G627" s="307">
        <v>1579887.74</v>
      </c>
      <c r="H627" s="297">
        <v>0.40100000000000002</v>
      </c>
      <c r="I627" s="308">
        <v>2008</v>
      </c>
      <c r="J627" s="306">
        <f t="shared" si="126"/>
        <v>0.22141119221411193</v>
      </c>
    </row>
    <row r="628" spans="2:10" s="404" customFormat="1" ht="9.6" customHeight="1">
      <c r="B628" s="243">
        <v>36924</v>
      </c>
      <c r="C628" s="245">
        <f t="shared" si="122"/>
        <v>2080841</v>
      </c>
      <c r="D628" s="1151">
        <f t="shared" si="124"/>
        <v>1.0722933409106915E-2</v>
      </c>
      <c r="E628" s="304">
        <f>C628/1282</f>
        <v>1623.1209048361934</v>
      </c>
      <c r="F628" s="297">
        <f t="shared" si="125"/>
        <v>-4.2565796445382239E-3</v>
      </c>
      <c r="G628" s="307">
        <v>1585024.95</v>
      </c>
      <c r="H628" s="297">
        <v>0.49790000000000001</v>
      </c>
      <c r="I628" s="308">
        <v>2361</v>
      </c>
      <c r="J628" s="306">
        <f t="shared" si="126"/>
        <v>0.17579681274900399</v>
      </c>
    </row>
    <row r="629" spans="2:10" s="404" customFormat="1" ht="9.6" customHeight="1">
      <c r="B629" s="243">
        <v>36952</v>
      </c>
      <c r="C629" s="245">
        <f t="shared" si="122"/>
        <v>2101802</v>
      </c>
      <c r="D629" s="1151">
        <f t="shared" si="124"/>
        <v>1.0073330927254893E-2</v>
      </c>
      <c r="E629" s="304">
        <f>C629/1302</f>
        <v>1614.2872503840247</v>
      </c>
      <c r="F629" s="297">
        <f t="shared" si="125"/>
        <v>-5.4423884418272764E-3</v>
      </c>
      <c r="G629" s="307">
        <v>1403715.34</v>
      </c>
      <c r="H629" s="297">
        <v>0.52949999999999997</v>
      </c>
      <c r="I629" s="308">
        <v>2416</v>
      </c>
      <c r="J629" s="306">
        <f t="shared" si="126"/>
        <v>2.3295213892418468E-2</v>
      </c>
    </row>
    <row r="630" spans="2:10" s="404" customFormat="1" ht="9.6" customHeight="1">
      <c r="B630" s="243">
        <v>36982</v>
      </c>
      <c r="C630" s="245">
        <f t="shared" si="122"/>
        <v>2138249</v>
      </c>
      <c r="D630" s="1151">
        <f t="shared" si="124"/>
        <v>1.7340834198463984E-2</v>
      </c>
      <c r="E630" s="304">
        <f>C630/1323</f>
        <v>1616.212396069539</v>
      </c>
      <c r="F630" s="297">
        <f t="shared" si="125"/>
        <v>1.192566988964514E-3</v>
      </c>
      <c r="G630" s="307">
        <v>2098961.58</v>
      </c>
      <c r="H630" s="297">
        <v>0.60650000000000004</v>
      </c>
      <c r="I630" s="308">
        <v>1340</v>
      </c>
      <c r="J630" s="306">
        <f t="shared" si="126"/>
        <v>-0.44536423841059603</v>
      </c>
    </row>
    <row r="631" spans="2:10" s="404" customFormat="1" ht="9.6" customHeight="1">
      <c r="B631" s="243">
        <v>37012</v>
      </c>
      <c r="C631" s="245">
        <f t="shared" si="122"/>
        <v>2164338</v>
      </c>
      <c r="D631" s="1151">
        <f t="shared" si="124"/>
        <v>1.2201104735697292E-2</v>
      </c>
      <c r="E631" s="304">
        <f>C631/1344</f>
        <v>1610.3705357142858</v>
      </c>
      <c r="F631" s="297">
        <f t="shared" si="125"/>
        <v>-3.6145375257979544E-3</v>
      </c>
      <c r="G631" s="307">
        <v>1497598.04</v>
      </c>
      <c r="H631" s="297">
        <v>0.44719999999999999</v>
      </c>
      <c r="I631" s="308">
        <v>1936</v>
      </c>
      <c r="J631" s="306">
        <f t="shared" si="126"/>
        <v>0.44477611940298506</v>
      </c>
    </row>
    <row r="632" spans="2:10" s="404" customFormat="1" ht="9.6" customHeight="1">
      <c r="B632" s="243">
        <v>37043</v>
      </c>
      <c r="C632" s="245">
        <f t="shared" si="122"/>
        <v>2184031</v>
      </c>
      <c r="D632" s="1151">
        <f t="shared" si="124"/>
        <v>9.0988560936415656E-3</v>
      </c>
      <c r="E632" s="304">
        <f>C632/1364</f>
        <v>1601.1957478005866</v>
      </c>
      <c r="F632" s="297">
        <f t="shared" si="125"/>
        <v>-5.6973148168223955E-3</v>
      </c>
      <c r="G632" s="307">
        <v>1150424.01</v>
      </c>
      <c r="H632" s="297">
        <v>0.44109999999999999</v>
      </c>
      <c r="I632" s="308">
        <v>1854</v>
      </c>
      <c r="J632" s="306">
        <f t="shared" si="126"/>
        <v>-4.2355371900826444E-2</v>
      </c>
    </row>
    <row r="633" spans="2:10" s="404" customFormat="1" ht="9.6" customHeight="1">
      <c r="B633" s="582">
        <v>37073</v>
      </c>
      <c r="C633" s="534">
        <f t="shared" si="122"/>
        <v>2212518</v>
      </c>
      <c r="D633" s="1154">
        <f t="shared" ref="D633:D638" si="127">(C633-C632)/C632</f>
        <v>1.3043313029897469E-2</v>
      </c>
      <c r="E633" s="573">
        <f>C633/1386</f>
        <v>1596.3333333333333</v>
      </c>
      <c r="F633" s="424">
        <f t="shared" si="125"/>
        <v>-3.0367395578787589E-3</v>
      </c>
      <c r="G633" s="581">
        <v>1768056.32</v>
      </c>
      <c r="H633" s="572">
        <v>0.27260000000000001</v>
      </c>
      <c r="I633" s="576">
        <v>2053</v>
      </c>
      <c r="J633" s="306">
        <f t="shared" si="126"/>
        <v>0.10733549083063647</v>
      </c>
    </row>
    <row r="634" spans="2:10" s="404" customFormat="1" ht="9.6" customHeight="1">
      <c r="B634" s="243">
        <v>37104</v>
      </c>
      <c r="C634" s="245">
        <f t="shared" si="122"/>
        <v>2234235</v>
      </c>
      <c r="D634" s="1151">
        <f t="shared" si="127"/>
        <v>9.8155133653149932E-3</v>
      </c>
      <c r="E634" s="304">
        <f>C634/1408</f>
        <v>1586.8146306818182</v>
      </c>
      <c r="F634" s="297">
        <f t="shared" ref="F634:F639" si="128">(E634-E633)/E633</f>
        <v>-5.9628540310179669E-3</v>
      </c>
      <c r="G634" s="307">
        <v>1462661.01</v>
      </c>
      <c r="H634" s="297">
        <v>0.3049</v>
      </c>
      <c r="I634" s="308">
        <v>1741</v>
      </c>
      <c r="J634" s="306">
        <f t="shared" si="126"/>
        <v>-0.15197272284461763</v>
      </c>
    </row>
    <row r="635" spans="2:10" s="404" customFormat="1" ht="9.6" customHeight="1">
      <c r="B635" s="257">
        <v>37135</v>
      </c>
      <c r="C635" s="520">
        <f t="shared" si="122"/>
        <v>2263175</v>
      </c>
      <c r="D635" s="1152">
        <f t="shared" si="127"/>
        <v>1.2952979431438501E-2</v>
      </c>
      <c r="E635" s="540">
        <f>C635/1427</f>
        <v>1585.9670637701472</v>
      </c>
      <c r="F635" s="424">
        <f t="shared" si="128"/>
        <v>-5.3413101649236593E-4</v>
      </c>
      <c r="G635" s="309">
        <v>1847550.05</v>
      </c>
      <c r="H635" s="424">
        <v>0.32850000000000001</v>
      </c>
      <c r="I635" s="310">
        <v>1871</v>
      </c>
      <c r="J635" s="568">
        <f t="shared" si="126"/>
        <v>7.4669730040206772E-2</v>
      </c>
    </row>
    <row r="636" spans="2:10" s="404" customFormat="1" ht="9.6" customHeight="1">
      <c r="B636" s="257">
        <v>37165</v>
      </c>
      <c r="C636" s="520">
        <f t="shared" si="122"/>
        <v>2283114</v>
      </c>
      <c r="D636" s="1152">
        <f t="shared" si="127"/>
        <v>8.8101892253139944E-3</v>
      </c>
      <c r="E636" s="540">
        <f>C636/1450</f>
        <v>1574.5613793103448</v>
      </c>
      <c r="F636" s="424">
        <f t="shared" si="128"/>
        <v>-7.1916275692944674E-3</v>
      </c>
      <c r="G636" s="309">
        <v>1215557.6000000001</v>
      </c>
      <c r="H636" s="424">
        <v>0.38175701862080463</v>
      </c>
      <c r="I636" s="310">
        <v>1831</v>
      </c>
      <c r="J636" s="568">
        <f t="shared" ref="J636:J641" si="129">(I636-I635)/I635</f>
        <v>-2.1378941742383754E-2</v>
      </c>
    </row>
    <row r="637" spans="2:10" s="404" customFormat="1" ht="9.6" customHeight="1">
      <c r="B637" s="243">
        <v>37196</v>
      </c>
      <c r="C637" s="245">
        <f t="shared" si="122"/>
        <v>2306211</v>
      </c>
      <c r="D637" s="1151">
        <f t="shared" si="127"/>
        <v>1.0116446222133455E-2</v>
      </c>
      <c r="E637" s="304">
        <f>C637/1470</f>
        <v>1568.8510204081633</v>
      </c>
      <c r="F637" s="297">
        <f t="shared" si="128"/>
        <v>-3.6266346788479116E-3</v>
      </c>
      <c r="G637" s="307">
        <v>1461088.98</v>
      </c>
      <c r="H637" s="297">
        <v>0.42232625087148734</v>
      </c>
      <c r="I637" s="308">
        <v>2552</v>
      </c>
      <c r="J637" s="306">
        <f t="shared" si="129"/>
        <v>0.39377389404696889</v>
      </c>
    </row>
    <row r="638" spans="2:10" s="404" customFormat="1" ht="9.6" customHeight="1">
      <c r="B638" s="257">
        <v>37226</v>
      </c>
      <c r="C638" s="520">
        <f t="shared" si="122"/>
        <v>2323319</v>
      </c>
      <c r="D638" s="1152">
        <f t="shared" si="127"/>
        <v>7.418228427494275E-3</v>
      </c>
      <c r="E638" s="540">
        <f>C638/1487</f>
        <v>1562.4203093476799</v>
      </c>
      <c r="F638" s="424">
        <f t="shared" si="128"/>
        <v>-4.0989940898342016E-3</v>
      </c>
      <c r="G638" s="309">
        <v>1150411.55</v>
      </c>
      <c r="H638" s="675">
        <v>0.2587995476337866</v>
      </c>
      <c r="I638" s="310">
        <v>2164</v>
      </c>
      <c r="J638" s="676">
        <f t="shared" si="129"/>
        <v>-0.15203761755485892</v>
      </c>
    </row>
    <row r="639" spans="2:10" s="404" customFormat="1" ht="9.6" customHeight="1">
      <c r="B639" s="257">
        <v>37257</v>
      </c>
      <c r="C639" s="520">
        <f t="shared" si="122"/>
        <v>2343356</v>
      </c>
      <c r="D639" s="1152">
        <f t="shared" ref="D639:D644" si="130">(C639-C638)/C638</f>
        <v>8.624299977747352E-3</v>
      </c>
      <c r="E639" s="540">
        <f>C639/1509</f>
        <v>1552.9198144466534</v>
      </c>
      <c r="F639" s="424">
        <f t="shared" si="128"/>
        <v>-6.0806268608944473E-3</v>
      </c>
      <c r="G639" s="309">
        <v>1462811.7109999999</v>
      </c>
      <c r="H639" s="675">
        <v>0.26903054379168867</v>
      </c>
      <c r="I639" s="310">
        <v>2490</v>
      </c>
      <c r="J639" s="676">
        <f t="shared" si="129"/>
        <v>0.15064695009242143</v>
      </c>
    </row>
    <row r="640" spans="2:10" s="404" customFormat="1" ht="9.6" customHeight="1">
      <c r="B640" s="257">
        <v>37288</v>
      </c>
      <c r="C640" s="520">
        <f t="shared" si="122"/>
        <v>2359676</v>
      </c>
      <c r="D640" s="1152">
        <f t="shared" si="130"/>
        <v>6.9643707571534156E-3</v>
      </c>
      <c r="E640" s="540">
        <f>C640/1525</f>
        <v>1547.3285245901639</v>
      </c>
      <c r="F640" s="424">
        <f t="shared" ref="F640:F645" si="131">(E640-E639)/E639</f>
        <v>-3.600501329479052E-3</v>
      </c>
      <c r="G640" s="309">
        <v>1178123.67</v>
      </c>
      <c r="H640" s="675">
        <v>0.22983381622573013</v>
      </c>
      <c r="I640" s="310">
        <v>2696</v>
      </c>
      <c r="J640" s="676">
        <f t="shared" si="129"/>
        <v>8.2730923694779121E-2</v>
      </c>
    </row>
    <row r="641" spans="2:10" s="404" customFormat="1" ht="9.6" customHeight="1">
      <c r="B641" s="257">
        <v>37316</v>
      </c>
      <c r="C641" s="520">
        <f t="shared" si="122"/>
        <v>2380105</v>
      </c>
      <c r="D641" s="1152">
        <f t="shared" si="130"/>
        <v>8.6575445103480309E-3</v>
      </c>
      <c r="E641" s="540">
        <f>C641/1545</f>
        <v>1540.5210355987056</v>
      </c>
      <c r="F641" s="424">
        <f t="shared" si="131"/>
        <v>-4.3995110820188388E-3</v>
      </c>
      <c r="G641" s="309">
        <v>1538686.5</v>
      </c>
      <c r="H641" s="675">
        <v>0.21958008413126953</v>
      </c>
      <c r="I641" s="310">
        <v>2633</v>
      </c>
      <c r="J641" s="676">
        <f t="shared" si="129"/>
        <v>-2.3367952522255191E-2</v>
      </c>
    </row>
    <row r="642" spans="2:10" s="404" customFormat="1" ht="9.6" customHeight="1">
      <c r="B642" s="257">
        <v>37347</v>
      </c>
      <c r="C642" s="520">
        <f t="shared" si="122"/>
        <v>2402953</v>
      </c>
      <c r="D642" s="1152">
        <f t="shared" si="130"/>
        <v>9.5995764892725325E-3</v>
      </c>
      <c r="E642" s="540">
        <f>C642/1566</f>
        <v>1534.4527458492976</v>
      </c>
      <c r="F642" s="424">
        <f t="shared" si="131"/>
        <v>-3.9391151494725454E-3</v>
      </c>
      <c r="G642" s="309">
        <v>1801200.66</v>
      </c>
      <c r="H642" s="675">
        <v>0.19019002164094986</v>
      </c>
      <c r="I642" s="310">
        <v>2636</v>
      </c>
      <c r="J642" s="676">
        <f t="shared" ref="J642:J647" si="132">(I642-I641)/I641</f>
        <v>1.1393847322445879E-3</v>
      </c>
    </row>
    <row r="643" spans="2:10" s="404" customFormat="1" ht="9.6" customHeight="1" ph="1">
      <c r="B643" s="257">
        <v>37377</v>
      </c>
      <c r="C643" s="520">
        <f t="shared" si="122"/>
        <v>2421269</v>
      </c>
      <c r="D643" s="1152">
        <f t="shared" si="130"/>
        <v>7.6222880763793547E-3</v>
      </c>
      <c r="E643" s="540">
        <f>C643/1587</f>
        <v>1525.6893509766855</v>
      </c>
      <c r="F643" s="424">
        <f t="shared" si="131"/>
        <v>-5.7110881363515772E-3</v>
      </c>
      <c r="G643" s="309">
        <v>1433668.72</v>
      </c>
      <c r="H643" s="675">
        <v>0.25829999999999997</v>
      </c>
      <c r="I643" s="310">
        <v>2172</v>
      </c>
      <c r="J643" s="676">
        <f t="shared" si="132"/>
        <v>-0.17602427921092564</v>
      </c>
    </row>
    <row r="644" spans="2:10" s="404" customFormat="1" ht="9.6" customHeight="1">
      <c r="B644" s="257">
        <v>37408</v>
      </c>
      <c r="C644" s="520">
        <f t="shared" si="122"/>
        <v>2440424</v>
      </c>
      <c r="D644" s="1152">
        <f t="shared" si="130"/>
        <v>7.911140810872316E-3</v>
      </c>
      <c r="E644" s="540">
        <f>C644/1607</f>
        <v>1518.6210329807093</v>
      </c>
      <c r="F644" s="424">
        <f t="shared" si="131"/>
        <v>-4.6328684089270225E-3</v>
      </c>
      <c r="G644" s="1018">
        <v>1398.5353700000001</v>
      </c>
      <c r="H644" s="675">
        <v>0.2646</v>
      </c>
      <c r="I644" s="310">
        <v>2563</v>
      </c>
      <c r="J644" s="676">
        <f t="shared" si="132"/>
        <v>0.18001841620626152</v>
      </c>
    </row>
    <row r="645" spans="2:10" s="404" customFormat="1" ht="9.6" customHeight="1">
      <c r="B645" s="257">
        <v>37438</v>
      </c>
      <c r="C645" s="520">
        <f t="shared" si="122"/>
        <v>2465176</v>
      </c>
      <c r="D645" s="1152">
        <f t="shared" ref="D645:D650" si="133">(C645-C644)/C644</f>
        <v>1.0142499827898759E-2</v>
      </c>
      <c r="E645" s="540">
        <f>C645/1630</f>
        <v>1512.3779141104294</v>
      </c>
      <c r="F645" s="424">
        <f t="shared" si="131"/>
        <v>-4.1110446482003861E-3</v>
      </c>
      <c r="G645" s="1018">
        <v>1814.3211699999999</v>
      </c>
      <c r="H645" s="675">
        <v>0.45353358819161099</v>
      </c>
      <c r="I645" s="310">
        <v>2286</v>
      </c>
      <c r="J645" s="676">
        <f t="shared" si="132"/>
        <v>-0.10807647288333984</v>
      </c>
    </row>
    <row r="646" spans="2:10" s="404" customFormat="1" ht="9.6" customHeight="1">
      <c r="B646" s="257">
        <v>37469</v>
      </c>
      <c r="C646" s="520">
        <f t="shared" si="122"/>
        <v>2481993</v>
      </c>
      <c r="D646" s="1152">
        <f t="shared" si="133"/>
        <v>6.8218252976663734E-3</v>
      </c>
      <c r="E646" s="540">
        <f>C646/1652</f>
        <v>1502.4170702179176</v>
      </c>
      <c r="F646" s="424">
        <f t="shared" ref="F646:F651" si="134">(E646-E645)/E645</f>
        <v>-6.5862135380168373E-3</v>
      </c>
      <c r="G646" s="1018">
        <v>1230.12643</v>
      </c>
      <c r="H646" s="675">
        <v>0.33944311057018833</v>
      </c>
      <c r="I646" s="310">
        <v>2939</v>
      </c>
      <c r="J646" s="676">
        <f t="shared" si="132"/>
        <v>0.28565179352580927</v>
      </c>
    </row>
    <row r="647" spans="2:10" s="404" customFormat="1" ht="9.6" customHeight="1">
      <c r="B647" s="257">
        <v>37500</v>
      </c>
      <c r="C647" s="520">
        <f t="shared" si="122"/>
        <v>2506499</v>
      </c>
      <c r="D647" s="1152">
        <f t="shared" si="133"/>
        <v>9.8735169680172347E-3</v>
      </c>
      <c r="E647" s="540">
        <f>C647/1673</f>
        <v>1498.2062163777646</v>
      </c>
      <c r="F647" s="424">
        <f t="shared" si="134"/>
        <v>-2.8027196466439827E-3</v>
      </c>
      <c r="G647" s="1018">
        <v>1632.76441</v>
      </c>
      <c r="H647" s="675">
        <v>0.46504173235945945</v>
      </c>
      <c r="I647" s="310">
        <v>2431</v>
      </c>
      <c r="J647" s="676">
        <f t="shared" si="132"/>
        <v>-0.17284790745151413</v>
      </c>
    </row>
    <row r="648" spans="2:10" s="404" customFormat="1" ht="9.6" customHeight="1">
      <c r="B648" s="257">
        <v>37530</v>
      </c>
      <c r="C648" s="520">
        <f t="shared" si="122"/>
        <v>2531278</v>
      </c>
      <c r="D648" s="1152">
        <f t="shared" si="133"/>
        <v>9.8859006127670502E-3</v>
      </c>
      <c r="E648" s="540">
        <f>C648/1696</f>
        <v>1492.4988207547169</v>
      </c>
      <c r="F648" s="424">
        <f t="shared" si="134"/>
        <v>-3.8094860111090147E-3</v>
      </c>
      <c r="G648" s="1018">
        <v>1592.94182</v>
      </c>
      <c r="H648" s="675">
        <v>0.52608664972845809</v>
      </c>
      <c r="I648" s="310">
        <v>2623</v>
      </c>
      <c r="J648" s="676">
        <f t="shared" ref="J648:J653" si="135">(I648-I647)/I647</f>
        <v>7.8979843685726039E-2</v>
      </c>
    </row>
    <row r="649" spans="2:10" s="404" customFormat="1" ht="9.6" customHeight="1">
      <c r="B649" s="257">
        <v>37561</v>
      </c>
      <c r="C649" s="520">
        <f t="shared" si="122"/>
        <v>2546651</v>
      </c>
      <c r="D649" s="1152">
        <f t="shared" si="133"/>
        <v>6.073216770342886E-3</v>
      </c>
      <c r="E649" s="540">
        <f>C649/1716</f>
        <v>1484.0623543123543</v>
      </c>
      <c r="F649" s="424">
        <f t="shared" si="134"/>
        <v>-5.6525782969105111E-3</v>
      </c>
      <c r="G649" s="1018">
        <v>985.95826999999997</v>
      </c>
      <c r="H649" s="675">
        <v>0.3330401591165959</v>
      </c>
      <c r="I649" s="310">
        <v>2112</v>
      </c>
      <c r="J649" s="676">
        <f t="shared" si="135"/>
        <v>-0.19481509721692719</v>
      </c>
    </row>
    <row r="650" spans="2:10" s="404" customFormat="1" ht="9.6" customHeight="1">
      <c r="B650" s="257">
        <v>37591</v>
      </c>
      <c r="C650" s="520">
        <f t="shared" si="122"/>
        <v>2557182</v>
      </c>
      <c r="D650" s="1152">
        <f t="shared" si="133"/>
        <v>4.1352348633558345E-3</v>
      </c>
      <c r="E650" s="540">
        <f>C650/1735</f>
        <v>1473.8801152737751</v>
      </c>
      <c r="F650" s="424">
        <f t="shared" si="134"/>
        <v>-6.8610587749172664E-3</v>
      </c>
      <c r="G650" s="1018">
        <v>671.71852999999999</v>
      </c>
      <c r="H650" s="675">
        <v>0.24247014335769443</v>
      </c>
      <c r="I650" s="310">
        <v>1485</v>
      </c>
      <c r="J650" s="676">
        <f t="shared" si="135"/>
        <v>-0.296875</v>
      </c>
    </row>
    <row r="651" spans="2:10" s="404" customFormat="1" ht="9.6" customHeight="1">
      <c r="B651" s="257">
        <v>37622</v>
      </c>
      <c r="C651" s="520">
        <f t="shared" si="122"/>
        <v>2576815</v>
      </c>
      <c r="D651" s="1152">
        <f t="shared" ref="D651:D656" si="136">(C651-C650)/C650</f>
        <v>7.6775919742904496E-3</v>
      </c>
      <c r="E651" s="540">
        <f>C651/1756</f>
        <v>1467.4345102505695</v>
      </c>
      <c r="F651" s="424">
        <f t="shared" si="134"/>
        <v>-4.3732220527368769E-3</v>
      </c>
      <c r="G651" s="1018">
        <v>1305.39805</v>
      </c>
      <c r="H651" s="675">
        <v>0.282435756909036</v>
      </c>
      <c r="I651" s="310">
        <v>2066</v>
      </c>
      <c r="J651" s="676">
        <f t="shared" si="135"/>
        <v>0.39124579124579123</v>
      </c>
    </row>
    <row r="652" spans="2:10" s="404" customFormat="1" ht="9.6" customHeight="1">
      <c r="B652" s="257">
        <v>37653</v>
      </c>
      <c r="C652" s="520">
        <f t="shared" si="122"/>
        <v>2589111</v>
      </c>
      <c r="D652" s="1152">
        <f t="shared" si="136"/>
        <v>4.7717822195229385E-3</v>
      </c>
      <c r="E652" s="540">
        <f>C652/1773</f>
        <v>1460.2994923857868</v>
      </c>
      <c r="F652" s="424">
        <f t="shared" ref="F652:F657" si="137">(E652-E651)/E651</f>
        <v>-4.8622393810026391E-3</v>
      </c>
      <c r="G652" s="1018">
        <v>798.06281999999999</v>
      </c>
      <c r="H652" s="675">
        <v>0.2886094855807671</v>
      </c>
      <c r="I652" s="310">
        <v>1659</v>
      </c>
      <c r="J652" s="676">
        <f t="shared" si="135"/>
        <v>-0.19699903194578897</v>
      </c>
    </row>
    <row r="653" spans="2:10" s="404" customFormat="1" ht="9.6" customHeight="1">
      <c r="B653" s="257">
        <v>37681</v>
      </c>
      <c r="C653" s="520">
        <f t="shared" si="122"/>
        <v>2603831</v>
      </c>
      <c r="D653" s="1152">
        <f t="shared" si="136"/>
        <v>5.685349141075836E-3</v>
      </c>
      <c r="E653" s="540">
        <f>C653/1793</f>
        <v>1452.2203011712213</v>
      </c>
      <c r="F653" s="424">
        <f t="shared" si="137"/>
        <v>-5.5325577093545538E-3</v>
      </c>
      <c r="G653" s="1018">
        <v>913.73200999999995</v>
      </c>
      <c r="H653" s="675">
        <v>0.23604327518818874</v>
      </c>
      <c r="I653" s="310">
        <v>1774</v>
      </c>
      <c r="J653" s="676">
        <f t="shared" si="135"/>
        <v>6.9318866787221212E-2</v>
      </c>
    </row>
    <row r="654" spans="2:10" s="404" customFormat="1" ht="9.6" customHeight="1">
      <c r="B654" s="257">
        <v>37712</v>
      </c>
      <c r="C654" s="520">
        <f t="shared" si="122"/>
        <v>2618324</v>
      </c>
      <c r="D654" s="1152">
        <f t="shared" si="136"/>
        <v>5.5660294389305604E-3</v>
      </c>
      <c r="E654" s="540">
        <f>C654/1815</f>
        <v>1442.6027548209368</v>
      </c>
      <c r="F654" s="424">
        <f t="shared" si="137"/>
        <v>-6.6226497057835978E-3</v>
      </c>
      <c r="G654" s="1018">
        <v>910.49766999999997</v>
      </c>
      <c r="H654" s="675">
        <v>0.26071781109336373</v>
      </c>
      <c r="I654" s="310">
        <v>1567</v>
      </c>
      <c r="J654" s="676">
        <f t="shared" ref="J654:J659" si="138">(I654-I653)/I653</f>
        <v>-0.11668545659526494</v>
      </c>
    </row>
    <row r="655" spans="2:10" s="404" customFormat="1" ht="9.6" customHeight="1">
      <c r="B655" s="257">
        <v>37742</v>
      </c>
      <c r="C655" s="520">
        <f t="shared" si="122"/>
        <v>2632845</v>
      </c>
      <c r="D655" s="1152">
        <f t="shared" si="136"/>
        <v>5.5459141038313054E-3</v>
      </c>
      <c r="E655" s="540">
        <f>C655/1834</f>
        <v>1435.5752453653217</v>
      </c>
      <c r="F655" s="424">
        <f t="shared" si="137"/>
        <v>-4.8714099790328688E-3</v>
      </c>
      <c r="G655" s="1018">
        <v>951.21405000000004</v>
      </c>
      <c r="H655" s="675">
        <v>0.24240035582422631</v>
      </c>
      <c r="I655" s="310">
        <v>2489</v>
      </c>
      <c r="J655" s="676">
        <f t="shared" si="138"/>
        <v>0.58838544990427566</v>
      </c>
    </row>
    <row r="656" spans="2:10" s="404" customFormat="1" ht="9.6" customHeight="1">
      <c r="B656" s="257">
        <v>37773</v>
      </c>
      <c r="C656" s="520">
        <f t="shared" si="122"/>
        <v>2654595</v>
      </c>
      <c r="D656" s="1152">
        <f t="shared" si="136"/>
        <v>8.2610256205739412E-3</v>
      </c>
      <c r="E656" s="540">
        <f>C656/1855</f>
        <v>1431.0485175202157</v>
      </c>
      <c r="F656" s="424">
        <f t="shared" si="137"/>
        <v>-3.1532501411683936E-3</v>
      </c>
      <c r="G656" s="1018">
        <v>1500.48182</v>
      </c>
      <c r="H656" s="675">
        <v>0.27196342133226864</v>
      </c>
      <c r="I656" s="310">
        <v>3736</v>
      </c>
      <c r="J656" s="676">
        <f t="shared" si="138"/>
        <v>0.50100441944556051</v>
      </c>
    </row>
    <row r="657" spans="2:17" s="404" customFormat="1" ht="9.6" customHeight="1">
      <c r="B657" s="257">
        <v>37803</v>
      </c>
      <c r="C657" s="520">
        <f t="shared" si="122"/>
        <v>2683602</v>
      </c>
      <c r="D657" s="1152">
        <f t="shared" ref="D657:D662" si="139">(C657-C656)/C656</f>
        <v>1.0927090573138275E-2</v>
      </c>
      <c r="E657" s="540">
        <f>C657/1878</f>
        <v>1428.968051118211</v>
      </c>
      <c r="F657" s="424">
        <f t="shared" si="137"/>
        <v>-1.4538056372888431E-3</v>
      </c>
      <c r="G657" s="1018">
        <v>2031.1451199999999</v>
      </c>
      <c r="H657" s="675">
        <v>0.24043249497522123</v>
      </c>
      <c r="I657" s="310">
        <v>4001</v>
      </c>
      <c r="J657" s="676">
        <f t="shared" si="138"/>
        <v>7.0931477516059951E-2</v>
      </c>
    </row>
    <row r="658" spans="2:17" s="404" customFormat="1" ht="9.6" customHeight="1">
      <c r="B658" s="257">
        <v>37834</v>
      </c>
      <c r="C658" s="520">
        <f t="shared" si="122"/>
        <v>2705162</v>
      </c>
      <c r="D658" s="1152">
        <f t="shared" si="139"/>
        <v>8.0339782128646502E-3</v>
      </c>
      <c r="E658" s="540">
        <f>C658/1899</f>
        <v>1424.5192206424433</v>
      </c>
      <c r="F658" s="424">
        <f>(E658-E657)/E657</f>
        <v>-3.113316964844869E-3</v>
      </c>
      <c r="G658" s="1018">
        <v>1575.5474200000001</v>
      </c>
      <c r="H658" s="675">
        <v>0.2621</v>
      </c>
      <c r="I658" s="310">
        <v>2774</v>
      </c>
      <c r="J658" s="676">
        <f t="shared" si="138"/>
        <v>-0.30667333166708322</v>
      </c>
    </row>
    <row r="659" spans="2:17" s="404" customFormat="1" ht="9.6" customHeight="1">
      <c r="B659" s="257">
        <v>37865</v>
      </c>
      <c r="C659" s="520">
        <f t="shared" si="122"/>
        <v>2734767</v>
      </c>
      <c r="D659" s="1152">
        <f t="shared" si="139"/>
        <v>1.0943891715172696E-2</v>
      </c>
      <c r="E659" s="540">
        <f>C659/1920</f>
        <v>1424.3578124999999</v>
      </c>
      <c r="F659" s="424">
        <f>(E659-E658)/E658</f>
        <v>-1.1330710046201608E-4</v>
      </c>
      <c r="G659" s="1018">
        <v>1448.0416499999999</v>
      </c>
      <c r="H659" s="675">
        <v>0.21879440293416583</v>
      </c>
      <c r="I659" s="310">
        <v>5690</v>
      </c>
      <c r="J659" s="676">
        <f t="shared" si="138"/>
        <v>1.0511896178803173</v>
      </c>
    </row>
    <row r="660" spans="2:17" s="404" customFormat="1" ht="9.6" customHeight="1">
      <c r="B660" s="257">
        <v>37895</v>
      </c>
      <c r="C660" s="520">
        <f t="shared" si="122"/>
        <v>2789631</v>
      </c>
      <c r="D660" s="1152">
        <f t="shared" si="139"/>
        <v>2.0061672530054662E-2</v>
      </c>
      <c r="E660" s="540">
        <f>C660/1942</f>
        <v>1436.4732234809476</v>
      </c>
      <c r="F660" s="424">
        <f>(E660-E659)/E659</f>
        <v>8.5058760338337907E-3</v>
      </c>
      <c r="G660" s="1018">
        <v>2175.8303000000001</v>
      </c>
      <c r="H660" s="675">
        <v>0.18429726082790832</v>
      </c>
      <c r="I660" s="310">
        <v>7602</v>
      </c>
      <c r="J660" s="676">
        <f>(I660-I659)/I659</f>
        <v>0.33602811950790862</v>
      </c>
    </row>
    <row r="661" spans="2:17" s="404" customFormat="1" ht="9.6" customHeight="1">
      <c r="B661" s="257">
        <v>37926</v>
      </c>
      <c r="C661" s="520">
        <f t="shared" si="122"/>
        <v>2833181</v>
      </c>
      <c r="D661" s="1152">
        <f t="shared" si="139"/>
        <v>1.5611383727812029E-2</v>
      </c>
      <c r="E661" s="540">
        <f>C661/1959</f>
        <v>1446.2383869321081</v>
      </c>
      <c r="F661" s="424">
        <f>(E661-E660)/E660</f>
        <v>6.7980128634051624E-3</v>
      </c>
      <c r="G661" s="1018">
        <v>1722.6547</v>
      </c>
      <c r="H661" s="675">
        <v>0.31405445100534291</v>
      </c>
      <c r="I661" s="310">
        <v>7681</v>
      </c>
      <c r="J661" s="676">
        <f>(I661-I660)/I660</f>
        <v>1.0392002104709287E-2</v>
      </c>
    </row>
    <row r="662" spans="2:17" s="404" customFormat="1" ht="9.6" customHeight="1" thickBot="1">
      <c r="B662" s="262">
        <v>37956</v>
      </c>
      <c r="C662" s="266">
        <f t="shared" si="122"/>
        <v>2888400</v>
      </c>
      <c r="D662" s="1155">
        <f t="shared" si="139"/>
        <v>1.9490106703383935E-2</v>
      </c>
      <c r="E662" s="312">
        <f>C662/1981</f>
        <v>1458.0514891468956</v>
      </c>
      <c r="F662" s="311">
        <f>(E662-E661)/E661</f>
        <v>8.1681570075362881E-3</v>
      </c>
      <c r="G662" s="1017">
        <v>2176.165825</v>
      </c>
      <c r="H662" s="659">
        <v>0.40293566885450777</v>
      </c>
      <c r="I662" s="315">
        <v>8993</v>
      </c>
      <c r="J662" s="660">
        <f>(I662-I661)/I661</f>
        <v>0.17081109230568936</v>
      </c>
    </row>
    <row r="663" spans="2:17" ht="11.1" customHeight="1">
      <c r="B663" s="62" t="s">
        <v>80</v>
      </c>
      <c r="C663" s="83"/>
      <c r="D663" s="1162"/>
      <c r="E663" s="84"/>
      <c r="F663" s="84"/>
      <c r="G663" s="84"/>
      <c r="H663" s="84"/>
      <c r="I663"/>
      <c r="J663"/>
    </row>
    <row r="664" spans="2:17" ht="2.25" customHeight="1">
      <c r="B664" s="133"/>
      <c r="C664" s="134"/>
      <c r="D664" s="1163"/>
      <c r="E664" s="135"/>
      <c r="F664" s="82"/>
      <c r="G664" s="82"/>
      <c r="H664" s="82"/>
      <c r="I664" s="25"/>
      <c r="J664" s="28"/>
    </row>
    <row r="665" spans="2:17" ht="13.5" thickBot="1">
      <c r="B665" s="104" t="s">
        <v>81</v>
      </c>
      <c r="C665" s="27"/>
      <c r="D665" s="1157"/>
      <c r="E665" s="42"/>
      <c r="F665" s="28"/>
      <c r="G665" s="42"/>
      <c r="H665" s="28"/>
      <c r="I665" s="12"/>
      <c r="J665" s="25"/>
    </row>
    <row r="666" spans="2:17" s="433" customFormat="1" ht="9.6" customHeight="1">
      <c r="B666" s="412"/>
      <c r="C666" s="1223" t="s">
        <v>116</v>
      </c>
      <c r="D666" s="1224"/>
      <c r="E666" s="1224"/>
      <c r="F666" s="1224"/>
      <c r="G666" s="1224"/>
      <c r="H666" s="1224"/>
      <c r="I666" s="1224"/>
      <c r="J666" s="1225"/>
      <c r="K666" s="430"/>
      <c r="L666" s="431"/>
      <c r="M666" s="432"/>
      <c r="N666" s="430"/>
      <c r="O666" s="432"/>
      <c r="P666" s="432"/>
      <c r="Q666" s="432"/>
    </row>
    <row r="667" spans="2:17" s="433" customFormat="1" ht="9.6" customHeight="1">
      <c r="B667" s="207" t="s">
        <v>54</v>
      </c>
      <c r="C667" s="434" t="s">
        <v>55</v>
      </c>
      <c r="D667" s="1161"/>
      <c r="E667" s="435" t="s">
        <v>75</v>
      </c>
      <c r="F667" s="436"/>
      <c r="G667" s="437" t="s">
        <v>82</v>
      </c>
      <c r="H667" s="467"/>
      <c r="I667" s="466" t="s">
        <v>117</v>
      </c>
      <c r="J667" s="281"/>
      <c r="K667" s="430"/>
      <c r="L667" s="431"/>
      <c r="M667" s="432"/>
      <c r="N667" s="430"/>
      <c r="O667" s="432"/>
      <c r="P667" s="432"/>
      <c r="Q667" s="432"/>
    </row>
    <row r="668" spans="2:17" s="404" customFormat="1" ht="9.6" customHeight="1">
      <c r="B668" s="207" t="s">
        <v>61</v>
      </c>
      <c r="C668" s="440" t="s">
        <v>21</v>
      </c>
      <c r="D668" s="1164" t="s">
        <v>83</v>
      </c>
      <c r="E668" s="442"/>
      <c r="F668" s="441" t="s">
        <v>3</v>
      </c>
      <c r="G668" s="443"/>
      <c r="H668" s="441" t="s">
        <v>3</v>
      </c>
      <c r="I668" s="443"/>
      <c r="J668" s="444" t="s">
        <v>3</v>
      </c>
      <c r="K668" s="272"/>
      <c r="L668" s="271"/>
      <c r="M668" s="273"/>
      <c r="N668" s="272"/>
      <c r="O668" s="273"/>
      <c r="P668" s="273"/>
      <c r="Q668" s="273"/>
    </row>
    <row r="669" spans="2:17" s="404" customFormat="1" ht="9.6" customHeight="1">
      <c r="B669" s="243">
        <v>36861</v>
      </c>
      <c r="C669" s="242">
        <v>349</v>
      </c>
      <c r="D669" s="1165" t="s">
        <v>64</v>
      </c>
      <c r="E669" s="234">
        <f>C669/17</f>
        <v>20.529411764705884</v>
      </c>
      <c r="F669" s="445" t="s">
        <v>64</v>
      </c>
      <c r="G669" s="234">
        <f>C669/17</f>
        <v>20.529411764705884</v>
      </c>
      <c r="H669" s="445" t="s">
        <v>64</v>
      </c>
      <c r="I669" s="260">
        <f t="shared" ref="I669:I705" si="140">C669/C562</f>
        <v>1.8547058510920977E-2</v>
      </c>
      <c r="J669" s="446" t="s">
        <v>64</v>
      </c>
      <c r="K669" s="272"/>
      <c r="L669" s="271"/>
      <c r="M669" s="273"/>
      <c r="N669" s="272"/>
      <c r="O669" s="273"/>
      <c r="P669" s="273"/>
      <c r="Q669" s="273"/>
    </row>
    <row r="670" spans="2:17" s="404" customFormat="1" ht="9.6" customHeight="1">
      <c r="B670" s="243">
        <v>36892</v>
      </c>
      <c r="C670" s="242">
        <v>93</v>
      </c>
      <c r="D670" s="1151">
        <f t="shared" ref="D670:D676" si="141">(C670-C669)/C669</f>
        <v>-0.73352435530085958</v>
      </c>
      <c r="E670" s="234">
        <f>C670/19</f>
        <v>4.8947368421052628</v>
      </c>
      <c r="F670" s="297">
        <f t="shared" ref="F670:F675" si="142">(E670-E669)/E669</f>
        <v>-0.76157442316392698</v>
      </c>
      <c r="G670" s="234">
        <f>C670/19</f>
        <v>4.8947368421052628</v>
      </c>
      <c r="H670" s="458" t="s">
        <v>31</v>
      </c>
      <c r="I670" s="260">
        <f t="shared" si="140"/>
        <v>4.0480543222773573E-3</v>
      </c>
      <c r="J670" s="306">
        <f t="shared" ref="J670:J676" si="143">(I670-I669)/I669</f>
        <v>-0.78174143787308592</v>
      </c>
      <c r="K670" s="272"/>
      <c r="L670" s="271"/>
      <c r="M670" s="273"/>
      <c r="N670" s="272"/>
      <c r="O670" s="273"/>
      <c r="P670" s="273"/>
      <c r="Q670" s="273"/>
    </row>
    <row r="671" spans="2:17" s="404" customFormat="1" ht="9.6" customHeight="1">
      <c r="B671" s="243">
        <v>36923</v>
      </c>
      <c r="C671" s="242">
        <v>180</v>
      </c>
      <c r="D671" s="1151">
        <f t="shared" si="141"/>
        <v>0.93548387096774188</v>
      </c>
      <c r="E671" s="234">
        <f>C671/19</f>
        <v>9.473684210526315</v>
      </c>
      <c r="F671" s="297">
        <f t="shared" si="142"/>
        <v>0.93548387096774188</v>
      </c>
      <c r="G671" s="234">
        <f>SUM(C670:C671)/38</f>
        <v>7.1842105263157894</v>
      </c>
      <c r="H671" s="425">
        <f>(G671-G670)/G670</f>
        <v>0.46774193548387105</v>
      </c>
      <c r="I671" s="260">
        <f t="shared" si="140"/>
        <v>8.1536510237361845E-3</v>
      </c>
      <c r="J671" s="306">
        <f t="shared" si="143"/>
        <v>1.0142148238636031</v>
      </c>
      <c r="K671" s="272"/>
      <c r="L671" s="271"/>
      <c r="M671" s="273"/>
      <c r="N671" s="272"/>
      <c r="O671" s="273"/>
      <c r="P671" s="273"/>
      <c r="Q671" s="273"/>
    </row>
    <row r="672" spans="2:17" s="404" customFormat="1" ht="9.6" customHeight="1">
      <c r="B672" s="243">
        <v>36951</v>
      </c>
      <c r="C672" s="242">
        <v>170</v>
      </c>
      <c r="D672" s="1151">
        <f t="shared" si="141"/>
        <v>-5.5555555555555552E-2</v>
      </c>
      <c r="E672" s="234">
        <f>C672/20</f>
        <v>8.5</v>
      </c>
      <c r="F672" s="297">
        <f t="shared" si="142"/>
        <v>-0.1027777777777777</v>
      </c>
      <c r="G672" s="234">
        <f>SUM(C670:C672)/58</f>
        <v>7.6379310344827589</v>
      </c>
      <c r="H672" s="297">
        <f>(G672-G671)/G671</f>
        <v>6.3155235569028731E-2</v>
      </c>
      <c r="I672" s="260">
        <f t="shared" si="140"/>
        <v>8.1103000811030002E-3</v>
      </c>
      <c r="J672" s="306">
        <f t="shared" si="143"/>
        <v>-5.3167522753898751E-3</v>
      </c>
      <c r="K672" s="272"/>
      <c r="L672" s="271"/>
      <c r="M672" s="273"/>
      <c r="N672" s="272"/>
      <c r="O672" s="273"/>
      <c r="P672" s="273"/>
      <c r="Q672" s="273"/>
    </row>
    <row r="673" spans="2:17" s="404" customFormat="1" ht="9.6" customHeight="1">
      <c r="B673" s="243">
        <v>36982</v>
      </c>
      <c r="C673" s="242">
        <v>80</v>
      </c>
      <c r="D673" s="1151">
        <f t="shared" si="141"/>
        <v>-0.52941176470588236</v>
      </c>
      <c r="E673" s="234">
        <f>C673/21</f>
        <v>3.8095238095238093</v>
      </c>
      <c r="F673" s="297">
        <f t="shared" si="142"/>
        <v>-0.55182072829131656</v>
      </c>
      <c r="G673" s="234">
        <f>SUM(C670:C673)/79</f>
        <v>6.6202531645569618</v>
      </c>
      <c r="H673" s="297">
        <f>(G673-G672)/G672</f>
        <v>-0.1332399919993143</v>
      </c>
      <c r="I673" s="260">
        <f t="shared" si="140"/>
        <v>2.1949680357779789E-3</v>
      </c>
      <c r="J673" s="306">
        <f t="shared" si="143"/>
        <v>-0.72936044118857513</v>
      </c>
      <c r="K673" s="272"/>
      <c r="L673" s="271"/>
      <c r="M673" s="273"/>
      <c r="N673" s="272"/>
      <c r="O673" s="273"/>
      <c r="P673" s="273"/>
      <c r="Q673" s="273"/>
    </row>
    <row r="674" spans="2:17" s="404" customFormat="1" ht="9.6" customHeight="1">
      <c r="B674" s="243">
        <v>37012</v>
      </c>
      <c r="C674" s="242">
        <v>28</v>
      </c>
      <c r="D674" s="1151">
        <f t="shared" si="141"/>
        <v>-0.65</v>
      </c>
      <c r="E674" s="234">
        <f>C674/21</f>
        <v>1.3333333333333333</v>
      </c>
      <c r="F674" s="297">
        <f t="shared" si="142"/>
        <v>-0.65</v>
      </c>
      <c r="G674" s="234">
        <f>SUM(C670:C674)/100</f>
        <v>5.51</v>
      </c>
      <c r="H674" s="297">
        <f>(G674-G673)/G673</f>
        <v>-0.1677055449330784</v>
      </c>
      <c r="I674" s="260">
        <f t="shared" si="140"/>
        <v>1.0732492621411322E-3</v>
      </c>
      <c r="J674" s="306">
        <f t="shared" si="143"/>
        <v>-0.51104105178427695</v>
      </c>
      <c r="K674" s="272"/>
      <c r="L674" s="271"/>
      <c r="M674" s="273"/>
      <c r="N674" s="272"/>
      <c r="O674" s="273"/>
      <c r="P674" s="273"/>
      <c r="Q674" s="273"/>
    </row>
    <row r="675" spans="2:17" s="404" customFormat="1" ht="9.6" customHeight="1" ph="1">
      <c r="B675" s="243">
        <v>37043</v>
      </c>
      <c r="C675" s="242">
        <v>2</v>
      </c>
      <c r="D675" s="1151">
        <f t="shared" si="141"/>
        <v>-0.9285714285714286</v>
      </c>
      <c r="E675" s="234">
        <f>C675/20</f>
        <v>0.1</v>
      </c>
      <c r="F675" s="297">
        <f t="shared" si="142"/>
        <v>-0.92499999999999993</v>
      </c>
      <c r="G675" s="234">
        <f>SUM(C670:C675)/120</f>
        <v>4.6083333333333334</v>
      </c>
      <c r="H675" s="297">
        <f>(G675-G674)/G674</f>
        <v>-0.16364186327888683</v>
      </c>
      <c r="I675" s="260">
        <f t="shared" si="140"/>
        <v>1.0155892956888235E-4</v>
      </c>
      <c r="J675" s="306">
        <f t="shared" si="143"/>
        <v>-0.90537246737419386</v>
      </c>
      <c r="K675" s="272"/>
      <c r="L675" s="271"/>
      <c r="M675" s="273"/>
      <c r="N675" s="272"/>
      <c r="O675" s="273"/>
      <c r="P675" s="273"/>
      <c r="Q675" s="273"/>
    </row>
    <row r="676" spans="2:17" s="404" customFormat="1" ht="9.6" customHeight="1">
      <c r="B676" s="582">
        <v>37073</v>
      </c>
      <c r="C676" s="583">
        <v>1</v>
      </c>
      <c r="D676" s="1152">
        <f t="shared" si="141"/>
        <v>-0.5</v>
      </c>
      <c r="E676" s="584">
        <f>C676/22</f>
        <v>4.5454545454545456E-2</v>
      </c>
      <c r="F676" s="424">
        <f>(E676-E675)/E675</f>
        <v>-0.54545454545454541</v>
      </c>
      <c r="G676" s="584">
        <f>SUM(C670:C676)/142</f>
        <v>3.9014084507042255</v>
      </c>
      <c r="H676" s="424">
        <f t="shared" ref="H676:H681" si="144">(G676-G675)/G675</f>
        <v>-0.15340142118533986</v>
      </c>
      <c r="I676" s="585">
        <f t="shared" si="140"/>
        <v>3.5103731526661287E-5</v>
      </c>
      <c r="J676" s="568">
        <f t="shared" si="143"/>
        <v>-0.65435110752272962</v>
      </c>
      <c r="K676" s="272"/>
      <c r="L676" s="271"/>
      <c r="M676" s="273"/>
      <c r="N676" s="272"/>
      <c r="O676" s="273"/>
      <c r="P676" s="273"/>
      <c r="Q676" s="273"/>
    </row>
    <row r="677" spans="2:17" s="404" customFormat="1" ht="9.6" customHeight="1">
      <c r="B677" s="257">
        <v>37104</v>
      </c>
      <c r="C677" s="583">
        <v>5</v>
      </c>
      <c r="D677" s="1152">
        <f>(C677-C676)/C676</f>
        <v>4</v>
      </c>
      <c r="E677" s="584">
        <f>C677/22</f>
        <v>0.22727272727272727</v>
      </c>
      <c r="F677" s="424">
        <f>(E677-E676)/E676</f>
        <v>4</v>
      </c>
      <c r="G677" s="584">
        <f>SUM(C670:C677)/164</f>
        <v>3.4085365853658538</v>
      </c>
      <c r="H677" s="424">
        <f t="shared" si="144"/>
        <v>-0.12633177775821078</v>
      </c>
      <c r="I677" s="585">
        <f t="shared" si="140"/>
        <v>2.3023437859741216E-4</v>
      </c>
      <c r="J677" s="568">
        <f>(I677-I676)/I676</f>
        <v>5.55868674310448</v>
      </c>
      <c r="K677" s="272"/>
      <c r="L677" s="271"/>
      <c r="M677" s="273"/>
      <c r="N677" s="272"/>
      <c r="O677" s="273"/>
      <c r="P677" s="273"/>
      <c r="Q677" s="273"/>
    </row>
    <row r="678" spans="2:17" s="404" customFormat="1" ht="9.6" customHeight="1">
      <c r="B678" s="257">
        <v>37135</v>
      </c>
      <c r="C678" s="583">
        <v>4</v>
      </c>
      <c r="D678" s="1152">
        <f>(C678-C677)/C677</f>
        <v>-0.2</v>
      </c>
      <c r="E678" s="584">
        <f>C678/19</f>
        <v>0.21052631578947367</v>
      </c>
      <c r="F678" s="424">
        <f>(E678-E677)/E677</f>
        <v>-7.368421052631581E-2</v>
      </c>
      <c r="G678" s="584">
        <f>SUM(C670:C678)/183</f>
        <v>3.0765027322404372</v>
      </c>
      <c r="H678" s="424">
        <f t="shared" si="144"/>
        <v>-9.7412436337331501E-2</v>
      </c>
      <c r="I678" s="585">
        <f t="shared" si="140"/>
        <v>1.3821700069108501E-4</v>
      </c>
      <c r="J678" s="568">
        <f>(I678-I677)/I677</f>
        <v>-0.39966827919834136</v>
      </c>
      <c r="K678" s="272"/>
      <c r="L678" s="271"/>
      <c r="M678" s="273"/>
      <c r="N678" s="272"/>
      <c r="O678" s="273"/>
      <c r="P678" s="273"/>
      <c r="Q678" s="273"/>
    </row>
    <row r="679" spans="2:17" s="404" customFormat="1" ht="9.6" customHeight="1">
      <c r="B679" s="257">
        <v>37165</v>
      </c>
      <c r="C679" s="583">
        <v>1</v>
      </c>
      <c r="D679" s="1152">
        <f>(C679-C678)/C678</f>
        <v>-0.75</v>
      </c>
      <c r="E679" s="584">
        <f>C679/23</f>
        <v>4.3478260869565216E-2</v>
      </c>
      <c r="F679" s="424">
        <f>(E679-E678)/E678</f>
        <v>-0.79347826086956519</v>
      </c>
      <c r="G679" s="584">
        <f>SUM(C670:C679)/206</f>
        <v>2.737864077669903</v>
      </c>
      <c r="H679" s="424">
        <f t="shared" si="144"/>
        <v>-0.11007259997585747</v>
      </c>
      <c r="I679" s="585">
        <f t="shared" si="140"/>
        <v>5.0152966547971315E-5</v>
      </c>
      <c r="J679" s="568">
        <f>(I679-I678)/I678</f>
        <v>-0.63714328702542755</v>
      </c>
      <c r="K679" s="272"/>
      <c r="L679" s="271"/>
      <c r="M679" s="273"/>
      <c r="N679" s="272"/>
      <c r="O679" s="273"/>
      <c r="P679" s="273"/>
      <c r="Q679" s="273"/>
    </row>
    <row r="680" spans="2:17" s="404" customFormat="1" ht="9.6" customHeight="1">
      <c r="B680" s="243">
        <v>37196</v>
      </c>
      <c r="C680" s="242">
        <v>0</v>
      </c>
      <c r="D680" s="1151">
        <f>(C680-C679)/C679</f>
        <v>-1</v>
      </c>
      <c r="E680" s="234">
        <f>C680/20</f>
        <v>0</v>
      </c>
      <c r="F680" s="297">
        <f>(E680-E679)/E679</f>
        <v>-1</v>
      </c>
      <c r="G680" s="234">
        <f>SUM(C670:C680)/226</f>
        <v>2.4955752212389379</v>
      </c>
      <c r="H680" s="297">
        <f t="shared" si="144"/>
        <v>-8.849557522123902E-2</v>
      </c>
      <c r="I680" s="260">
        <f t="shared" si="140"/>
        <v>0</v>
      </c>
      <c r="J680" s="306">
        <f>(I680-I679)/I679</f>
        <v>-1</v>
      </c>
      <c r="K680" s="272"/>
      <c r="L680" s="271"/>
      <c r="M680" s="273"/>
      <c r="N680" s="272"/>
      <c r="O680" s="273"/>
      <c r="P680" s="273"/>
      <c r="Q680" s="273"/>
    </row>
    <row r="681" spans="2:17" s="404" customFormat="1" ht="9.6" customHeight="1">
      <c r="B681" s="257">
        <v>37226</v>
      </c>
      <c r="C681" s="583">
        <v>0</v>
      </c>
      <c r="D681" s="1152">
        <v>0</v>
      </c>
      <c r="E681" s="584">
        <f>C681/17</f>
        <v>0</v>
      </c>
      <c r="F681" s="424">
        <v>0</v>
      </c>
      <c r="G681" s="584">
        <f>SUM(C671:C681)/243</f>
        <v>1.9382716049382716</v>
      </c>
      <c r="H681" s="424">
        <f t="shared" si="144"/>
        <v>-0.22331669731196915</v>
      </c>
      <c r="I681" s="585">
        <f t="shared" si="140"/>
        <v>0</v>
      </c>
      <c r="J681" s="568">
        <v>0</v>
      </c>
      <c r="K681" s="272"/>
      <c r="L681" s="271"/>
      <c r="M681" s="273"/>
      <c r="N681" s="272"/>
      <c r="O681" s="273"/>
      <c r="P681" s="273"/>
      <c r="Q681" s="273"/>
    </row>
    <row r="682" spans="2:17" s="404" customFormat="1" ht="9.6" customHeight="1">
      <c r="B682" s="257">
        <v>37257</v>
      </c>
      <c r="C682" s="583">
        <v>0</v>
      </c>
      <c r="D682" s="1152">
        <v>0</v>
      </c>
      <c r="E682" s="584">
        <f>C682/22</f>
        <v>0</v>
      </c>
      <c r="F682" s="424">
        <v>0</v>
      </c>
      <c r="G682" s="584">
        <f>SUM(C682)/22</f>
        <v>0</v>
      </c>
      <c r="H682" s="675" t="s">
        <v>31</v>
      </c>
      <c r="I682" s="585">
        <f t="shared" si="140"/>
        <v>0</v>
      </c>
      <c r="J682" s="568">
        <v>0</v>
      </c>
      <c r="K682" s="272"/>
      <c r="L682" s="271"/>
      <c r="M682" s="273"/>
      <c r="N682" s="272"/>
      <c r="O682" s="273"/>
      <c r="P682" s="273"/>
      <c r="Q682" s="273"/>
    </row>
    <row r="683" spans="2:17" s="404" customFormat="1" ht="9.6" customHeight="1">
      <c r="B683" s="257">
        <v>37288</v>
      </c>
      <c r="C683" s="583">
        <v>0</v>
      </c>
      <c r="D683" s="1152">
        <v>0</v>
      </c>
      <c r="E683" s="584">
        <f>C683/16</f>
        <v>0</v>
      </c>
      <c r="F683" s="424">
        <v>0</v>
      </c>
      <c r="G683" s="584">
        <f>SUM(C$682:C683)/38</f>
        <v>0</v>
      </c>
      <c r="H683" s="675">
        <v>0</v>
      </c>
      <c r="I683" s="585">
        <f t="shared" si="140"/>
        <v>0</v>
      </c>
      <c r="J683" s="568">
        <v>0</v>
      </c>
      <c r="K683" s="272"/>
      <c r="L683" s="271"/>
      <c r="M683" s="273"/>
      <c r="N683" s="272"/>
      <c r="O683" s="273"/>
      <c r="P683" s="273"/>
      <c r="Q683" s="273"/>
    </row>
    <row r="684" spans="2:17" s="404" customFormat="1" ht="9.6" customHeight="1">
      <c r="B684" s="257">
        <v>37316</v>
      </c>
      <c r="C684" s="583">
        <v>0</v>
      </c>
      <c r="D684" s="1152">
        <v>0</v>
      </c>
      <c r="E684" s="584">
        <f>C684/20</f>
        <v>0</v>
      </c>
      <c r="F684" s="424">
        <v>0</v>
      </c>
      <c r="G684" s="584">
        <f>SUM(C$682:C684)/58</f>
        <v>0</v>
      </c>
      <c r="H684" s="675">
        <v>0</v>
      </c>
      <c r="I684" s="585">
        <f t="shared" si="140"/>
        <v>0</v>
      </c>
      <c r="J684" s="568">
        <v>0</v>
      </c>
      <c r="K684" s="272"/>
      <c r="L684" s="271"/>
      <c r="M684" s="273"/>
      <c r="N684" s="272"/>
      <c r="O684" s="273"/>
      <c r="P684" s="273"/>
      <c r="Q684" s="273"/>
    </row>
    <row r="685" spans="2:17" s="404" customFormat="1" ht="9.6" customHeight="1">
      <c r="B685" s="257">
        <v>37347</v>
      </c>
      <c r="C685" s="583">
        <v>1</v>
      </c>
      <c r="D685" s="1152">
        <v>1</v>
      </c>
      <c r="E685" s="584">
        <f>C685/21</f>
        <v>4.7619047619047616E-2</v>
      </c>
      <c r="F685" s="424">
        <v>0</v>
      </c>
      <c r="G685" s="584">
        <f>SUM(C$682:C685)/79</f>
        <v>1.2658227848101266E-2</v>
      </c>
      <c r="H685" s="675">
        <v>0</v>
      </c>
      <c r="I685" s="585">
        <f t="shared" si="140"/>
        <v>4.3767507002801121E-5</v>
      </c>
      <c r="J685" s="568">
        <v>0</v>
      </c>
      <c r="K685" s="272"/>
      <c r="L685" s="271"/>
      <c r="M685" s="273"/>
      <c r="N685" s="272"/>
      <c r="O685" s="273"/>
      <c r="P685" s="273"/>
      <c r="Q685" s="273"/>
    </row>
    <row r="686" spans="2:17" s="404" customFormat="1" ht="9.6" customHeight="1">
      <c r="B686" s="257">
        <v>37377</v>
      </c>
      <c r="C686" s="583">
        <v>0</v>
      </c>
      <c r="D686" s="1152">
        <v>0</v>
      </c>
      <c r="E686" s="584">
        <f>C686/21</f>
        <v>0</v>
      </c>
      <c r="F686" s="424">
        <v>0</v>
      </c>
      <c r="G686" s="584">
        <f>SUM(C$682:C686)/100</f>
        <v>0.01</v>
      </c>
      <c r="H686" s="675">
        <v>0</v>
      </c>
      <c r="I686" s="585">
        <f t="shared" si="140"/>
        <v>0</v>
      </c>
      <c r="J686" s="568">
        <v>0</v>
      </c>
      <c r="K686" s="272"/>
      <c r="L686" s="271"/>
      <c r="M686" s="273"/>
      <c r="N686" s="272"/>
      <c r="O686" s="273"/>
      <c r="P686" s="273"/>
      <c r="Q686" s="273"/>
    </row>
    <row r="687" spans="2:17" s="404" customFormat="1" ht="9.6" customHeight="1">
      <c r="B687" s="257">
        <v>37408</v>
      </c>
      <c r="C687" s="583">
        <v>0</v>
      </c>
      <c r="D687" s="1152">
        <v>0</v>
      </c>
      <c r="E687" s="584">
        <f>C687/21</f>
        <v>0</v>
      </c>
      <c r="F687" s="424">
        <v>0</v>
      </c>
      <c r="G687" s="584">
        <f>SUM(C$682:C687)/120</f>
        <v>8.3333333333333332E-3</v>
      </c>
      <c r="H687" s="675">
        <v>0</v>
      </c>
      <c r="I687" s="585">
        <f t="shared" si="140"/>
        <v>0</v>
      </c>
      <c r="J687" s="568">
        <v>0</v>
      </c>
      <c r="K687" s="272"/>
      <c r="L687" s="271"/>
      <c r="M687" s="273"/>
      <c r="N687" s="272"/>
      <c r="O687" s="273"/>
      <c r="P687" s="273"/>
      <c r="Q687" s="273"/>
    </row>
    <row r="688" spans="2:17" s="404" customFormat="1" ht="9.6" customHeight="1">
      <c r="B688" s="257">
        <v>37438</v>
      </c>
      <c r="C688" s="583">
        <v>0</v>
      </c>
      <c r="D688" s="1152">
        <v>0</v>
      </c>
      <c r="E688" s="584">
        <f t="shared" ref="E688:E693" si="145">C688/23</f>
        <v>0</v>
      </c>
      <c r="F688" s="424">
        <v>0</v>
      </c>
      <c r="G688" s="584">
        <f>SUM(C$682:C688)/143</f>
        <v>6.993006993006993E-3</v>
      </c>
      <c r="H688" s="675">
        <v>0</v>
      </c>
      <c r="I688" s="585">
        <f t="shared" si="140"/>
        <v>0</v>
      </c>
      <c r="J688" s="568">
        <v>0</v>
      </c>
      <c r="K688" s="272"/>
      <c r="L688" s="271"/>
      <c r="M688" s="273"/>
      <c r="N688" s="272"/>
      <c r="O688" s="273"/>
      <c r="P688" s="273"/>
      <c r="Q688" s="273"/>
    </row>
    <row r="689" spans="2:17" s="404" customFormat="1" ht="9.6" customHeight="1">
      <c r="B689" s="257">
        <v>37469</v>
      </c>
      <c r="C689" s="583">
        <v>0</v>
      </c>
      <c r="D689" s="1152">
        <v>0</v>
      </c>
      <c r="E689" s="584">
        <f t="shared" si="145"/>
        <v>0</v>
      </c>
      <c r="F689" s="424">
        <v>0</v>
      </c>
      <c r="G689" s="584">
        <f>SUM(C$682:C689)/165</f>
        <v>6.0606060606060606E-3</v>
      </c>
      <c r="H689" s="675">
        <v>0</v>
      </c>
      <c r="I689" s="585">
        <f t="shared" si="140"/>
        <v>0</v>
      </c>
      <c r="J689" s="568">
        <v>0</v>
      </c>
      <c r="K689" s="272"/>
      <c r="L689" s="271"/>
      <c r="M689" s="273"/>
      <c r="N689" s="272"/>
      <c r="O689" s="273"/>
      <c r="P689" s="273"/>
      <c r="Q689" s="273"/>
    </row>
    <row r="690" spans="2:17" s="404" customFormat="1" ht="9.6" customHeight="1">
      <c r="B690" s="257">
        <v>37500</v>
      </c>
      <c r="C690" s="583">
        <v>0</v>
      </c>
      <c r="D690" s="1152">
        <v>0</v>
      </c>
      <c r="E690" s="584">
        <f t="shared" si="145"/>
        <v>0</v>
      </c>
      <c r="F690" s="424">
        <v>0</v>
      </c>
      <c r="G690" s="584">
        <f>SUM(C$682:C690)/186</f>
        <v>5.3763440860215058E-3</v>
      </c>
      <c r="H690" s="675">
        <v>0</v>
      </c>
      <c r="I690" s="585">
        <f t="shared" si="140"/>
        <v>0</v>
      </c>
      <c r="J690" s="568">
        <v>0</v>
      </c>
      <c r="K690" s="272"/>
      <c r="L690" s="271"/>
      <c r="M690" s="273"/>
      <c r="N690" s="272"/>
      <c r="O690" s="273"/>
      <c r="P690" s="273"/>
      <c r="Q690" s="273"/>
    </row>
    <row r="691" spans="2:17" s="404" customFormat="1" ht="9.6" customHeight="1">
      <c r="B691" s="257">
        <v>37530</v>
      </c>
      <c r="C691" s="583">
        <v>0</v>
      </c>
      <c r="D691" s="1152">
        <v>0</v>
      </c>
      <c r="E691" s="584">
        <f t="shared" si="145"/>
        <v>0</v>
      </c>
      <c r="F691" s="424">
        <v>0</v>
      </c>
      <c r="G691" s="584">
        <f>SUM(C$682:C691)/209</f>
        <v>4.7846889952153108E-3</v>
      </c>
      <c r="H691" s="675">
        <v>0</v>
      </c>
      <c r="I691" s="585">
        <f t="shared" si="140"/>
        <v>0</v>
      </c>
      <c r="J691" s="568">
        <v>0</v>
      </c>
      <c r="K691" s="272"/>
      <c r="L691" s="271"/>
      <c r="M691" s="273"/>
      <c r="N691" s="272"/>
      <c r="O691" s="273"/>
      <c r="P691" s="273"/>
      <c r="Q691" s="273"/>
    </row>
    <row r="692" spans="2:17" s="404" customFormat="1" ht="9.6" customHeight="1">
      <c r="B692" s="257">
        <v>37561</v>
      </c>
      <c r="C692" s="583">
        <v>0</v>
      </c>
      <c r="D692" s="1152">
        <v>0</v>
      </c>
      <c r="E692" s="584">
        <f t="shared" si="145"/>
        <v>0</v>
      </c>
      <c r="F692" s="424">
        <v>0</v>
      </c>
      <c r="G692" s="584">
        <f>SUM(C$682:C692)/229</f>
        <v>4.3668122270742356E-3</v>
      </c>
      <c r="H692" s="675">
        <v>0</v>
      </c>
      <c r="I692" s="585">
        <f t="shared" si="140"/>
        <v>0</v>
      </c>
      <c r="J692" s="568">
        <v>0</v>
      </c>
      <c r="K692" s="272"/>
      <c r="L692" s="271"/>
      <c r="M692" s="273"/>
      <c r="N692" s="272"/>
      <c r="O692" s="273"/>
      <c r="P692" s="273"/>
      <c r="Q692" s="273"/>
    </row>
    <row r="693" spans="2:17" s="404" customFormat="1" ht="9.6" customHeight="1">
      <c r="B693" s="257">
        <v>37591</v>
      </c>
      <c r="C693" s="583">
        <v>0</v>
      </c>
      <c r="D693" s="1152">
        <v>0</v>
      </c>
      <c r="E693" s="584">
        <f t="shared" si="145"/>
        <v>0</v>
      </c>
      <c r="F693" s="424">
        <v>0</v>
      </c>
      <c r="G693" s="584">
        <f>SUM(C$682:C693)/248</f>
        <v>4.0322580645161289E-3</v>
      </c>
      <c r="H693" s="675">
        <v>0</v>
      </c>
      <c r="I693" s="585">
        <f t="shared" si="140"/>
        <v>0</v>
      </c>
      <c r="J693" s="568">
        <v>0</v>
      </c>
      <c r="K693" s="272"/>
      <c r="L693" s="271"/>
      <c r="M693" s="273"/>
      <c r="N693" s="272"/>
      <c r="O693" s="273"/>
      <c r="P693" s="273"/>
      <c r="Q693" s="273"/>
    </row>
    <row r="694" spans="2:17" s="404" customFormat="1" ht="9.6" customHeight="1">
      <c r="B694" s="257">
        <v>37622</v>
      </c>
      <c r="C694" s="583">
        <v>0</v>
      </c>
      <c r="D694" s="1152">
        <v>0</v>
      </c>
      <c r="E694" s="584">
        <f t="shared" ref="E694:E699" si="146">C694/23</f>
        <v>0</v>
      </c>
      <c r="F694" s="424">
        <v>0</v>
      </c>
      <c r="G694" s="584">
        <f>SUM(C694)/21</f>
        <v>0</v>
      </c>
      <c r="H694" s="675" t="s">
        <v>31</v>
      </c>
      <c r="I694" s="585">
        <f t="shared" si="140"/>
        <v>0</v>
      </c>
      <c r="J694" s="568">
        <v>0</v>
      </c>
      <c r="K694" s="272"/>
      <c r="L694" s="271"/>
      <c r="M694" s="273"/>
      <c r="N694" s="272"/>
      <c r="O694" s="273"/>
      <c r="P694" s="273"/>
      <c r="Q694" s="273"/>
    </row>
    <row r="695" spans="2:17" s="404" customFormat="1" ht="9.6" customHeight="1">
      <c r="B695" s="257">
        <v>37653</v>
      </c>
      <c r="C695" s="583">
        <v>0</v>
      </c>
      <c r="D695" s="1152">
        <v>0</v>
      </c>
      <c r="E695" s="584">
        <f t="shared" si="146"/>
        <v>0</v>
      </c>
      <c r="F695" s="424">
        <v>0</v>
      </c>
      <c r="G695" s="584">
        <f>SUM(C$694:C695)/38</f>
        <v>0</v>
      </c>
      <c r="H695" s="675">
        <v>0</v>
      </c>
      <c r="I695" s="585">
        <f t="shared" si="140"/>
        <v>0</v>
      </c>
      <c r="J695" s="568">
        <v>0</v>
      </c>
      <c r="K695" s="272"/>
      <c r="L695" s="271"/>
      <c r="M695" s="273"/>
      <c r="N695" s="272"/>
      <c r="O695" s="273"/>
      <c r="P695" s="273"/>
      <c r="Q695" s="273"/>
    </row>
    <row r="696" spans="2:17" s="404" customFormat="1" ht="9.6" customHeight="1">
      <c r="B696" s="257">
        <v>37681</v>
      </c>
      <c r="C696" s="583">
        <v>0</v>
      </c>
      <c r="D696" s="1152">
        <v>0</v>
      </c>
      <c r="E696" s="584">
        <f t="shared" si="146"/>
        <v>0</v>
      </c>
      <c r="F696" s="424">
        <v>0</v>
      </c>
      <c r="G696" s="584">
        <f>SUM(C$694:C696)/58</f>
        <v>0</v>
      </c>
      <c r="H696" s="675">
        <v>0</v>
      </c>
      <c r="I696" s="585">
        <f t="shared" si="140"/>
        <v>0</v>
      </c>
      <c r="J696" s="568">
        <v>0</v>
      </c>
      <c r="K696" s="272"/>
      <c r="L696" s="271"/>
      <c r="M696" s="273"/>
      <c r="N696" s="272"/>
      <c r="O696" s="273"/>
      <c r="P696" s="273"/>
      <c r="Q696" s="273"/>
    </row>
    <row r="697" spans="2:17" s="404" customFormat="1" ht="9.6" customHeight="1">
      <c r="B697" s="257">
        <v>37712</v>
      </c>
      <c r="C697" s="583">
        <v>0</v>
      </c>
      <c r="D697" s="1152">
        <v>0</v>
      </c>
      <c r="E697" s="584">
        <f t="shared" si="146"/>
        <v>0</v>
      </c>
      <c r="F697" s="424">
        <v>0</v>
      </c>
      <c r="G697" s="584">
        <f>SUM(C$694:C697)/80</f>
        <v>0</v>
      </c>
      <c r="H697" s="675">
        <v>0</v>
      </c>
      <c r="I697" s="585">
        <f t="shared" si="140"/>
        <v>0</v>
      </c>
      <c r="J697" s="568">
        <v>0</v>
      </c>
      <c r="K697" s="272"/>
      <c r="L697" s="271"/>
      <c r="M697" s="273"/>
      <c r="N697" s="272"/>
      <c r="O697" s="273"/>
      <c r="P697" s="273"/>
      <c r="Q697" s="273"/>
    </row>
    <row r="698" spans="2:17" s="404" customFormat="1" ht="9.6" customHeight="1">
      <c r="B698" s="257">
        <v>37742</v>
      </c>
      <c r="C698" s="583">
        <v>0</v>
      </c>
      <c r="D698" s="1152">
        <v>0</v>
      </c>
      <c r="E698" s="584">
        <f t="shared" si="146"/>
        <v>0</v>
      </c>
      <c r="F698" s="424">
        <v>0</v>
      </c>
      <c r="G698" s="584">
        <f>SUM(C$694:C698)/99</f>
        <v>0</v>
      </c>
      <c r="H698" s="675">
        <v>0</v>
      </c>
      <c r="I698" s="585">
        <f t="shared" si="140"/>
        <v>0</v>
      </c>
      <c r="J698" s="568">
        <v>0</v>
      </c>
      <c r="K698" s="272"/>
      <c r="L698" s="271"/>
      <c r="M698" s="273"/>
      <c r="N698" s="272"/>
      <c r="O698" s="273"/>
      <c r="P698" s="273"/>
      <c r="Q698" s="273"/>
    </row>
    <row r="699" spans="2:17" s="404" customFormat="1" ht="9.6" customHeight="1">
      <c r="B699" s="257">
        <v>37773</v>
      </c>
      <c r="C699" s="583">
        <v>0</v>
      </c>
      <c r="D699" s="1152">
        <v>0</v>
      </c>
      <c r="E699" s="584">
        <f t="shared" si="146"/>
        <v>0</v>
      </c>
      <c r="F699" s="424">
        <v>0</v>
      </c>
      <c r="G699" s="584">
        <f>SUM(C$694:C699)/120</f>
        <v>0</v>
      </c>
      <c r="H699" s="675">
        <v>0</v>
      </c>
      <c r="I699" s="585">
        <f t="shared" si="140"/>
        <v>0</v>
      </c>
      <c r="J699" s="568">
        <v>0</v>
      </c>
      <c r="K699" s="272"/>
      <c r="L699" s="271"/>
      <c r="M699" s="273"/>
      <c r="N699" s="272"/>
      <c r="O699" s="273"/>
      <c r="P699" s="273"/>
      <c r="Q699" s="273"/>
    </row>
    <row r="700" spans="2:17" s="404" customFormat="1" ht="9.6" customHeight="1">
      <c r="B700" s="257">
        <v>37803</v>
      </c>
      <c r="C700" s="583">
        <v>0</v>
      </c>
      <c r="D700" s="1152">
        <v>0</v>
      </c>
      <c r="E700" s="584">
        <f>C700/23</f>
        <v>0</v>
      </c>
      <c r="F700" s="424">
        <v>0</v>
      </c>
      <c r="G700" s="584">
        <f>SUM(C$694:C700)/143</f>
        <v>0</v>
      </c>
      <c r="H700" s="675">
        <v>0</v>
      </c>
      <c r="I700" s="585">
        <f t="shared" si="140"/>
        <v>0</v>
      </c>
      <c r="J700" s="568">
        <v>0</v>
      </c>
      <c r="K700" s="272"/>
      <c r="L700" s="271"/>
      <c r="M700" s="273"/>
      <c r="N700" s="272"/>
      <c r="O700" s="273"/>
      <c r="P700" s="273"/>
      <c r="Q700" s="273"/>
    </row>
    <row r="701" spans="2:17" s="404" customFormat="1" ht="9.6" customHeight="1">
      <c r="B701" s="257">
        <v>37834</v>
      </c>
      <c r="C701" s="583">
        <v>0</v>
      </c>
      <c r="D701" s="1152">
        <v>0</v>
      </c>
      <c r="E701" s="584">
        <f>C701/21</f>
        <v>0</v>
      </c>
      <c r="F701" s="424">
        <v>0</v>
      </c>
      <c r="G701" s="584">
        <f>SUM(C$694:C701)/164</f>
        <v>0</v>
      </c>
      <c r="H701" s="675">
        <v>0</v>
      </c>
      <c r="I701" s="585">
        <f t="shared" si="140"/>
        <v>0</v>
      </c>
      <c r="J701" s="568">
        <v>0</v>
      </c>
      <c r="K701" s="272"/>
      <c r="L701" s="271"/>
      <c r="M701" s="273"/>
      <c r="N701" s="272"/>
      <c r="O701" s="273"/>
      <c r="P701" s="273"/>
      <c r="Q701" s="273"/>
    </row>
    <row r="702" spans="2:17" s="404" customFormat="1" ht="9.6" customHeight="1">
      <c r="B702" s="257">
        <v>37865</v>
      </c>
      <c r="C702" s="583">
        <v>0</v>
      </c>
      <c r="D702" s="1152">
        <v>0</v>
      </c>
      <c r="E702" s="584">
        <f>C702/21</f>
        <v>0</v>
      </c>
      <c r="F702" s="424">
        <v>0</v>
      </c>
      <c r="G702" s="584">
        <f>SUM(C$694:C702)/185</f>
        <v>0</v>
      </c>
      <c r="H702" s="675">
        <v>0</v>
      </c>
      <c r="I702" s="585">
        <f t="shared" si="140"/>
        <v>0</v>
      </c>
      <c r="J702" s="568">
        <v>0</v>
      </c>
      <c r="K702" s="272"/>
      <c r="L702" s="271"/>
      <c r="M702" s="273"/>
      <c r="N702" s="272"/>
      <c r="O702" s="273"/>
      <c r="P702" s="273"/>
      <c r="Q702" s="273"/>
    </row>
    <row r="703" spans="2:17" s="404" customFormat="1" ht="9.6" customHeight="1">
      <c r="B703" s="257">
        <v>37895</v>
      </c>
      <c r="C703" s="583">
        <v>0</v>
      </c>
      <c r="D703" s="1152">
        <v>0</v>
      </c>
      <c r="E703" s="584">
        <f>C703/21</f>
        <v>0</v>
      </c>
      <c r="F703" s="424">
        <v>0</v>
      </c>
      <c r="G703" s="584">
        <f>SUM(C$694:C703)/185</f>
        <v>0</v>
      </c>
      <c r="H703" s="675">
        <v>0</v>
      </c>
      <c r="I703" s="585">
        <f t="shared" si="140"/>
        <v>0</v>
      </c>
      <c r="J703" s="568">
        <v>0</v>
      </c>
      <c r="K703" s="272"/>
      <c r="L703" s="271"/>
      <c r="M703" s="273"/>
      <c r="N703" s="272"/>
      <c r="O703" s="273"/>
      <c r="P703" s="273"/>
      <c r="Q703" s="273"/>
    </row>
    <row r="704" spans="2:17" s="404" customFormat="1" ht="9.6" customHeight="1">
      <c r="B704" s="257">
        <v>37926</v>
      </c>
      <c r="C704" s="583">
        <v>0</v>
      </c>
      <c r="D704" s="1152">
        <v>0</v>
      </c>
      <c r="E704" s="584">
        <f>C704/21</f>
        <v>0</v>
      </c>
      <c r="F704" s="424">
        <v>0</v>
      </c>
      <c r="G704" s="584">
        <f>SUM(C$694:C704)/185</f>
        <v>0</v>
      </c>
      <c r="H704" s="675">
        <v>0</v>
      </c>
      <c r="I704" s="585">
        <f t="shared" si="140"/>
        <v>0</v>
      </c>
      <c r="J704" s="568">
        <v>0</v>
      </c>
      <c r="K704" s="272"/>
      <c r="L704" s="271"/>
      <c r="M704" s="273"/>
      <c r="N704" s="272"/>
      <c r="O704" s="273"/>
      <c r="P704" s="273"/>
      <c r="Q704" s="273"/>
    </row>
    <row r="705" spans="2:17" s="404" customFormat="1" ht="9.6" customHeight="1" thickBot="1">
      <c r="B705" s="262">
        <v>37956</v>
      </c>
      <c r="C705" s="553">
        <v>0</v>
      </c>
      <c r="D705" s="1155">
        <v>0</v>
      </c>
      <c r="E705" s="554">
        <f>C705/21</f>
        <v>0</v>
      </c>
      <c r="F705" s="311">
        <v>0</v>
      </c>
      <c r="G705" s="554">
        <f>SUM(C$694:C705)/185</f>
        <v>0</v>
      </c>
      <c r="H705" s="659">
        <v>0</v>
      </c>
      <c r="I705" s="555">
        <f t="shared" si="140"/>
        <v>0</v>
      </c>
      <c r="J705" s="316">
        <v>0</v>
      </c>
      <c r="K705" s="272"/>
      <c r="L705" s="271"/>
      <c r="M705" s="273"/>
      <c r="N705" s="272"/>
      <c r="O705" s="273"/>
      <c r="P705" s="273"/>
      <c r="Q705" s="273"/>
    </row>
    <row r="706" spans="2:17" s="404" customFormat="1" ht="9.6" customHeight="1" thickBot="1">
      <c r="B706" s="269" t="s">
        <v>51</v>
      </c>
      <c r="C706" s="270"/>
      <c r="D706" s="1147"/>
      <c r="E706" s="271"/>
      <c r="F706" s="271"/>
      <c r="G706" s="411"/>
      <c r="H706" s="271"/>
      <c r="I706" s="273"/>
      <c r="J706" s="272"/>
      <c r="K706" s="272"/>
      <c r="L706" s="271"/>
      <c r="M706" s="273"/>
      <c r="N706" s="272"/>
      <c r="O706" s="273"/>
      <c r="P706" s="273"/>
      <c r="Q706" s="273"/>
    </row>
    <row r="707" spans="2:17" s="404" customFormat="1" ht="9.6" customHeight="1" ph="1">
      <c r="B707" s="412"/>
      <c r="C707" s="413" t="s">
        <v>66</v>
      </c>
      <c r="D707" s="1160"/>
      <c r="E707" s="413" t="s">
        <v>67</v>
      </c>
      <c r="F707" s="414"/>
      <c r="G707" s="415" t="s">
        <v>84</v>
      </c>
      <c r="H707" s="438"/>
      <c r="I707" s="416" t="s">
        <v>76</v>
      </c>
      <c r="J707" s="417"/>
      <c r="K707" s="272"/>
      <c r="L707" s="271"/>
      <c r="M707" s="273"/>
      <c r="N707" s="272"/>
      <c r="O707" s="273"/>
      <c r="P707" s="273"/>
      <c r="Q707" s="273"/>
    </row>
    <row r="708" spans="2:17" s="404" customFormat="1" ht="9.6" customHeight="1">
      <c r="B708" s="418" t="s">
        <v>54</v>
      </c>
      <c r="C708" s="419" t="s">
        <v>85</v>
      </c>
      <c r="D708" s="1161"/>
      <c r="E708" s="216" t="s">
        <v>86</v>
      </c>
      <c r="F708" s="420"/>
      <c r="G708" s="437" t="s">
        <v>87</v>
      </c>
      <c r="H708" s="439"/>
      <c r="I708" s="422" t="s">
        <v>78</v>
      </c>
      <c r="J708" s="423"/>
      <c r="K708" s="272"/>
      <c r="L708" s="271"/>
      <c r="M708" s="273"/>
      <c r="N708" s="272"/>
      <c r="O708" s="273"/>
      <c r="P708" s="273"/>
      <c r="Q708" s="273"/>
    </row>
    <row r="709" spans="2:17" s="404" customFormat="1" ht="9.6" customHeight="1">
      <c r="B709" s="418" t="s">
        <v>61</v>
      </c>
      <c r="C709" s="440" t="s">
        <v>62</v>
      </c>
      <c r="D709" s="1164" t="s">
        <v>88</v>
      </c>
      <c r="E709" s="440" t="s">
        <v>62</v>
      </c>
      <c r="F709" s="444" t="s">
        <v>88</v>
      </c>
      <c r="G709" s="447" t="s">
        <v>72</v>
      </c>
      <c r="H709" s="448" t="s">
        <v>89</v>
      </c>
      <c r="I709" s="449"/>
      <c r="J709" s="450" t="s">
        <v>88</v>
      </c>
      <c r="K709" s="272"/>
      <c r="L709" s="271"/>
      <c r="M709" s="273"/>
      <c r="N709" s="272"/>
      <c r="O709" s="273"/>
      <c r="P709" s="273"/>
      <c r="Q709" s="273"/>
    </row>
    <row r="710" spans="2:17" s="404" customFormat="1" ht="9.6" customHeight="1">
      <c r="B710" s="243">
        <v>36861</v>
      </c>
      <c r="C710" s="245">
        <f>C669</f>
        <v>349</v>
      </c>
      <c r="D710" s="1166" t="s">
        <v>64</v>
      </c>
      <c r="E710" s="303">
        <f>C710/17</f>
        <v>20.529411764705884</v>
      </c>
      <c r="F710" s="451" t="s">
        <v>64</v>
      </c>
      <c r="G710" s="452">
        <v>545.95000000000005</v>
      </c>
      <c r="H710" s="297">
        <v>0.10539999999999999</v>
      </c>
      <c r="I710" s="453">
        <v>3</v>
      </c>
      <c r="J710" s="454" t="s">
        <v>64</v>
      </c>
      <c r="K710" s="272"/>
      <c r="L710" s="271"/>
      <c r="M710" s="273"/>
      <c r="N710" s="272"/>
      <c r="O710" s="273"/>
      <c r="P710" s="273"/>
      <c r="Q710" s="273"/>
    </row>
    <row r="711" spans="2:17" s="404" customFormat="1" ht="9.6" customHeight="1">
      <c r="B711" s="243">
        <v>36892</v>
      </c>
      <c r="C711" s="245">
        <f>C670+C669</f>
        <v>442</v>
      </c>
      <c r="D711" s="1151">
        <f t="shared" ref="D711:D716" si="147">(C711-C710)/C710</f>
        <v>0.26647564469914042</v>
      </c>
      <c r="E711" s="303">
        <f>C711/36</f>
        <v>12.277777777777779</v>
      </c>
      <c r="F711" s="297">
        <f t="shared" ref="F711:F716" si="148">(E711-E710)/E710</f>
        <v>-0.40194205666985039</v>
      </c>
      <c r="G711" s="452">
        <v>140.78</v>
      </c>
      <c r="H711" s="297">
        <v>1.1147659999999999</v>
      </c>
      <c r="I711" s="453">
        <v>3</v>
      </c>
      <c r="J711" s="306">
        <f t="shared" ref="J711:J716" si="149">(I711-I710)/I710</f>
        <v>0</v>
      </c>
      <c r="K711" s="272"/>
      <c r="L711" s="271"/>
      <c r="M711" s="273"/>
      <c r="N711" s="272"/>
      <c r="O711" s="273"/>
      <c r="P711" s="273"/>
      <c r="Q711" s="273"/>
    </row>
    <row r="712" spans="2:17" s="404" customFormat="1" ht="9.6" customHeight="1">
      <c r="B712" s="243">
        <v>36923</v>
      </c>
      <c r="C712" s="245">
        <f t="shared" ref="C712:C746" si="150">C671+C711</f>
        <v>622</v>
      </c>
      <c r="D712" s="1151">
        <f t="shared" si="147"/>
        <v>0.40723981900452488</v>
      </c>
      <c r="E712" s="303">
        <f>C712/55</f>
        <v>11.309090909090909</v>
      </c>
      <c r="F712" s="297">
        <f t="shared" si="148"/>
        <v>-7.8897573015220171E-2</v>
      </c>
      <c r="G712" s="452">
        <v>185</v>
      </c>
      <c r="H712" s="297">
        <v>0.56699999999999995</v>
      </c>
      <c r="I712" s="453">
        <v>1</v>
      </c>
      <c r="J712" s="306">
        <f t="shared" si="149"/>
        <v>-0.66666666666666663</v>
      </c>
      <c r="K712" s="272"/>
      <c r="L712" s="271"/>
      <c r="M712" s="273"/>
      <c r="N712" s="272"/>
      <c r="O712" s="273"/>
      <c r="P712" s="273"/>
      <c r="Q712" s="273"/>
    </row>
    <row r="713" spans="2:17" s="404" customFormat="1" ht="9.6" customHeight="1">
      <c r="B713" s="243">
        <v>36951</v>
      </c>
      <c r="C713" s="245">
        <f t="shared" si="150"/>
        <v>792</v>
      </c>
      <c r="D713" s="1151">
        <f t="shared" si="147"/>
        <v>0.27331189710610931</v>
      </c>
      <c r="E713" s="303">
        <f>C713/75</f>
        <v>10.56</v>
      </c>
      <c r="F713" s="297">
        <f t="shared" si="148"/>
        <v>-6.6237942122186408E-2</v>
      </c>
      <c r="G713" s="452">
        <v>146.87</v>
      </c>
      <c r="H713" s="297">
        <v>1.0255000000000001</v>
      </c>
      <c r="I713" s="453">
        <v>4</v>
      </c>
      <c r="J713" s="306">
        <f t="shared" si="149"/>
        <v>3</v>
      </c>
      <c r="K713" s="272"/>
      <c r="L713" s="271"/>
      <c r="M713" s="273"/>
      <c r="N713" s="272"/>
      <c r="O713" s="273"/>
      <c r="P713" s="273"/>
      <c r="Q713" s="273"/>
    </row>
    <row r="714" spans="2:17" s="404" customFormat="1" ht="9.6" customHeight="1">
      <c r="B714" s="243">
        <v>36982</v>
      </c>
      <c r="C714" s="245">
        <f t="shared" si="150"/>
        <v>872</v>
      </c>
      <c r="D714" s="1151">
        <f t="shared" si="147"/>
        <v>0.10101010101010101</v>
      </c>
      <c r="E714" s="303">
        <f>C714/96</f>
        <v>9.0833333333333339</v>
      </c>
      <c r="F714" s="297">
        <f t="shared" si="148"/>
        <v>-0.13983585858585856</v>
      </c>
      <c r="G714" s="452">
        <v>106.04</v>
      </c>
      <c r="H714" s="297">
        <v>1.9603999999999999</v>
      </c>
      <c r="I714" s="453">
        <v>2</v>
      </c>
      <c r="J714" s="306">
        <f t="shared" si="149"/>
        <v>-0.5</v>
      </c>
      <c r="K714" s="272"/>
      <c r="L714" s="271"/>
      <c r="M714" s="273"/>
      <c r="N714" s="272"/>
      <c r="O714" s="273"/>
      <c r="P714" s="273"/>
      <c r="Q714" s="273"/>
    </row>
    <row r="715" spans="2:17" s="404" customFormat="1" ht="9.6" customHeight="1">
      <c r="B715" s="243">
        <v>37012</v>
      </c>
      <c r="C715" s="245">
        <f t="shared" si="150"/>
        <v>900</v>
      </c>
      <c r="D715" s="1151">
        <f t="shared" si="147"/>
        <v>3.2110091743119268E-2</v>
      </c>
      <c r="E715" s="303">
        <f>C715/117</f>
        <v>7.6923076923076925</v>
      </c>
      <c r="F715" s="297">
        <f t="shared" si="148"/>
        <v>-0.15314043754410731</v>
      </c>
      <c r="G715" s="452">
        <v>51.24</v>
      </c>
      <c r="H715" s="297">
        <v>0.7097</v>
      </c>
      <c r="I715" s="453">
        <v>2</v>
      </c>
      <c r="J715" s="306">
        <f t="shared" si="149"/>
        <v>0</v>
      </c>
      <c r="K715" s="272"/>
      <c r="L715" s="271"/>
      <c r="M715" s="273"/>
      <c r="N715" s="272"/>
      <c r="O715" s="273"/>
      <c r="P715" s="273"/>
      <c r="Q715" s="273"/>
    </row>
    <row r="716" spans="2:17" s="404" customFormat="1" ht="9.6" customHeight="1">
      <c r="B716" s="243">
        <v>37043</v>
      </c>
      <c r="C716" s="245">
        <f t="shared" si="150"/>
        <v>902</v>
      </c>
      <c r="D716" s="1151">
        <f t="shared" si="147"/>
        <v>2.2222222222222222E-3</v>
      </c>
      <c r="E716" s="303">
        <f>C716/137</f>
        <v>6.5839416058394162</v>
      </c>
      <c r="F716" s="297">
        <f t="shared" si="148"/>
        <v>-0.14408759124087592</v>
      </c>
      <c r="G716" s="452">
        <v>3.2</v>
      </c>
      <c r="H716" s="297">
        <v>0</v>
      </c>
      <c r="I716" s="453">
        <v>0</v>
      </c>
      <c r="J716" s="306">
        <f t="shared" si="149"/>
        <v>-1</v>
      </c>
      <c r="K716" s="272"/>
      <c r="L716" s="271"/>
      <c r="M716" s="273"/>
      <c r="N716" s="272"/>
      <c r="O716" s="273"/>
      <c r="P716" s="273"/>
      <c r="Q716" s="273"/>
    </row>
    <row r="717" spans="2:17" s="404" customFormat="1" ht="9.6" customHeight="1">
      <c r="B717" s="582">
        <v>37073</v>
      </c>
      <c r="C717" s="534">
        <f t="shared" si="150"/>
        <v>903</v>
      </c>
      <c r="D717" s="1154">
        <f t="shared" ref="D717:D722" si="151">(C717-C716)/C716</f>
        <v>1.1086474501108647E-3</v>
      </c>
      <c r="E717" s="586">
        <f>C717/159</f>
        <v>5.6792452830188678</v>
      </c>
      <c r="F717" s="572">
        <f t="shared" ref="F717:F722" si="152">(E717-E716)/E716</f>
        <v>-0.13740953018449573</v>
      </c>
      <c r="G717" s="587">
        <v>0.9</v>
      </c>
      <c r="H717" s="572">
        <v>0</v>
      </c>
      <c r="I717" s="588">
        <v>0</v>
      </c>
      <c r="J717" s="589">
        <v>0</v>
      </c>
      <c r="K717" s="272"/>
      <c r="L717" s="271"/>
      <c r="M717" s="273"/>
      <c r="N717" s="272"/>
      <c r="O717" s="273"/>
      <c r="P717" s="273"/>
      <c r="Q717" s="273"/>
    </row>
    <row r="718" spans="2:17" s="404" customFormat="1" ht="9.6" customHeight="1">
      <c r="B718" s="257">
        <v>37104</v>
      </c>
      <c r="C718" s="520">
        <f t="shared" si="150"/>
        <v>908</v>
      </c>
      <c r="D718" s="1152">
        <f t="shared" si="151"/>
        <v>5.5370985603543747E-3</v>
      </c>
      <c r="E718" s="586">
        <f>C718/181</f>
        <v>5.0165745856353592</v>
      </c>
      <c r="F718" s="424">
        <f t="shared" si="152"/>
        <v>-0.1166828802701859</v>
      </c>
      <c r="G718" s="642">
        <v>9.35</v>
      </c>
      <c r="H718" s="424">
        <v>0</v>
      </c>
      <c r="I718" s="643">
        <v>0</v>
      </c>
      <c r="J718" s="568">
        <v>0</v>
      </c>
      <c r="K718" s="272"/>
      <c r="L718" s="271"/>
      <c r="M718" s="273"/>
      <c r="N718" s="272"/>
      <c r="O718" s="273"/>
      <c r="P718" s="273"/>
      <c r="Q718" s="273"/>
    </row>
    <row r="719" spans="2:17" s="404" customFormat="1" ht="9.6" customHeight="1">
      <c r="B719" s="257">
        <v>37135</v>
      </c>
      <c r="C719" s="520">
        <f t="shared" si="150"/>
        <v>912</v>
      </c>
      <c r="D719" s="1152">
        <f t="shared" si="151"/>
        <v>4.4052863436123352E-3</v>
      </c>
      <c r="E719" s="586">
        <f>C719/200</f>
        <v>4.5599999999999996</v>
      </c>
      <c r="F719" s="424">
        <f t="shared" si="152"/>
        <v>-9.1013215859030924E-2</v>
      </c>
      <c r="G719" s="642">
        <v>12.2</v>
      </c>
      <c r="H719" s="424">
        <v>0</v>
      </c>
      <c r="I719" s="643">
        <v>0</v>
      </c>
      <c r="J719" s="568">
        <v>0</v>
      </c>
      <c r="K719" s="272"/>
      <c r="L719" s="271"/>
      <c r="M719" s="273"/>
      <c r="N719" s="272"/>
      <c r="O719" s="273"/>
      <c r="P719" s="273"/>
      <c r="Q719" s="273"/>
    </row>
    <row r="720" spans="2:17" s="404" customFormat="1" ht="9.6" customHeight="1">
      <c r="B720" s="257">
        <v>37165</v>
      </c>
      <c r="C720" s="520">
        <f t="shared" si="150"/>
        <v>913</v>
      </c>
      <c r="D720" s="1152">
        <f t="shared" si="151"/>
        <v>1.0964912280701754E-3</v>
      </c>
      <c r="E720" s="586">
        <f>C720/223</f>
        <v>4.0941704035874436</v>
      </c>
      <c r="F720" s="424">
        <f t="shared" si="152"/>
        <v>-0.10215561324836757</v>
      </c>
      <c r="G720" s="642">
        <v>3</v>
      </c>
      <c r="H720" s="424">
        <v>0</v>
      </c>
      <c r="I720" s="643">
        <v>0</v>
      </c>
      <c r="J720" s="568">
        <v>0</v>
      </c>
      <c r="K720" s="272"/>
      <c r="L720" s="271"/>
      <c r="M720" s="273"/>
      <c r="N720" s="272"/>
      <c r="O720" s="273"/>
      <c r="P720" s="273"/>
      <c r="Q720" s="273"/>
    </row>
    <row r="721" spans="2:17" s="404" customFormat="1" ht="9.6" customHeight="1">
      <c r="B721" s="243">
        <v>37196</v>
      </c>
      <c r="C721" s="245">
        <f t="shared" si="150"/>
        <v>913</v>
      </c>
      <c r="D721" s="1151">
        <f t="shared" si="151"/>
        <v>0</v>
      </c>
      <c r="E721" s="303">
        <f>C721/243</f>
        <v>3.7572016460905351</v>
      </c>
      <c r="F721" s="297">
        <f t="shared" si="152"/>
        <v>-8.2304526748971082E-2</v>
      </c>
      <c r="G721" s="452">
        <v>0</v>
      </c>
      <c r="H721" s="297">
        <v>0</v>
      </c>
      <c r="I721" s="453">
        <v>0</v>
      </c>
      <c r="J721" s="306">
        <v>0</v>
      </c>
      <c r="K721" s="272"/>
      <c r="L721" s="271"/>
      <c r="M721" s="273"/>
      <c r="N721" s="272"/>
      <c r="O721" s="273"/>
      <c r="P721" s="273"/>
      <c r="Q721" s="273"/>
    </row>
    <row r="722" spans="2:17" s="404" customFormat="1" ht="9.6" customHeight="1">
      <c r="B722" s="257">
        <v>37226</v>
      </c>
      <c r="C722" s="520">
        <f t="shared" si="150"/>
        <v>913</v>
      </c>
      <c r="D722" s="1152">
        <f t="shared" si="151"/>
        <v>0</v>
      </c>
      <c r="E722" s="586">
        <f>C722/260</f>
        <v>3.5115384615384615</v>
      </c>
      <c r="F722" s="424">
        <f t="shared" si="152"/>
        <v>-6.5384615384615416E-2</v>
      </c>
      <c r="G722" s="642">
        <v>0</v>
      </c>
      <c r="H722" s="424">
        <v>0</v>
      </c>
      <c r="I722" s="643">
        <v>0</v>
      </c>
      <c r="J722" s="568">
        <v>0</v>
      </c>
      <c r="K722" s="272"/>
      <c r="L722" s="271"/>
      <c r="M722" s="273"/>
      <c r="N722" s="272"/>
      <c r="O722" s="273"/>
      <c r="P722" s="273"/>
      <c r="Q722" s="273"/>
    </row>
    <row r="723" spans="2:17" s="404" customFormat="1" ht="9.6" customHeight="1">
      <c r="B723" s="257">
        <v>37257</v>
      </c>
      <c r="C723" s="520">
        <f t="shared" si="150"/>
        <v>913</v>
      </c>
      <c r="D723" s="1152">
        <f t="shared" ref="D723:D728" si="153">(C723-C722)/C722</f>
        <v>0</v>
      </c>
      <c r="E723" s="586">
        <f>C723/282</f>
        <v>3.2375886524822697</v>
      </c>
      <c r="F723" s="424">
        <f t="shared" ref="F723:F728" si="154">(E723-E722)/E722</f>
        <v>-7.8014184397163053E-2</v>
      </c>
      <c r="G723" s="642">
        <v>0</v>
      </c>
      <c r="H723" s="424">
        <v>0</v>
      </c>
      <c r="I723" s="643">
        <v>0</v>
      </c>
      <c r="J723" s="568">
        <v>0</v>
      </c>
      <c r="K723" s="272"/>
      <c r="L723" s="271"/>
      <c r="M723" s="273"/>
      <c r="N723" s="272"/>
      <c r="O723" s="273"/>
      <c r="P723" s="273"/>
      <c r="Q723" s="273"/>
    </row>
    <row r="724" spans="2:17" s="404" customFormat="1" ht="9.6" customHeight="1">
      <c r="B724" s="257">
        <v>37288</v>
      </c>
      <c r="C724" s="520">
        <f t="shared" si="150"/>
        <v>913</v>
      </c>
      <c r="D724" s="1152">
        <f t="shared" si="153"/>
        <v>0</v>
      </c>
      <c r="E724" s="586">
        <f>C724/298</f>
        <v>3.063758389261745</v>
      </c>
      <c r="F724" s="424">
        <f t="shared" si="154"/>
        <v>-5.3691275167785261E-2</v>
      </c>
      <c r="G724" s="642">
        <v>0</v>
      </c>
      <c r="H724" s="424">
        <v>0</v>
      </c>
      <c r="I724" s="643">
        <v>0</v>
      </c>
      <c r="J724" s="568">
        <v>0</v>
      </c>
      <c r="K724" s="272"/>
      <c r="L724" s="271"/>
      <c r="M724" s="273"/>
      <c r="N724" s="272"/>
      <c r="O724" s="273"/>
      <c r="P724" s="273"/>
      <c r="Q724" s="273"/>
    </row>
    <row r="725" spans="2:17" s="404" customFormat="1" ht="9.6" customHeight="1">
      <c r="B725" s="257">
        <v>37316</v>
      </c>
      <c r="C725" s="520">
        <f t="shared" si="150"/>
        <v>913</v>
      </c>
      <c r="D725" s="1152">
        <f t="shared" si="153"/>
        <v>0</v>
      </c>
      <c r="E725" s="586">
        <f>C725/318</f>
        <v>2.8710691823899372</v>
      </c>
      <c r="F725" s="424">
        <f t="shared" si="154"/>
        <v>-6.2893081761006261E-2</v>
      </c>
      <c r="G725" s="642">
        <v>0</v>
      </c>
      <c r="H725" s="424">
        <v>0</v>
      </c>
      <c r="I725" s="643">
        <v>0</v>
      </c>
      <c r="J725" s="568">
        <v>0</v>
      </c>
      <c r="K725" s="272"/>
      <c r="L725" s="271"/>
      <c r="M725" s="273"/>
      <c r="N725" s="272"/>
      <c r="O725" s="273"/>
      <c r="P725" s="273"/>
      <c r="Q725" s="273"/>
    </row>
    <row r="726" spans="2:17" s="404" customFormat="1" ht="9.6" customHeight="1">
      <c r="B726" s="257">
        <v>37347</v>
      </c>
      <c r="C726" s="520">
        <f t="shared" si="150"/>
        <v>914</v>
      </c>
      <c r="D726" s="1152">
        <f t="shared" si="153"/>
        <v>1.0952902519167579E-3</v>
      </c>
      <c r="E726" s="586">
        <f>C726/339</f>
        <v>2.696165191740413</v>
      </c>
      <c r="F726" s="424">
        <f t="shared" si="154"/>
        <v>-6.0919462241564838E-2</v>
      </c>
      <c r="G726" s="892">
        <v>0.5</v>
      </c>
      <c r="H726" s="424">
        <v>0</v>
      </c>
      <c r="I726" s="643">
        <v>0</v>
      </c>
      <c r="J726" s="568">
        <v>0</v>
      </c>
      <c r="K726" s="272"/>
      <c r="L726" s="271"/>
      <c r="M726" s="273"/>
      <c r="N726" s="272"/>
      <c r="O726" s="273"/>
      <c r="P726" s="273"/>
      <c r="Q726" s="273"/>
    </row>
    <row r="727" spans="2:17" s="404" customFormat="1" ht="9.6" customHeight="1">
      <c r="B727" s="257">
        <v>37377</v>
      </c>
      <c r="C727" s="520">
        <f t="shared" si="150"/>
        <v>914</v>
      </c>
      <c r="D727" s="1152">
        <f t="shared" si="153"/>
        <v>0</v>
      </c>
      <c r="E727" s="586">
        <f>C727/360</f>
        <v>2.5388888888888888</v>
      </c>
      <c r="F727" s="424">
        <f t="shared" si="154"/>
        <v>-5.8333333333333404E-2</v>
      </c>
      <c r="G727" s="642">
        <v>0</v>
      </c>
      <c r="H727" s="424">
        <v>0</v>
      </c>
      <c r="I727" s="643">
        <v>0</v>
      </c>
      <c r="J727" s="568">
        <v>0</v>
      </c>
      <c r="K727" s="272"/>
      <c r="L727" s="271"/>
      <c r="M727" s="273"/>
      <c r="N727" s="272"/>
      <c r="O727" s="273"/>
      <c r="P727" s="273"/>
      <c r="Q727" s="273"/>
    </row>
    <row r="728" spans="2:17" s="404" customFormat="1" ht="9.6" customHeight="1">
      <c r="B728" s="257">
        <v>37408</v>
      </c>
      <c r="C728" s="520">
        <f t="shared" si="150"/>
        <v>914</v>
      </c>
      <c r="D728" s="1152">
        <f t="shared" si="153"/>
        <v>0</v>
      </c>
      <c r="E728" s="586">
        <f>C728/380</f>
        <v>2.405263157894737</v>
      </c>
      <c r="F728" s="424">
        <f t="shared" si="154"/>
        <v>-5.2631578947368314E-2</v>
      </c>
      <c r="G728" s="642">
        <v>0</v>
      </c>
      <c r="H728" s="424">
        <v>0</v>
      </c>
      <c r="I728" s="643">
        <v>0</v>
      </c>
      <c r="J728" s="568">
        <v>0</v>
      </c>
      <c r="K728" s="272"/>
      <c r="L728" s="271"/>
      <c r="M728" s="273"/>
      <c r="N728" s="272"/>
      <c r="O728" s="273"/>
      <c r="P728" s="273"/>
      <c r="Q728" s="273"/>
    </row>
    <row r="729" spans="2:17" s="404" customFormat="1" ht="9.6" customHeight="1">
      <c r="B729" s="257">
        <v>37438</v>
      </c>
      <c r="C729" s="520">
        <f t="shared" si="150"/>
        <v>914</v>
      </c>
      <c r="D729" s="1152">
        <f t="shared" ref="D729:D734" si="155">(C729-C728)/C728</f>
        <v>0</v>
      </c>
      <c r="E729" s="586">
        <f>C729/403</f>
        <v>2.2679900744416872</v>
      </c>
      <c r="F729" s="424">
        <f t="shared" ref="F729:F734" si="156">(E729-E728)/E728</f>
        <v>-5.7071960297766865E-2</v>
      </c>
      <c r="G729" s="642">
        <v>0</v>
      </c>
      <c r="H729" s="424">
        <v>0</v>
      </c>
      <c r="I729" s="643">
        <v>0</v>
      </c>
      <c r="J729" s="568">
        <v>0</v>
      </c>
      <c r="K729" s="272"/>
      <c r="L729" s="271"/>
      <c r="M729" s="273"/>
      <c r="N729" s="272"/>
      <c r="O729" s="273"/>
      <c r="P729" s="273"/>
      <c r="Q729" s="273"/>
    </row>
    <row r="730" spans="2:17" s="404" customFormat="1" ht="9.6" customHeight="1">
      <c r="B730" s="257">
        <v>37469</v>
      </c>
      <c r="C730" s="520">
        <f t="shared" si="150"/>
        <v>914</v>
      </c>
      <c r="D730" s="1152">
        <f t="shared" si="155"/>
        <v>0</v>
      </c>
      <c r="E730" s="586">
        <f>C730/425</f>
        <v>2.1505882352941175</v>
      </c>
      <c r="F730" s="424">
        <f t="shared" si="156"/>
        <v>-5.1764705882352963E-2</v>
      </c>
      <c r="G730" s="642">
        <v>0</v>
      </c>
      <c r="H730" s="424">
        <v>0</v>
      </c>
      <c r="I730" s="643">
        <v>0</v>
      </c>
      <c r="J730" s="568">
        <v>0</v>
      </c>
      <c r="K730" s="272"/>
      <c r="L730" s="271"/>
      <c r="M730" s="273"/>
      <c r="N730" s="272"/>
      <c r="O730" s="273"/>
      <c r="P730" s="273"/>
      <c r="Q730" s="273"/>
    </row>
    <row r="731" spans="2:17" s="404" customFormat="1" ht="9.6" customHeight="1">
      <c r="B731" s="257">
        <v>37500</v>
      </c>
      <c r="C731" s="520">
        <f t="shared" si="150"/>
        <v>914</v>
      </c>
      <c r="D731" s="1152">
        <f t="shared" si="155"/>
        <v>0</v>
      </c>
      <c r="E731" s="586">
        <f>C731/446</f>
        <v>2.0493273542600896</v>
      </c>
      <c r="F731" s="424">
        <f t="shared" si="156"/>
        <v>-4.7085201793721929E-2</v>
      </c>
      <c r="G731" s="642">
        <v>0</v>
      </c>
      <c r="H731" s="424">
        <v>0</v>
      </c>
      <c r="I731" s="643">
        <v>0</v>
      </c>
      <c r="J731" s="568">
        <v>0</v>
      </c>
      <c r="K731" s="272"/>
      <c r="L731" s="271"/>
      <c r="M731" s="273"/>
      <c r="N731" s="272"/>
      <c r="O731" s="273"/>
      <c r="P731" s="273"/>
      <c r="Q731" s="273"/>
    </row>
    <row r="732" spans="2:17" s="404" customFormat="1" ht="9.6" customHeight="1">
      <c r="B732" s="257">
        <v>37530</v>
      </c>
      <c r="C732" s="520">
        <f t="shared" si="150"/>
        <v>914</v>
      </c>
      <c r="D732" s="1152">
        <f t="shared" si="155"/>
        <v>0</v>
      </c>
      <c r="E732" s="586">
        <f>C732/469</f>
        <v>1.9488272921108742</v>
      </c>
      <c r="F732" s="424">
        <f t="shared" si="156"/>
        <v>-4.9040511727078837E-2</v>
      </c>
      <c r="G732" s="642">
        <v>0</v>
      </c>
      <c r="H732" s="424">
        <v>0</v>
      </c>
      <c r="I732" s="643">
        <v>0</v>
      </c>
      <c r="J732" s="568">
        <v>0</v>
      </c>
      <c r="K732" s="272"/>
      <c r="L732" s="271"/>
      <c r="M732" s="273"/>
      <c r="N732" s="272"/>
      <c r="O732" s="273"/>
      <c r="P732" s="273"/>
      <c r="Q732" s="273"/>
    </row>
    <row r="733" spans="2:17" s="404" customFormat="1" ht="9.6" customHeight="1">
      <c r="B733" s="257">
        <v>37561</v>
      </c>
      <c r="C733" s="520">
        <f t="shared" si="150"/>
        <v>914</v>
      </c>
      <c r="D733" s="1152">
        <f t="shared" si="155"/>
        <v>0</v>
      </c>
      <c r="E733" s="586">
        <f>C733/489</f>
        <v>1.869120654396728</v>
      </c>
      <c r="F733" s="424">
        <f t="shared" si="156"/>
        <v>-4.0899795501022511E-2</v>
      </c>
      <c r="G733" s="642">
        <v>0</v>
      </c>
      <c r="H733" s="424">
        <v>0</v>
      </c>
      <c r="I733" s="643">
        <v>0</v>
      </c>
      <c r="J733" s="568">
        <v>0</v>
      </c>
      <c r="K733" s="272"/>
      <c r="L733" s="271"/>
      <c r="M733" s="273"/>
      <c r="N733" s="272"/>
      <c r="O733" s="273"/>
      <c r="P733" s="273"/>
      <c r="Q733" s="273"/>
    </row>
    <row r="734" spans="2:17" s="404" customFormat="1" ht="9.6" customHeight="1">
      <c r="B734" s="257">
        <v>37591</v>
      </c>
      <c r="C734" s="520">
        <f t="shared" si="150"/>
        <v>914</v>
      </c>
      <c r="D734" s="1152">
        <f t="shared" si="155"/>
        <v>0</v>
      </c>
      <c r="E734" s="586">
        <f>C734/508</f>
        <v>1.7992125984251968</v>
      </c>
      <c r="F734" s="424">
        <f t="shared" si="156"/>
        <v>-3.7401574803149658E-2</v>
      </c>
      <c r="G734" s="642">
        <v>0</v>
      </c>
      <c r="H734" s="424">
        <v>0</v>
      </c>
      <c r="I734" s="643">
        <v>0</v>
      </c>
      <c r="J734" s="568">
        <v>0</v>
      </c>
      <c r="K734" s="272"/>
      <c r="L734" s="271"/>
      <c r="M734" s="273"/>
      <c r="N734" s="272"/>
      <c r="O734" s="273"/>
      <c r="P734" s="273"/>
      <c r="Q734" s="273"/>
    </row>
    <row r="735" spans="2:17" s="404" customFormat="1" ht="9.6" customHeight="1">
      <c r="B735" s="257">
        <v>37622</v>
      </c>
      <c r="C735" s="520">
        <f t="shared" si="150"/>
        <v>914</v>
      </c>
      <c r="D735" s="1152">
        <f t="shared" ref="D735:D740" si="157">(C735-C734)/C734</f>
        <v>0</v>
      </c>
      <c r="E735" s="586">
        <f>C735/529</f>
        <v>1.727788279773157</v>
      </c>
      <c r="F735" s="424">
        <f t="shared" ref="F735:F740" si="158">(E735-E734)/E734</f>
        <v>-3.96975425330812E-2</v>
      </c>
      <c r="G735" s="642">
        <v>0</v>
      </c>
      <c r="H735" s="424">
        <v>0</v>
      </c>
      <c r="I735" s="643">
        <v>0</v>
      </c>
      <c r="J735" s="568">
        <v>0</v>
      </c>
      <c r="K735" s="272"/>
      <c r="L735" s="271"/>
      <c r="M735" s="273"/>
      <c r="N735" s="272"/>
      <c r="O735" s="273"/>
      <c r="P735" s="273"/>
      <c r="Q735" s="273"/>
    </row>
    <row r="736" spans="2:17" s="404" customFormat="1" ht="9.6" customHeight="1">
      <c r="B736" s="257">
        <v>37653</v>
      </c>
      <c r="C736" s="520">
        <f t="shared" si="150"/>
        <v>914</v>
      </c>
      <c r="D736" s="1152">
        <f t="shared" si="157"/>
        <v>0</v>
      </c>
      <c r="E736" s="586">
        <f>C736/546</f>
        <v>1.673992673992674</v>
      </c>
      <c r="F736" s="424">
        <f t="shared" si="158"/>
        <v>-3.1135531135531143E-2</v>
      </c>
      <c r="G736" s="642">
        <v>0</v>
      </c>
      <c r="H736" s="424">
        <v>0</v>
      </c>
      <c r="I736" s="643">
        <v>0</v>
      </c>
      <c r="J736" s="568">
        <v>0</v>
      </c>
      <c r="K736" s="272"/>
      <c r="L736" s="271"/>
      <c r="M736" s="273"/>
      <c r="N736" s="272"/>
      <c r="O736" s="273"/>
      <c r="P736" s="273"/>
      <c r="Q736" s="273"/>
    </row>
    <row r="737" spans="2:17" s="404" customFormat="1" ht="9.6" customHeight="1">
      <c r="B737" s="257">
        <v>37681</v>
      </c>
      <c r="C737" s="520">
        <f t="shared" si="150"/>
        <v>914</v>
      </c>
      <c r="D737" s="1152">
        <f t="shared" si="157"/>
        <v>0</v>
      </c>
      <c r="E737" s="586">
        <f>C737/566</f>
        <v>1.6148409893992932</v>
      </c>
      <c r="F737" s="424">
        <f t="shared" si="158"/>
        <v>-3.5335689045936466E-2</v>
      </c>
      <c r="G737" s="642">
        <v>0</v>
      </c>
      <c r="H737" s="424">
        <v>0</v>
      </c>
      <c r="I737" s="643">
        <v>0</v>
      </c>
      <c r="J737" s="568">
        <v>0</v>
      </c>
      <c r="K737" s="272"/>
      <c r="L737" s="271"/>
      <c r="M737" s="273"/>
      <c r="N737" s="272"/>
      <c r="O737" s="273"/>
      <c r="P737" s="273"/>
      <c r="Q737" s="273"/>
    </row>
    <row r="738" spans="2:17" s="404" customFormat="1" ht="9.6" customHeight="1">
      <c r="B738" s="257">
        <v>37712</v>
      </c>
      <c r="C738" s="520">
        <f t="shared" si="150"/>
        <v>914</v>
      </c>
      <c r="D738" s="1152">
        <f t="shared" si="157"/>
        <v>0</v>
      </c>
      <c r="E738" s="586">
        <f>C738/588</f>
        <v>1.5544217687074831</v>
      </c>
      <c r="F738" s="424">
        <f t="shared" si="158"/>
        <v>-3.7414965986394474E-2</v>
      </c>
      <c r="G738" s="642">
        <v>0</v>
      </c>
      <c r="H738" s="424">
        <v>0</v>
      </c>
      <c r="I738" s="643">
        <v>0</v>
      </c>
      <c r="J738" s="568">
        <v>0</v>
      </c>
      <c r="K738" s="272"/>
      <c r="L738" s="271"/>
      <c r="M738" s="273"/>
      <c r="N738" s="272"/>
      <c r="O738" s="273"/>
      <c r="P738" s="273"/>
      <c r="Q738" s="273"/>
    </row>
    <row r="739" spans="2:17" s="404" customFormat="1" ht="9.6" customHeight="1" ph="1">
      <c r="B739" s="257">
        <v>37742</v>
      </c>
      <c r="C739" s="520">
        <f t="shared" si="150"/>
        <v>914</v>
      </c>
      <c r="D739" s="1152">
        <f t="shared" si="157"/>
        <v>0</v>
      </c>
      <c r="E739" s="586">
        <f>C739/607</f>
        <v>1.5057660626029654</v>
      </c>
      <c r="F739" s="424">
        <f t="shared" si="158"/>
        <v>-3.1301482701812218E-2</v>
      </c>
      <c r="G739" s="642">
        <v>0</v>
      </c>
      <c r="H739" s="424">
        <v>0</v>
      </c>
      <c r="I739" s="643">
        <v>0</v>
      </c>
      <c r="J739" s="568">
        <v>0</v>
      </c>
      <c r="K739" s="272"/>
      <c r="L739" s="271"/>
      <c r="M739" s="273"/>
      <c r="N739" s="272"/>
      <c r="O739" s="273"/>
      <c r="P739" s="273"/>
      <c r="Q739" s="273"/>
    </row>
    <row r="740" spans="2:17" s="404" customFormat="1" ht="9.6" customHeight="1">
      <c r="B740" s="257">
        <v>37773</v>
      </c>
      <c r="C740" s="520">
        <f t="shared" si="150"/>
        <v>914</v>
      </c>
      <c r="D740" s="1152">
        <f t="shared" si="157"/>
        <v>0</v>
      </c>
      <c r="E740" s="586">
        <f>C740/628</f>
        <v>1.4554140127388535</v>
      </c>
      <c r="F740" s="424">
        <f t="shared" si="158"/>
        <v>-3.3439490445859872E-2</v>
      </c>
      <c r="G740" s="642">
        <v>0</v>
      </c>
      <c r="H740" s="424">
        <v>0</v>
      </c>
      <c r="I740" s="643">
        <v>0</v>
      </c>
      <c r="J740" s="568">
        <v>0</v>
      </c>
      <c r="K740" s="272"/>
      <c r="L740" s="271"/>
      <c r="M740" s="273"/>
      <c r="N740" s="272"/>
      <c r="O740" s="273"/>
      <c r="P740" s="273"/>
      <c r="Q740" s="273"/>
    </row>
    <row r="741" spans="2:17" s="404" customFormat="1" ht="9.6" customHeight="1">
      <c r="B741" s="257">
        <v>37803</v>
      </c>
      <c r="C741" s="520">
        <f t="shared" si="150"/>
        <v>914</v>
      </c>
      <c r="D741" s="1152">
        <f t="shared" ref="D741:D746" si="159">(C741-C740)/C740</f>
        <v>0</v>
      </c>
      <c r="E741" s="586">
        <f>C741/651</f>
        <v>1.4039938556067588</v>
      </c>
      <c r="F741" s="424">
        <f t="shared" ref="F741:F746" si="160">(E741-E740)/E740</f>
        <v>-3.5330261136712761E-2</v>
      </c>
      <c r="G741" s="642">
        <v>0</v>
      </c>
      <c r="H741" s="424">
        <v>0</v>
      </c>
      <c r="I741" s="643">
        <v>0</v>
      </c>
      <c r="J741" s="568">
        <v>0</v>
      </c>
      <c r="K741" s="272"/>
      <c r="L741" s="271"/>
      <c r="M741" s="273"/>
      <c r="N741" s="272"/>
      <c r="O741" s="273"/>
      <c r="P741" s="273"/>
      <c r="Q741" s="273"/>
    </row>
    <row r="742" spans="2:17" s="404" customFormat="1" ht="9.6" customHeight="1">
      <c r="B742" s="257">
        <v>37834</v>
      </c>
      <c r="C742" s="520">
        <f t="shared" si="150"/>
        <v>914</v>
      </c>
      <c r="D742" s="1152">
        <f t="shared" si="159"/>
        <v>0</v>
      </c>
      <c r="E742" s="586">
        <f>C742/672</f>
        <v>1.3601190476190477</v>
      </c>
      <c r="F742" s="424">
        <f t="shared" si="160"/>
        <v>-3.1249999999999955E-2</v>
      </c>
      <c r="G742" s="642">
        <v>0</v>
      </c>
      <c r="H742" s="424">
        <v>0</v>
      </c>
      <c r="I742" s="643">
        <v>0</v>
      </c>
      <c r="J742" s="568">
        <v>0</v>
      </c>
      <c r="K742" s="272"/>
      <c r="L742" s="271"/>
      <c r="M742" s="273"/>
      <c r="N742" s="272"/>
      <c r="O742" s="273"/>
      <c r="P742" s="273"/>
      <c r="Q742" s="273"/>
    </row>
    <row r="743" spans="2:17" s="404" customFormat="1" ht="9.6" customHeight="1">
      <c r="B743" s="257">
        <v>37865</v>
      </c>
      <c r="C743" s="520">
        <f t="shared" si="150"/>
        <v>914</v>
      </c>
      <c r="D743" s="1152">
        <f t="shared" si="159"/>
        <v>0</v>
      </c>
      <c r="E743" s="586">
        <f>C743/693</f>
        <v>1.3189033189033188</v>
      </c>
      <c r="F743" s="424">
        <f t="shared" si="160"/>
        <v>-3.0303030303030418E-2</v>
      </c>
      <c r="G743" s="642">
        <v>0</v>
      </c>
      <c r="H743" s="424">
        <v>0</v>
      </c>
      <c r="I743" s="643">
        <v>0</v>
      </c>
      <c r="J743" s="568">
        <v>0</v>
      </c>
      <c r="K743" s="272"/>
      <c r="L743" s="271"/>
      <c r="M743" s="273"/>
      <c r="N743" s="272"/>
      <c r="O743" s="273"/>
      <c r="P743" s="273"/>
      <c r="Q743" s="273"/>
    </row>
    <row r="744" spans="2:17" s="404" customFormat="1" ht="9.6" customHeight="1">
      <c r="B744" s="257">
        <v>37895</v>
      </c>
      <c r="C744" s="520">
        <f t="shared" si="150"/>
        <v>914</v>
      </c>
      <c r="D744" s="1152">
        <f t="shared" si="159"/>
        <v>0</v>
      </c>
      <c r="E744" s="586">
        <f>C744/715</f>
        <v>1.2783216783216784</v>
      </c>
      <c r="F744" s="424">
        <f t="shared" si="160"/>
        <v>-3.0769230769230615E-2</v>
      </c>
      <c r="G744" s="642">
        <v>0</v>
      </c>
      <c r="H744" s="424">
        <v>0</v>
      </c>
      <c r="I744" s="643">
        <v>0</v>
      </c>
      <c r="J744" s="568">
        <v>0</v>
      </c>
      <c r="K744" s="272"/>
      <c r="L744" s="271"/>
      <c r="M744" s="273"/>
      <c r="N744" s="272"/>
      <c r="O744" s="273"/>
      <c r="P744" s="273"/>
      <c r="Q744" s="273"/>
    </row>
    <row r="745" spans="2:17" s="404" customFormat="1" ht="9.6" customHeight="1">
      <c r="B745" s="257">
        <v>37926</v>
      </c>
      <c r="C745" s="520">
        <f t="shared" si="150"/>
        <v>914</v>
      </c>
      <c r="D745" s="1152">
        <f t="shared" si="159"/>
        <v>0</v>
      </c>
      <c r="E745" s="586">
        <f>C745/732</f>
        <v>1.2486338797814207</v>
      </c>
      <c r="F745" s="424">
        <f t="shared" si="160"/>
        <v>-2.3224043715847117E-2</v>
      </c>
      <c r="G745" s="642">
        <v>0</v>
      </c>
      <c r="H745" s="424">
        <v>0</v>
      </c>
      <c r="I745" s="643">
        <v>0</v>
      </c>
      <c r="J745" s="568">
        <v>0</v>
      </c>
      <c r="K745" s="272"/>
      <c r="L745" s="271"/>
      <c r="M745" s="273"/>
      <c r="N745" s="272"/>
      <c r="O745" s="273"/>
      <c r="P745" s="273"/>
      <c r="Q745" s="273"/>
    </row>
    <row r="746" spans="2:17" s="404" customFormat="1" ht="9.6" customHeight="1" thickBot="1">
      <c r="B746" s="262">
        <v>37956</v>
      </c>
      <c r="C746" s="266">
        <f t="shared" si="150"/>
        <v>914</v>
      </c>
      <c r="D746" s="1155">
        <f t="shared" si="159"/>
        <v>0</v>
      </c>
      <c r="E746" s="556">
        <f>C746/754</f>
        <v>1.2122015915119364</v>
      </c>
      <c r="F746" s="311">
        <f t="shared" si="160"/>
        <v>-2.917771883289115E-2</v>
      </c>
      <c r="G746" s="893">
        <v>0</v>
      </c>
      <c r="H746" s="311">
        <v>0</v>
      </c>
      <c r="I746" s="590">
        <v>0</v>
      </c>
      <c r="J746" s="316">
        <v>0</v>
      </c>
      <c r="K746" s="272"/>
      <c r="L746" s="271"/>
      <c r="M746" s="273"/>
      <c r="N746" s="272"/>
      <c r="O746" s="273"/>
      <c r="P746" s="273"/>
      <c r="Q746" s="273"/>
    </row>
    <row r="747" spans="2:17" s="404" customFormat="1" ht="9.6" customHeight="1">
      <c r="B747" s="518"/>
      <c r="C747" s="256"/>
      <c r="D747" s="1167"/>
      <c r="E747" s="515"/>
      <c r="F747" s="514"/>
      <c r="G747" s="516"/>
      <c r="H747" s="514"/>
      <c r="I747" s="517"/>
      <c r="J747" s="514"/>
      <c r="K747" s="272"/>
      <c r="L747" s="271"/>
      <c r="M747" s="273"/>
      <c r="N747" s="272"/>
      <c r="O747" s="273"/>
      <c r="P747" s="273"/>
      <c r="Q747" s="273"/>
    </row>
    <row r="748" spans="2:17" s="404" customFormat="1" ht="9.6" customHeight="1">
      <c r="B748" s="518"/>
      <c r="C748" s="256"/>
      <c r="D748" s="1167"/>
      <c r="E748" s="515"/>
      <c r="F748" s="514"/>
      <c r="G748" s="516"/>
      <c r="H748" s="514"/>
      <c r="I748" s="517"/>
      <c r="J748" s="514"/>
      <c r="K748" s="272"/>
      <c r="L748" s="271"/>
      <c r="M748" s="273"/>
      <c r="N748" s="272"/>
      <c r="O748" s="273"/>
      <c r="P748" s="273"/>
      <c r="Q748" s="273"/>
    </row>
    <row r="749" spans="2:17" s="404" customFormat="1" ht="12" customHeight="1" thickBot="1">
      <c r="B749" s="47" t="s">
        <v>239</v>
      </c>
      <c r="C749" s="1"/>
      <c r="D749" s="1098"/>
      <c r="E749" s="1"/>
      <c r="F749" s="1"/>
      <c r="G749" s="1"/>
      <c r="H749" s="1"/>
      <c r="I749" s="1"/>
      <c r="J749" s="1"/>
      <c r="K749" s="272"/>
      <c r="L749" s="271"/>
      <c r="M749" s="273"/>
      <c r="N749" s="272"/>
      <c r="O749" s="273"/>
      <c r="P749" s="273"/>
      <c r="Q749" s="273"/>
    </row>
    <row r="750" spans="2:17" s="404" customFormat="1" ht="9.6" customHeight="1">
      <c r="B750" s="203"/>
      <c r="C750" s="204" t="s">
        <v>157</v>
      </c>
      <c r="D750" s="1139"/>
      <c r="E750" s="205"/>
      <c r="F750" s="205"/>
      <c r="G750" s="205"/>
      <c r="H750" s="205"/>
      <c r="I750" s="205"/>
      <c r="J750" s="206"/>
      <c r="K750" s="272"/>
      <c r="L750" s="271"/>
      <c r="M750" s="273"/>
      <c r="N750" s="272"/>
      <c r="O750" s="273"/>
      <c r="P750" s="273"/>
      <c r="Q750" s="273"/>
    </row>
    <row r="751" spans="2:17" s="404" customFormat="1" ht="9.6" customHeight="1">
      <c r="B751" s="207" t="s">
        <v>54</v>
      </c>
      <c r="C751" s="208" t="s">
        <v>55</v>
      </c>
      <c r="D751" s="1140"/>
      <c r="E751" s="210" t="s">
        <v>56</v>
      </c>
      <c r="F751" s="211"/>
      <c r="G751" s="209" t="s">
        <v>57</v>
      </c>
      <c r="H751" s="212"/>
      <c r="I751" s="213" t="s">
        <v>58</v>
      </c>
      <c r="J751" s="214"/>
      <c r="K751" s="272"/>
      <c r="L751" s="271"/>
      <c r="M751" s="273"/>
      <c r="N751" s="272"/>
      <c r="O751" s="273"/>
      <c r="P751" s="273"/>
      <c r="Q751" s="273"/>
    </row>
    <row r="752" spans="2:17" s="404" customFormat="1" ht="9.6" customHeight="1">
      <c r="B752" s="207"/>
      <c r="C752" s="215"/>
      <c r="D752" s="1140"/>
      <c r="E752" s="216" t="s">
        <v>59</v>
      </c>
      <c r="F752" s="217"/>
      <c r="G752" s="218"/>
      <c r="H752" s="209"/>
      <c r="I752" s="216" t="s">
        <v>60</v>
      </c>
      <c r="J752" s="219"/>
      <c r="K752" s="272"/>
      <c r="L752" s="271"/>
      <c r="M752" s="273"/>
      <c r="N752" s="272"/>
      <c r="O752" s="273"/>
      <c r="P752" s="273"/>
      <c r="Q752" s="273"/>
    </row>
    <row r="753" spans="2:17" s="404" customFormat="1" ht="9.6" customHeight="1" thickBot="1">
      <c r="B753" s="220" t="s">
        <v>61</v>
      </c>
      <c r="C753" s="109" t="s">
        <v>62</v>
      </c>
      <c r="D753" s="1141" t="s">
        <v>63</v>
      </c>
      <c r="E753" s="109" t="s">
        <v>62</v>
      </c>
      <c r="F753" s="221" t="s">
        <v>63</v>
      </c>
      <c r="G753" s="109" t="s">
        <v>62</v>
      </c>
      <c r="H753" s="221" t="s">
        <v>63</v>
      </c>
      <c r="I753" s="109" t="s">
        <v>62</v>
      </c>
      <c r="J753" s="222" t="s">
        <v>63</v>
      </c>
      <c r="K753" s="272"/>
      <c r="L753" s="271"/>
      <c r="M753" s="273"/>
      <c r="N753" s="272"/>
      <c r="O753" s="273"/>
      <c r="P753" s="273"/>
      <c r="Q753" s="273"/>
    </row>
    <row r="754" spans="2:17" s="404" customFormat="1" ht="9.6" customHeight="1">
      <c r="B754" s="231">
        <v>35065</v>
      </c>
      <c r="C754" s="232">
        <v>60172</v>
      </c>
      <c r="D754" s="1142" t="s">
        <v>31</v>
      </c>
      <c r="E754" s="245">
        <f>C754/22</f>
        <v>2735.090909090909</v>
      </c>
      <c r="F754" s="458" t="s">
        <v>31</v>
      </c>
      <c r="G754" s="235">
        <f>SUM(C754)</f>
        <v>60172</v>
      </c>
      <c r="H754" s="236" t="s">
        <v>31</v>
      </c>
      <c r="I754" s="237">
        <f>G754/22</f>
        <v>2735.090909090909</v>
      </c>
      <c r="J754" s="238" t="s">
        <v>31</v>
      </c>
      <c r="K754" s="272"/>
      <c r="L754" s="271"/>
      <c r="M754" s="273"/>
      <c r="N754" s="272"/>
      <c r="O754" s="273"/>
      <c r="P754" s="273"/>
      <c r="Q754" s="273"/>
    </row>
    <row r="755" spans="2:17" s="404" customFormat="1" ht="9.6" customHeight="1">
      <c r="B755" s="231">
        <v>35096</v>
      </c>
      <c r="C755" s="232">
        <v>31711</v>
      </c>
      <c r="D755" s="1142">
        <f t="shared" ref="D755:D785" si="161">(C755-C754)/C754</f>
        <v>-0.47299408362693612</v>
      </c>
      <c r="E755" s="245">
        <f>C755/15</f>
        <v>2114.0666666666666</v>
      </c>
      <c r="F755" s="233">
        <f t="shared" ref="F755:F769" si="162">(E755-E754)/E754</f>
        <v>-0.2270579893195063</v>
      </c>
      <c r="G755" s="235">
        <f>SUM(C754:C755)</f>
        <v>91883</v>
      </c>
      <c r="H755" s="239">
        <f t="shared" ref="H755:H765" si="163">(G755-G754)/G754*100</f>
        <v>52.700591637306395</v>
      </c>
      <c r="I755" s="240">
        <f>G755/37</f>
        <v>2483.3243243243242</v>
      </c>
      <c r="J755" s="241">
        <f t="shared" ref="J755:J765" si="164">(I755-I754)/I754*100</f>
        <v>-9.2050536210610705</v>
      </c>
      <c r="K755" s="272"/>
      <c r="L755" s="271"/>
      <c r="M755" s="273"/>
      <c r="N755" s="272"/>
      <c r="O755" s="273"/>
      <c r="P755" s="273"/>
      <c r="Q755" s="273"/>
    </row>
    <row r="756" spans="2:17" s="404" customFormat="1" ht="9.6" customHeight="1">
      <c r="B756" s="231">
        <v>35125</v>
      </c>
      <c r="C756" s="232">
        <v>33024</v>
      </c>
      <c r="D756" s="1142">
        <f t="shared" si="161"/>
        <v>4.1405190627857844E-2</v>
      </c>
      <c r="E756" s="245">
        <f>C756/21</f>
        <v>1572.5714285714287</v>
      </c>
      <c r="F756" s="233">
        <f t="shared" si="162"/>
        <v>-0.25613914955153005</v>
      </c>
      <c r="G756" s="235">
        <f>SUM(C754:C756)</f>
        <v>124907</v>
      </c>
      <c r="H756" s="239">
        <f t="shared" si="163"/>
        <v>35.941360208090721</v>
      </c>
      <c r="I756" s="240">
        <f>G756/58</f>
        <v>2153.5689655172414</v>
      </c>
      <c r="J756" s="241">
        <f t="shared" si="164"/>
        <v>-13.278787453459358</v>
      </c>
      <c r="K756" s="272"/>
      <c r="L756" s="271"/>
      <c r="M756" s="273"/>
      <c r="N756" s="272"/>
      <c r="O756" s="273"/>
      <c r="P756" s="273"/>
      <c r="Q756" s="273"/>
    </row>
    <row r="757" spans="2:17" s="404" customFormat="1" ht="9.6" customHeight="1">
      <c r="B757" s="231">
        <v>35156</v>
      </c>
      <c r="C757" s="232">
        <v>39188</v>
      </c>
      <c r="D757" s="1142">
        <f t="shared" si="161"/>
        <v>0.18665213178294573</v>
      </c>
      <c r="E757" s="245">
        <f>C757/21</f>
        <v>1866.0952380952381</v>
      </c>
      <c r="F757" s="233">
        <f t="shared" si="162"/>
        <v>0.18665213178294565</v>
      </c>
      <c r="G757" s="235">
        <f>SUM(C754:C757)</f>
        <v>164095</v>
      </c>
      <c r="H757" s="239">
        <f t="shared" si="163"/>
        <v>31.373742064095687</v>
      </c>
      <c r="I757" s="240">
        <f>G757/79</f>
        <v>2077.1518987341774</v>
      </c>
      <c r="J757" s="241">
        <f t="shared" si="164"/>
        <v>-3.5483919023094876</v>
      </c>
      <c r="K757" s="272"/>
      <c r="L757" s="271"/>
      <c r="M757" s="273"/>
      <c r="N757" s="272"/>
      <c r="O757" s="273"/>
      <c r="P757" s="273"/>
      <c r="Q757" s="273"/>
    </row>
    <row r="758" spans="2:17" s="404" customFormat="1" ht="9.6" customHeight="1">
      <c r="B758" s="231">
        <v>35186</v>
      </c>
      <c r="C758" s="232">
        <v>24733</v>
      </c>
      <c r="D758" s="1142">
        <f t="shared" si="161"/>
        <v>-0.368862917219557</v>
      </c>
      <c r="E758" s="245">
        <f>C758/20</f>
        <v>1236.6500000000001</v>
      </c>
      <c r="F758" s="233">
        <f t="shared" si="162"/>
        <v>-0.33730606308053479</v>
      </c>
      <c r="G758" s="235">
        <f>SUM(C754:C758)</f>
        <v>188828</v>
      </c>
      <c r="H758" s="239">
        <f t="shared" si="163"/>
        <v>15.072366616898748</v>
      </c>
      <c r="I758" s="240">
        <f>G758/99</f>
        <v>1907.3535353535353</v>
      </c>
      <c r="J758" s="241">
        <f t="shared" si="164"/>
        <v>-8.1745761339898966</v>
      </c>
      <c r="K758" s="272"/>
      <c r="L758" s="271"/>
      <c r="M758" s="273"/>
      <c r="N758" s="272"/>
      <c r="O758" s="273"/>
      <c r="P758" s="273"/>
      <c r="Q758" s="273"/>
    </row>
    <row r="759" spans="2:17" s="404" customFormat="1" ht="9.6" customHeight="1">
      <c r="B759" s="231">
        <v>35217</v>
      </c>
      <c r="C759" s="232">
        <v>44064</v>
      </c>
      <c r="D759" s="1142">
        <f t="shared" si="161"/>
        <v>0.78158735292928472</v>
      </c>
      <c r="E759" s="245">
        <f>C759/20</f>
        <v>2203.1999999999998</v>
      </c>
      <c r="F759" s="233">
        <f t="shared" si="162"/>
        <v>0.7815873529292845</v>
      </c>
      <c r="G759" s="235">
        <f>SUM(C754:C759)</f>
        <v>232892</v>
      </c>
      <c r="H759" s="239">
        <f t="shared" si="163"/>
        <v>23.33552227423899</v>
      </c>
      <c r="I759" s="240">
        <f>G759/119</f>
        <v>1957.0756302521008</v>
      </c>
      <c r="J759" s="241">
        <f t="shared" si="164"/>
        <v>2.6068630684845386</v>
      </c>
      <c r="K759" s="272"/>
      <c r="L759" s="271"/>
      <c r="M759" s="273"/>
      <c r="N759" s="272"/>
      <c r="O759" s="273"/>
      <c r="P759" s="273"/>
      <c r="Q759" s="273"/>
    </row>
    <row r="760" spans="2:17" s="404" customFormat="1" ht="9.6" customHeight="1">
      <c r="B760" s="231">
        <v>35247</v>
      </c>
      <c r="C760" s="232">
        <v>42932</v>
      </c>
      <c r="D760" s="1143">
        <f t="shared" si="161"/>
        <v>-2.5689905591866378E-2</v>
      </c>
      <c r="E760" s="245">
        <f>C760/22</f>
        <v>1951.4545454545455</v>
      </c>
      <c r="F760" s="233">
        <f t="shared" si="162"/>
        <v>-0.11426355053806025</v>
      </c>
      <c r="G760" s="235">
        <f>SUM(C754:C760)</f>
        <v>275824</v>
      </c>
      <c r="H760" s="239">
        <f t="shared" si="163"/>
        <v>18.434295725057108</v>
      </c>
      <c r="I760" s="240">
        <f>G760/141</f>
        <v>1956.1985815602836</v>
      </c>
      <c r="J760" s="241">
        <f t="shared" si="164"/>
        <v>-4.481424622840105E-2</v>
      </c>
      <c r="K760" s="272"/>
      <c r="L760" s="271"/>
      <c r="M760" s="273"/>
      <c r="N760" s="272"/>
      <c r="O760" s="273"/>
      <c r="P760" s="273"/>
      <c r="Q760" s="273"/>
    </row>
    <row r="761" spans="2:17" s="404" customFormat="1" ht="9.6" customHeight="1">
      <c r="B761" s="231">
        <v>35278</v>
      </c>
      <c r="C761" s="242">
        <v>53708</v>
      </c>
      <c r="D761" s="1142">
        <f t="shared" si="161"/>
        <v>0.25100158390012112</v>
      </c>
      <c r="E761" s="245">
        <f>C761/22</f>
        <v>2441.2727272727275</v>
      </c>
      <c r="F761" s="233">
        <f t="shared" si="162"/>
        <v>0.25100158390012123</v>
      </c>
      <c r="G761" s="235">
        <f>SUM(C754:C761)</f>
        <v>329532</v>
      </c>
      <c r="H761" s="239">
        <f t="shared" si="163"/>
        <v>19.471837113521666</v>
      </c>
      <c r="I761" s="240">
        <f>G761/163</f>
        <v>2021.6687116564417</v>
      </c>
      <c r="J761" s="241">
        <f t="shared" si="164"/>
        <v>3.3468038834757992</v>
      </c>
      <c r="K761" s="272"/>
      <c r="L761" s="271"/>
      <c r="M761" s="273"/>
      <c r="N761" s="272"/>
      <c r="O761" s="273"/>
      <c r="P761" s="273"/>
      <c r="Q761" s="273"/>
    </row>
    <row r="762" spans="2:17" s="404" customFormat="1" ht="9.6" customHeight="1">
      <c r="B762" s="231">
        <v>35309</v>
      </c>
      <c r="C762" s="242">
        <v>55140</v>
      </c>
      <c r="D762" s="1142">
        <f t="shared" si="161"/>
        <v>2.6662694570641247E-2</v>
      </c>
      <c r="E762" s="245">
        <f>C762/21</f>
        <v>2625.7142857142858</v>
      </c>
      <c r="F762" s="233">
        <f t="shared" si="162"/>
        <v>7.5551394312100284E-2</v>
      </c>
      <c r="G762" s="235">
        <f>SUM(C754:C762)</f>
        <v>384672</v>
      </c>
      <c r="H762" s="239">
        <f t="shared" si="163"/>
        <v>16.732821091730091</v>
      </c>
      <c r="I762" s="240">
        <f>G762/184</f>
        <v>2090.608695652174</v>
      </c>
      <c r="J762" s="241">
        <f t="shared" si="164"/>
        <v>3.4100534671304645</v>
      </c>
      <c r="K762" s="272"/>
      <c r="L762" s="271"/>
      <c r="M762" s="273"/>
      <c r="N762" s="272"/>
      <c r="O762" s="273"/>
      <c r="P762" s="273"/>
      <c r="Q762" s="273"/>
    </row>
    <row r="763" spans="2:17" s="404" customFormat="1" ht="9.6" customHeight="1">
      <c r="B763" s="231">
        <v>35339</v>
      </c>
      <c r="C763" s="242">
        <v>43211</v>
      </c>
      <c r="D763" s="1142">
        <f t="shared" si="161"/>
        <v>-0.21634022488211824</v>
      </c>
      <c r="E763" s="245">
        <f>C763/23</f>
        <v>1878.7391304347825</v>
      </c>
      <c r="F763" s="233">
        <f t="shared" si="162"/>
        <v>-0.28448455315323845</v>
      </c>
      <c r="G763" s="235">
        <f>SUM(C754:C763)</f>
        <v>427883</v>
      </c>
      <c r="H763" s="239">
        <f t="shared" si="163"/>
        <v>11.233206472007321</v>
      </c>
      <c r="I763" s="240">
        <f>G763/207</f>
        <v>2067.0676328502414</v>
      </c>
      <c r="J763" s="241">
        <f t="shared" si="164"/>
        <v>-1.1260386915490614</v>
      </c>
      <c r="K763" s="272"/>
      <c r="L763" s="271"/>
      <c r="M763" s="273"/>
      <c r="N763" s="272"/>
      <c r="O763" s="273"/>
      <c r="P763" s="273"/>
      <c r="Q763" s="273"/>
    </row>
    <row r="764" spans="2:17" s="404" customFormat="1" ht="9.6" customHeight="1">
      <c r="B764" s="231">
        <v>35370</v>
      </c>
      <c r="C764" s="242">
        <v>36035</v>
      </c>
      <c r="D764" s="1142">
        <f t="shared" si="161"/>
        <v>-0.16606882506769111</v>
      </c>
      <c r="E764" s="245">
        <f>C764/20</f>
        <v>1801.75</v>
      </c>
      <c r="F764" s="233">
        <f t="shared" si="162"/>
        <v>-4.0979148827844709E-2</v>
      </c>
      <c r="G764" s="235">
        <f>SUM(C754:C764)</f>
        <v>463918</v>
      </c>
      <c r="H764" s="239">
        <f t="shared" si="163"/>
        <v>8.4216947156115101</v>
      </c>
      <c r="I764" s="240">
        <f>G764/227</f>
        <v>2043.6916299559471</v>
      </c>
      <c r="J764" s="241">
        <f t="shared" si="164"/>
        <v>-1.1308775060282643</v>
      </c>
      <c r="K764" s="272"/>
      <c r="L764" s="271"/>
      <c r="M764" s="273"/>
      <c r="N764" s="272"/>
      <c r="O764" s="273"/>
      <c r="P764" s="273"/>
      <c r="Q764" s="273"/>
    </row>
    <row r="765" spans="2:17" s="404" customFormat="1" ht="9.6" customHeight="1">
      <c r="B765" s="231">
        <v>35400</v>
      </c>
      <c r="C765" s="242">
        <v>34150</v>
      </c>
      <c r="D765" s="1142">
        <f t="shared" si="161"/>
        <v>-5.2310253919800195E-2</v>
      </c>
      <c r="E765" s="245">
        <f>C765/21</f>
        <v>1626.1904761904761</v>
      </c>
      <c r="F765" s="233">
        <f t="shared" si="162"/>
        <v>-9.7438337066476394E-2</v>
      </c>
      <c r="G765" s="235">
        <f>SUM(C754:C765)</f>
        <v>498068</v>
      </c>
      <c r="H765" s="239">
        <f t="shared" si="163"/>
        <v>7.361214697424975</v>
      </c>
      <c r="I765" s="240">
        <f>G765/248</f>
        <v>2008.3387096774193</v>
      </c>
      <c r="J765" s="241">
        <f t="shared" si="164"/>
        <v>-1.7298559019537523</v>
      </c>
      <c r="K765" s="272"/>
      <c r="L765" s="271"/>
      <c r="M765" s="273"/>
      <c r="N765" s="272"/>
      <c r="O765" s="273"/>
      <c r="P765" s="273"/>
      <c r="Q765" s="273"/>
    </row>
    <row r="766" spans="2:17" s="404" customFormat="1" ht="9.6" customHeight="1">
      <c r="B766" s="243">
        <v>35431</v>
      </c>
      <c r="C766" s="244">
        <v>48990</v>
      </c>
      <c r="D766" s="1142">
        <f t="shared" si="161"/>
        <v>0.43455344070278185</v>
      </c>
      <c r="E766" s="245">
        <f>C766/22</f>
        <v>2226.818181818182</v>
      </c>
      <c r="F766" s="233">
        <f t="shared" si="162"/>
        <v>0.3693464661253828</v>
      </c>
      <c r="G766" s="235">
        <f>SUM(C766)</f>
        <v>48990</v>
      </c>
      <c r="H766" s="236" t="s">
        <v>31</v>
      </c>
      <c r="I766" s="245">
        <f>G766/22</f>
        <v>2226.818181818182</v>
      </c>
      <c r="J766" s="238" t="s">
        <v>31</v>
      </c>
      <c r="K766" s="272"/>
      <c r="L766" s="271"/>
      <c r="M766" s="273"/>
      <c r="N766" s="272"/>
      <c r="O766" s="273"/>
      <c r="P766" s="273"/>
      <c r="Q766" s="273"/>
    </row>
    <row r="767" spans="2:17" s="404" customFormat="1" ht="9.6" customHeight="1">
      <c r="B767" s="243">
        <v>35462</v>
      </c>
      <c r="C767" s="246">
        <v>32318</v>
      </c>
      <c r="D767" s="1143">
        <f t="shared" si="161"/>
        <v>-0.34031434986731984</v>
      </c>
      <c r="E767" s="534">
        <f>C767/16</f>
        <v>2019.875</v>
      </c>
      <c r="F767" s="233">
        <f t="shared" si="162"/>
        <v>-9.2932231067564874E-2</v>
      </c>
      <c r="G767" s="235">
        <f>SUM(C766:C767)</f>
        <v>81308</v>
      </c>
      <c r="H767" s="248">
        <f t="shared" ref="H767:H777" si="165">(G767-G766)/G766</f>
        <v>0.6596856501326801</v>
      </c>
      <c r="I767" s="240">
        <f>G767/38</f>
        <v>2139.6842105263158</v>
      </c>
      <c r="J767" s="249">
        <f t="shared" ref="J767:J777" si="166">(I767-I766)/I766</f>
        <v>-3.9129360449501022E-2</v>
      </c>
      <c r="K767" s="272"/>
      <c r="L767" s="271"/>
      <c r="M767" s="273"/>
      <c r="N767" s="272"/>
      <c r="O767" s="273"/>
      <c r="P767" s="273"/>
      <c r="Q767" s="273"/>
    </row>
    <row r="768" spans="2:17" s="404" customFormat="1" ht="9.6" customHeight="1">
      <c r="B768" s="243">
        <v>35490</v>
      </c>
      <c r="C768" s="244">
        <v>40260</v>
      </c>
      <c r="D768" s="1142">
        <f t="shared" si="161"/>
        <v>0.24574540503744044</v>
      </c>
      <c r="E768" s="245">
        <f>C768/21</f>
        <v>1917.1428571428571</v>
      </c>
      <c r="F768" s="233">
        <f t="shared" si="162"/>
        <v>-5.0860643780997777E-2</v>
      </c>
      <c r="G768" s="235">
        <f>SUM(C766:C768)</f>
        <v>121568</v>
      </c>
      <c r="H768" s="250">
        <f t="shared" si="165"/>
        <v>0.49515422836621242</v>
      </c>
      <c r="I768" s="245">
        <f>G768/59</f>
        <v>2060.4745762711864</v>
      </c>
      <c r="J768" s="251">
        <f t="shared" si="166"/>
        <v>-3.7019310543795439E-2</v>
      </c>
      <c r="K768" s="272"/>
      <c r="L768" s="271"/>
      <c r="M768" s="273"/>
      <c r="N768" s="272"/>
      <c r="O768" s="273"/>
      <c r="P768" s="273"/>
      <c r="Q768" s="273"/>
    </row>
    <row r="769" spans="2:17" s="404" customFormat="1" ht="9.6" customHeight="1">
      <c r="B769" s="243">
        <v>35521</v>
      </c>
      <c r="C769" s="244">
        <v>38435</v>
      </c>
      <c r="D769" s="1142">
        <f t="shared" si="161"/>
        <v>-4.5330352707401884E-2</v>
      </c>
      <c r="E769" s="252">
        <f>C769/21</f>
        <v>1830.2380952380952</v>
      </c>
      <c r="F769" s="233">
        <f t="shared" si="162"/>
        <v>-4.5330352707401898E-2</v>
      </c>
      <c r="G769" s="235">
        <f>SUM(C766:C769)</f>
        <v>160003</v>
      </c>
      <c r="H769" s="250">
        <f t="shared" si="165"/>
        <v>0.31616050276388524</v>
      </c>
      <c r="I769" s="245">
        <f>G769/80</f>
        <v>2000.0374999999999</v>
      </c>
      <c r="J769" s="251">
        <f t="shared" si="166"/>
        <v>-2.9331629211634656E-2</v>
      </c>
      <c r="K769" s="272"/>
      <c r="L769" s="271"/>
      <c r="M769" s="273"/>
      <c r="N769" s="272"/>
      <c r="O769" s="273"/>
      <c r="P769" s="273"/>
      <c r="Q769" s="273"/>
    </row>
    <row r="770" spans="2:17" s="404" customFormat="1" ht="9.6" customHeight="1">
      <c r="B770" s="243">
        <v>35551</v>
      </c>
      <c r="C770" s="253">
        <v>36986</v>
      </c>
      <c r="D770" s="1142">
        <f t="shared" si="161"/>
        <v>-3.7700013008976192E-2</v>
      </c>
      <c r="E770" s="252">
        <f>C770/19</f>
        <v>1946.6315789473683</v>
      </c>
      <c r="F770" s="233">
        <f>(E770-E769)/E769</f>
        <v>6.3594722463763131E-2</v>
      </c>
      <c r="G770" s="235">
        <f>SUM(C766:C770)</f>
        <v>196989</v>
      </c>
      <c r="H770" s="250">
        <f t="shared" si="165"/>
        <v>0.23115816578439155</v>
      </c>
      <c r="I770" s="245">
        <f>G770/99</f>
        <v>1989.7878787878788</v>
      </c>
      <c r="J770" s="251">
        <f t="shared" si="166"/>
        <v>-5.1247145176633721E-3</v>
      </c>
      <c r="K770" s="272"/>
      <c r="L770" s="271"/>
      <c r="M770" s="273"/>
      <c r="N770" s="272"/>
      <c r="O770" s="273"/>
      <c r="P770" s="273"/>
      <c r="Q770" s="273"/>
    </row>
    <row r="771" spans="2:17" s="404" customFormat="1" ht="9.6" customHeight="1" ph="1">
      <c r="B771" s="243">
        <v>35582</v>
      </c>
      <c r="C771" s="254">
        <v>40418</v>
      </c>
      <c r="D771" s="1142">
        <f t="shared" si="161"/>
        <v>9.2791867192991942E-2</v>
      </c>
      <c r="E771" s="252">
        <f>C771/21</f>
        <v>1924.6666666666667</v>
      </c>
      <c r="F771" s="233">
        <f>(E771-E770)/E770</f>
        <v>-1.1283548730150059E-2</v>
      </c>
      <c r="G771" s="235">
        <f>SUM(C766:C771)</f>
        <v>237407</v>
      </c>
      <c r="H771" s="233">
        <f t="shared" si="165"/>
        <v>0.20517896938407729</v>
      </c>
      <c r="I771" s="245">
        <f>G771/120</f>
        <v>1978.3916666666667</v>
      </c>
      <c r="J771" s="255">
        <f t="shared" si="166"/>
        <v>-5.7273502581362311E-3</v>
      </c>
      <c r="K771" s="272"/>
      <c r="L771" s="271"/>
      <c r="M771" s="273"/>
      <c r="N771" s="272"/>
      <c r="O771" s="273"/>
      <c r="P771" s="273"/>
      <c r="Q771" s="273"/>
    </row>
    <row r="772" spans="2:17" s="404" customFormat="1" ht="9.6" customHeight="1">
      <c r="B772" s="243">
        <v>35612</v>
      </c>
      <c r="C772" s="244">
        <v>45347</v>
      </c>
      <c r="D772" s="1142">
        <f t="shared" si="161"/>
        <v>0.12195061606215053</v>
      </c>
      <c r="E772" s="252">
        <f>C772/22</f>
        <v>2061.2272727272725</v>
      </c>
      <c r="F772" s="233">
        <f>(E772-E771)/E771</f>
        <v>7.0952860786598085E-2</v>
      </c>
      <c r="G772" s="235">
        <f>SUM(C766:C772)</f>
        <v>282754</v>
      </c>
      <c r="H772" s="250">
        <f t="shared" si="165"/>
        <v>0.19100953215364333</v>
      </c>
      <c r="I772" s="245">
        <f>G772/142</f>
        <v>1991.2253521126761</v>
      </c>
      <c r="J772" s="251">
        <f t="shared" si="166"/>
        <v>6.4869285805436777E-3</v>
      </c>
      <c r="K772" s="272"/>
      <c r="L772" s="271"/>
      <c r="M772" s="273"/>
      <c r="N772" s="272"/>
      <c r="O772" s="273"/>
      <c r="P772" s="273"/>
      <c r="Q772" s="273"/>
    </row>
    <row r="773" spans="2:17" s="404" customFormat="1" ht="9.6" customHeight="1">
      <c r="B773" s="243">
        <v>35643</v>
      </c>
      <c r="C773" s="256">
        <v>42953</v>
      </c>
      <c r="D773" s="1142">
        <f t="shared" si="161"/>
        <v>-5.2792908020376207E-2</v>
      </c>
      <c r="E773" s="252">
        <f>C773/21</f>
        <v>2045.3809523809523</v>
      </c>
      <c r="F773" s="233">
        <f>(E773-E772)/E772</f>
        <v>-7.6878084022988296E-3</v>
      </c>
      <c r="G773" s="235">
        <f>SUM(C766:C773)</f>
        <v>325707</v>
      </c>
      <c r="H773" s="250">
        <f t="shared" si="165"/>
        <v>0.15190943364196438</v>
      </c>
      <c r="I773" s="245">
        <f>G773/163</f>
        <v>1998.20245398773</v>
      </c>
      <c r="J773" s="251">
        <f t="shared" si="166"/>
        <v>3.5039237862511383E-3</v>
      </c>
      <c r="K773" s="272"/>
      <c r="L773" s="271"/>
      <c r="M773" s="273"/>
      <c r="N773" s="272"/>
      <c r="O773" s="273"/>
      <c r="P773" s="273"/>
      <c r="Q773" s="273"/>
    </row>
    <row r="774" spans="2:17" s="404" customFormat="1" ht="9.6" customHeight="1">
      <c r="B774" s="243">
        <v>35674</v>
      </c>
      <c r="C774" s="244">
        <v>49792</v>
      </c>
      <c r="D774" s="1142">
        <f t="shared" si="161"/>
        <v>0.15922054338462971</v>
      </c>
      <c r="E774" s="252">
        <f>C774/21</f>
        <v>2371.0476190476193</v>
      </c>
      <c r="F774" s="233">
        <f>(E774-E773)/E773</f>
        <v>0.15922054338462988</v>
      </c>
      <c r="G774" s="235">
        <f>SUM(C766:C774)</f>
        <v>375499</v>
      </c>
      <c r="H774" s="250">
        <f t="shared" si="165"/>
        <v>0.15287359497953681</v>
      </c>
      <c r="I774" s="245">
        <f>G774/184</f>
        <v>2040.7554347826087</v>
      </c>
      <c r="J774" s="251">
        <f t="shared" si="166"/>
        <v>2.1295630335133223E-2</v>
      </c>
      <c r="K774" s="272"/>
      <c r="L774" s="271"/>
      <c r="M774" s="273"/>
      <c r="N774" s="272"/>
      <c r="O774" s="273"/>
      <c r="P774" s="273"/>
      <c r="Q774" s="273"/>
    </row>
    <row r="775" spans="2:17" s="404" customFormat="1" ht="9.6" customHeight="1">
      <c r="B775" s="257">
        <v>35704</v>
      </c>
      <c r="C775" s="258">
        <v>44360</v>
      </c>
      <c r="D775" s="1142">
        <f t="shared" si="161"/>
        <v>-0.10909383033419023</v>
      </c>
      <c r="E775" s="252">
        <f>C775/22</f>
        <v>2016.3636363636363</v>
      </c>
      <c r="F775" s="259">
        <v>-0.1986999625888515</v>
      </c>
      <c r="G775" s="235">
        <f>SUM(C766:C775)</f>
        <v>419859</v>
      </c>
      <c r="H775" s="233">
        <f t="shared" si="165"/>
        <v>0.1181361335183316</v>
      </c>
      <c r="I775" s="245">
        <f>G775/206</f>
        <v>2038.1504854368932</v>
      </c>
      <c r="J775" s="251">
        <f t="shared" si="166"/>
        <v>-1.276463265179573E-3</v>
      </c>
      <c r="K775" s="272"/>
      <c r="L775" s="271"/>
      <c r="M775" s="273"/>
      <c r="N775" s="272"/>
      <c r="O775" s="273"/>
      <c r="P775" s="273"/>
      <c r="Q775" s="273"/>
    </row>
    <row r="776" spans="2:17" s="404" customFormat="1" ht="9.6" customHeight="1">
      <c r="B776" s="243">
        <v>35735</v>
      </c>
      <c r="C776" s="244">
        <v>31653</v>
      </c>
      <c r="D776" s="1142">
        <f t="shared" si="161"/>
        <v>-0.28645175834084763</v>
      </c>
      <c r="E776" s="252">
        <f>C776/20</f>
        <v>1582.65</v>
      </c>
      <c r="F776" s="233">
        <f>(E776-E775)/E775</f>
        <v>-0.21509693417493228</v>
      </c>
      <c r="G776" s="235">
        <f>SUM(C766:C776)</f>
        <v>451512</v>
      </c>
      <c r="H776" s="250">
        <f t="shared" si="165"/>
        <v>7.5389595078347735E-2</v>
      </c>
      <c r="I776" s="245">
        <f>G776/226</f>
        <v>1997.8407079646017</v>
      </c>
      <c r="J776" s="251">
        <f t="shared" si="166"/>
        <v>-1.9777625725045878E-2</v>
      </c>
      <c r="K776" s="272"/>
      <c r="L776" s="271"/>
      <c r="M776" s="273"/>
      <c r="N776" s="272"/>
      <c r="O776" s="273"/>
      <c r="P776" s="273"/>
      <c r="Q776" s="273"/>
    </row>
    <row r="777" spans="2:17" s="404" customFormat="1" ht="9.6" customHeight="1">
      <c r="B777" s="243">
        <v>35765</v>
      </c>
      <c r="C777" s="244">
        <v>32139</v>
      </c>
      <c r="D777" s="1142">
        <f t="shared" si="161"/>
        <v>1.5353994882001705E-2</v>
      </c>
      <c r="E777" s="252">
        <f>C777/22</f>
        <v>1460.8636363636363</v>
      </c>
      <c r="F777" s="233">
        <f>(E777-E776)/E776</f>
        <v>-7.6950913743634927E-2</v>
      </c>
      <c r="G777" s="235">
        <f>SUM(C766:C777)</f>
        <v>483651</v>
      </c>
      <c r="H777" s="250">
        <f t="shared" si="165"/>
        <v>7.1180832403125505E-2</v>
      </c>
      <c r="I777" s="245">
        <f>G777/248</f>
        <v>1950.2056451612902</v>
      </c>
      <c r="J777" s="251">
        <f t="shared" si="166"/>
        <v>-2.3843273697151782E-2</v>
      </c>
      <c r="K777" s="272"/>
      <c r="L777" s="271"/>
      <c r="M777" s="273"/>
      <c r="N777" s="272"/>
      <c r="O777" s="273"/>
      <c r="P777" s="273"/>
      <c r="Q777" s="273"/>
    </row>
    <row r="778" spans="2:17" s="404" customFormat="1" ht="9.6" customHeight="1">
      <c r="B778" s="243">
        <v>35796</v>
      </c>
      <c r="C778" s="244">
        <v>24892</v>
      </c>
      <c r="D778" s="1142">
        <f t="shared" si="161"/>
        <v>-0.22548928093593454</v>
      </c>
      <c r="E778" s="252">
        <f>C778/17</f>
        <v>1464.2352941176471</v>
      </c>
      <c r="F778" s="233">
        <v>0.19556397018428101</v>
      </c>
      <c r="G778" s="245">
        <f>C778</f>
        <v>24892</v>
      </c>
      <c r="H778" s="260" t="s">
        <v>31</v>
      </c>
      <c r="I778" s="245">
        <f>G778/17</f>
        <v>1464.2352941176471</v>
      </c>
      <c r="J778" s="261" t="s">
        <v>31</v>
      </c>
      <c r="K778" s="272"/>
      <c r="L778" s="271"/>
      <c r="M778" s="273"/>
      <c r="N778" s="272"/>
      <c r="O778" s="273"/>
      <c r="P778" s="273"/>
      <c r="Q778" s="273"/>
    </row>
    <row r="779" spans="2:17" s="404" customFormat="1" ht="9.6" customHeight="1">
      <c r="B779" s="243">
        <v>35827</v>
      </c>
      <c r="C779" s="244">
        <v>33620</v>
      </c>
      <c r="D779" s="1142">
        <f t="shared" si="161"/>
        <v>0.35063474208581069</v>
      </c>
      <c r="E779" s="252">
        <f>C779/19</f>
        <v>1769.4736842105262</v>
      </c>
      <c r="F779" s="233">
        <f t="shared" ref="F779:F789" si="167">(E779-E778)/E778</f>
        <v>0.20846266397151478</v>
      </c>
      <c r="G779" s="245">
        <f>SUM(C778:C779)</f>
        <v>58512</v>
      </c>
      <c r="H779" s="250">
        <f t="shared" ref="H779:H788" si="168">(G779-G778)/G778</f>
        <v>1.3506347420858107</v>
      </c>
      <c r="I779" s="245">
        <f>G779/36</f>
        <v>1625.3333333333333</v>
      </c>
      <c r="J779" s="251">
        <f t="shared" ref="J779:J789" si="169">(I779-I778)/I778</f>
        <v>0.11002196154052166</v>
      </c>
      <c r="K779" s="272"/>
      <c r="L779" s="271"/>
      <c r="M779" s="273"/>
      <c r="N779" s="272"/>
      <c r="O779" s="273"/>
      <c r="P779" s="273"/>
      <c r="Q779" s="273"/>
    </row>
    <row r="780" spans="2:17" s="404" customFormat="1" ht="9.6" customHeight="1">
      <c r="B780" s="243">
        <v>35855</v>
      </c>
      <c r="C780" s="244">
        <v>41883</v>
      </c>
      <c r="D780" s="1142">
        <f t="shared" si="161"/>
        <v>0.24577632361689469</v>
      </c>
      <c r="E780" s="252">
        <f>C780/22</f>
        <v>1903.7727272727273</v>
      </c>
      <c r="F780" s="233">
        <f t="shared" si="167"/>
        <v>7.5897734032772737E-2</v>
      </c>
      <c r="G780" s="245">
        <f>SUM(C778:C780)</f>
        <v>100395</v>
      </c>
      <c r="H780" s="250">
        <f t="shared" si="168"/>
        <v>0.71580188679245282</v>
      </c>
      <c r="I780" s="245">
        <f>G780/58</f>
        <v>1730.9482758620691</v>
      </c>
      <c r="J780" s="251">
        <f t="shared" si="169"/>
        <v>6.4980481457384623E-2</v>
      </c>
      <c r="K780" s="272"/>
      <c r="L780" s="271"/>
      <c r="M780" s="273"/>
      <c r="N780" s="272"/>
      <c r="O780" s="273"/>
      <c r="P780" s="273"/>
      <c r="Q780" s="273"/>
    </row>
    <row r="781" spans="2:17" s="404" customFormat="1" ht="9.6" customHeight="1">
      <c r="B781" s="243">
        <v>35886</v>
      </c>
      <c r="C781" s="244">
        <v>34789</v>
      </c>
      <c r="D781" s="1142">
        <f t="shared" si="161"/>
        <v>-0.16937659670988228</v>
      </c>
      <c r="E781" s="252">
        <f>C781/20</f>
        <v>1739.45</v>
      </c>
      <c r="F781" s="233">
        <f t="shared" si="167"/>
        <v>-8.631425638087048E-2</v>
      </c>
      <c r="G781" s="245">
        <f>SUM(C778:C781)</f>
        <v>135184</v>
      </c>
      <c r="H781" s="250">
        <f t="shared" si="168"/>
        <v>0.34652124109766425</v>
      </c>
      <c r="I781" s="245">
        <f>G781/78</f>
        <v>1733.1282051282051</v>
      </c>
      <c r="J781" s="251">
        <f t="shared" si="169"/>
        <v>1.2593844059553645E-3</v>
      </c>
      <c r="K781" s="272"/>
      <c r="L781" s="271"/>
      <c r="M781" s="273"/>
      <c r="N781" s="272"/>
      <c r="O781" s="273"/>
      <c r="P781" s="273"/>
      <c r="Q781" s="273"/>
    </row>
    <row r="782" spans="2:17" s="404" customFormat="1" ht="9.6" customHeight="1">
      <c r="B782" s="243">
        <v>35916</v>
      </c>
      <c r="C782" s="244">
        <v>42244</v>
      </c>
      <c r="D782" s="1142">
        <f t="shared" si="161"/>
        <v>0.21429187386817672</v>
      </c>
      <c r="E782" s="252">
        <f>C782/19</f>
        <v>2223.3684210526317</v>
      </c>
      <c r="F782" s="233">
        <f t="shared" si="167"/>
        <v>0.27820197249281764</v>
      </c>
      <c r="G782" s="245">
        <f>SUM(C778:C782)</f>
        <v>177428</v>
      </c>
      <c r="H782" s="250">
        <f t="shared" si="168"/>
        <v>0.31249260267487278</v>
      </c>
      <c r="I782" s="245">
        <f>G782/97</f>
        <v>1829.1546391752577</v>
      </c>
      <c r="J782" s="251">
        <f t="shared" si="169"/>
        <v>5.5406422769485313E-2</v>
      </c>
      <c r="K782" s="272"/>
      <c r="L782" s="271"/>
      <c r="M782" s="273"/>
      <c r="N782" s="272"/>
      <c r="O782" s="273"/>
      <c r="P782" s="273"/>
      <c r="Q782" s="273"/>
    </row>
    <row r="783" spans="2:17" s="404" customFormat="1" ht="9.6" customHeight="1">
      <c r="B783" s="243">
        <v>35947</v>
      </c>
      <c r="C783" s="244">
        <v>36034</v>
      </c>
      <c r="D783" s="1142">
        <f t="shared" si="161"/>
        <v>-0.14700312470409999</v>
      </c>
      <c r="E783" s="252">
        <f>C783/22</f>
        <v>1637.909090909091</v>
      </c>
      <c r="F783" s="233">
        <f t="shared" si="167"/>
        <v>-0.26332088042626817</v>
      </c>
      <c r="G783" s="245">
        <f>SUM(C778:C783)</f>
        <v>213462</v>
      </c>
      <c r="H783" s="250">
        <f t="shared" si="168"/>
        <v>0.20309083121040647</v>
      </c>
      <c r="I783" s="245">
        <f>G783/119</f>
        <v>1793.7983193277312</v>
      </c>
      <c r="J783" s="251">
        <f t="shared" si="169"/>
        <v>-1.9329322458744223E-2</v>
      </c>
      <c r="K783" s="272"/>
      <c r="L783" s="271"/>
      <c r="M783" s="273"/>
      <c r="N783" s="272"/>
      <c r="O783" s="273"/>
      <c r="P783" s="273"/>
      <c r="Q783" s="273"/>
    </row>
    <row r="784" spans="2:17" s="404" customFormat="1" ht="9.6" customHeight="1">
      <c r="B784" s="243">
        <v>35977</v>
      </c>
      <c r="C784" s="244">
        <v>30638</v>
      </c>
      <c r="D784" s="1142">
        <f t="shared" si="161"/>
        <v>-0.14974746073153133</v>
      </c>
      <c r="E784" s="252">
        <f>C784/22</f>
        <v>1392.6363636363637</v>
      </c>
      <c r="F784" s="233">
        <f t="shared" si="167"/>
        <v>-0.14974746073153131</v>
      </c>
      <c r="G784" s="245">
        <f>SUM(C778:C784)</f>
        <v>244100</v>
      </c>
      <c r="H784" s="250">
        <f t="shared" si="168"/>
        <v>0.14352905903626875</v>
      </c>
      <c r="I784" s="245">
        <f>G784/141</f>
        <v>1731.2056737588653</v>
      </c>
      <c r="J784" s="251">
        <f t="shared" si="169"/>
        <v>-3.4893914714071092E-2</v>
      </c>
      <c r="K784" s="272"/>
      <c r="L784" s="271"/>
      <c r="M784" s="273"/>
      <c r="N784" s="272"/>
      <c r="O784" s="273"/>
      <c r="P784" s="273"/>
      <c r="Q784" s="273"/>
    </row>
    <row r="785" spans="2:17" s="404" customFormat="1" ht="9.6" customHeight="1">
      <c r="B785" s="243">
        <v>36008</v>
      </c>
      <c r="C785" s="244">
        <v>24234</v>
      </c>
      <c r="D785" s="1142">
        <f t="shared" si="161"/>
        <v>-0.20902147659768913</v>
      </c>
      <c r="E785" s="252">
        <f>C785/20</f>
        <v>1211.7</v>
      </c>
      <c r="F785" s="233">
        <f t="shared" si="167"/>
        <v>-0.1299236242574581</v>
      </c>
      <c r="G785" s="245">
        <f>SUM(C778:C785)</f>
        <v>268334</v>
      </c>
      <c r="H785" s="250">
        <f t="shared" si="168"/>
        <v>9.9278984022941413E-2</v>
      </c>
      <c r="I785" s="245">
        <f>G785/161</f>
        <v>1666.670807453416</v>
      </c>
      <c r="J785" s="251">
        <f t="shared" si="169"/>
        <v>-3.7277411507858828E-2</v>
      </c>
      <c r="K785" s="272"/>
      <c r="L785" s="271"/>
      <c r="M785" s="273"/>
      <c r="N785" s="272"/>
      <c r="O785" s="273"/>
      <c r="P785" s="273"/>
      <c r="Q785" s="273"/>
    </row>
    <row r="786" spans="2:17" s="404" customFormat="1" ht="9.6" customHeight="1">
      <c r="B786" s="243">
        <v>36039</v>
      </c>
      <c r="C786" s="244">
        <v>26757</v>
      </c>
      <c r="D786" s="1142">
        <f>(C786-C785)/C785</f>
        <v>0.10410992820004952</v>
      </c>
      <c r="E786" s="252">
        <f>C786/21</f>
        <v>1274.1428571428571</v>
      </c>
      <c r="F786" s="233">
        <f t="shared" si="167"/>
        <v>5.1533264952428048E-2</v>
      </c>
      <c r="G786" s="245">
        <f>SUM(C778:C786)</f>
        <v>295091</v>
      </c>
      <c r="H786" s="250">
        <f t="shared" si="168"/>
        <v>9.9715280210483953E-2</v>
      </c>
      <c r="I786" s="245">
        <f>G786/182</f>
        <v>1621.3791208791208</v>
      </c>
      <c r="J786" s="251">
        <f t="shared" si="169"/>
        <v>-2.7174944429187251E-2</v>
      </c>
      <c r="K786" s="272"/>
      <c r="L786" s="271"/>
      <c r="M786" s="273"/>
      <c r="N786" s="272"/>
      <c r="O786" s="273"/>
      <c r="P786" s="273"/>
      <c r="Q786" s="273"/>
    </row>
    <row r="787" spans="2:17" s="404" customFormat="1" ht="9.6" customHeight="1">
      <c r="B787" s="257">
        <v>36069</v>
      </c>
      <c r="C787" s="258">
        <v>27353</v>
      </c>
      <c r="D787" s="1142">
        <f>(C787-C786)/C786</f>
        <v>2.227454497888403E-2</v>
      </c>
      <c r="E787" s="252">
        <f>C787/21</f>
        <v>1302.5238095238096</v>
      </c>
      <c r="F787" s="233">
        <f t="shared" si="167"/>
        <v>2.2274544978884141E-2</v>
      </c>
      <c r="G787" s="245">
        <f>SUM(C778:C787)</f>
        <v>322444</v>
      </c>
      <c r="H787" s="250">
        <f t="shared" si="168"/>
        <v>9.2693440328576612E-2</v>
      </c>
      <c r="I787" s="245">
        <f>G787/203</f>
        <v>1588.3940886699506</v>
      </c>
      <c r="J787" s="251">
        <f t="shared" si="169"/>
        <v>-2.0343812119207206E-2</v>
      </c>
      <c r="K787" s="272"/>
      <c r="L787" s="271"/>
      <c r="M787" s="273"/>
      <c r="N787" s="272"/>
      <c r="O787" s="273"/>
      <c r="P787" s="273"/>
      <c r="Q787" s="273"/>
    </row>
    <row r="788" spans="2:17" s="404" customFormat="1" ht="9.6" customHeight="1">
      <c r="B788" s="257">
        <v>36100</v>
      </c>
      <c r="C788" s="258">
        <v>15615</v>
      </c>
      <c r="D788" s="1142">
        <f>(C788-C787)/C787</f>
        <v>-0.42913025993492487</v>
      </c>
      <c r="E788" s="252">
        <f>C788/21</f>
        <v>743.57142857142856</v>
      </c>
      <c r="F788" s="233">
        <f t="shared" si="167"/>
        <v>-0.42913025993492493</v>
      </c>
      <c r="G788" s="245">
        <f>SUM(C778:C788)</f>
        <v>338059</v>
      </c>
      <c r="H788" s="250">
        <f t="shared" si="168"/>
        <v>4.8427013682996116E-2</v>
      </c>
      <c r="I788" s="245">
        <f>G788/224</f>
        <v>1509.1919642857142</v>
      </c>
      <c r="J788" s="251">
        <f t="shared" si="169"/>
        <v>-4.9863018849784745E-2</v>
      </c>
      <c r="K788" s="272"/>
      <c r="L788" s="271"/>
      <c r="M788" s="273"/>
      <c r="N788" s="272"/>
      <c r="O788" s="273"/>
      <c r="P788" s="273"/>
      <c r="Q788" s="273"/>
    </row>
    <row r="789" spans="2:17" s="404" customFormat="1" ht="9.6" customHeight="1">
      <c r="B789" s="257">
        <v>36130</v>
      </c>
      <c r="C789" s="258">
        <v>15480</v>
      </c>
      <c r="D789" s="1144">
        <f>(C789-C788)/C788</f>
        <v>-8.6455331412103754E-3</v>
      </c>
      <c r="E789" s="519">
        <f>C789/22</f>
        <v>703.63636363636363</v>
      </c>
      <c r="F789" s="259">
        <f t="shared" si="167"/>
        <v>-5.3707099816609899E-2</v>
      </c>
      <c r="G789" s="520">
        <f>SUM(C778:C789)</f>
        <v>353539</v>
      </c>
      <c r="H789" s="406">
        <f>(G789-G788)/G788</f>
        <v>4.5790823495307033E-2</v>
      </c>
      <c r="I789" s="520">
        <f>G789/246</f>
        <v>1437.1504065040651</v>
      </c>
      <c r="J789" s="521">
        <f t="shared" si="169"/>
        <v>-4.7735185109964225E-2</v>
      </c>
      <c r="K789" s="272"/>
      <c r="L789" s="271"/>
      <c r="M789" s="273"/>
      <c r="N789" s="272"/>
      <c r="O789" s="273"/>
      <c r="P789" s="273"/>
      <c r="Q789" s="273"/>
    </row>
    <row r="790" spans="2:17" s="404" customFormat="1" ht="9.6" customHeight="1">
      <c r="B790" s="243">
        <v>36161</v>
      </c>
      <c r="C790" s="244">
        <v>20742</v>
      </c>
      <c r="D790" s="1142">
        <v>-0.13931159420289854</v>
      </c>
      <c r="E790" s="252">
        <f>C790/17</f>
        <v>1220.1176470588234</v>
      </c>
      <c r="F790" s="233">
        <v>0.11383205456095478</v>
      </c>
      <c r="G790" s="245">
        <f>SUM(C790)</f>
        <v>20742</v>
      </c>
      <c r="H790" s="260" t="s">
        <v>31</v>
      </c>
      <c r="I790" s="245">
        <f>G790/17</f>
        <v>1220.1176470588234</v>
      </c>
      <c r="J790" s="261" t="s">
        <v>31</v>
      </c>
      <c r="K790" s="272"/>
      <c r="L790" s="271"/>
      <c r="M790" s="273"/>
      <c r="N790" s="272"/>
      <c r="O790" s="273"/>
      <c r="P790" s="273"/>
      <c r="Q790" s="273"/>
    </row>
    <row r="791" spans="2:17" s="404" customFormat="1" ht="9.6" customHeight="1">
      <c r="B791" s="243">
        <v>36192</v>
      </c>
      <c r="C791" s="244">
        <v>23657</v>
      </c>
      <c r="D791" s="1142">
        <f>(C791-C790)/C790</f>
        <v>0.14053611030758847</v>
      </c>
      <c r="E791" s="252">
        <f>C791/16</f>
        <v>1478.5625</v>
      </c>
      <c r="F791" s="233">
        <f>(E791-E790)/E790</f>
        <v>0.21181961720181286</v>
      </c>
      <c r="G791" s="245">
        <f>SUM(C790:C791)</f>
        <v>44399</v>
      </c>
      <c r="H791" s="250">
        <f>(G791-G790)/G790</f>
        <v>1.1405361103075884</v>
      </c>
      <c r="I791" s="245">
        <f>G791/33</f>
        <v>1345.4242424242425</v>
      </c>
      <c r="J791" s="251">
        <f t="shared" ref="J791:J815" si="170">(I791-I790)/I790</f>
        <v>0.10270042046148511</v>
      </c>
      <c r="K791" s="272"/>
      <c r="L791" s="271"/>
      <c r="M791" s="273"/>
      <c r="N791" s="272"/>
      <c r="O791" s="273"/>
      <c r="P791" s="273"/>
      <c r="Q791" s="273"/>
    </row>
    <row r="792" spans="2:17" s="404" customFormat="1" ht="9.6" customHeight="1">
      <c r="B792" s="243">
        <v>36220</v>
      </c>
      <c r="C792" s="244">
        <v>38824</v>
      </c>
      <c r="D792" s="1142">
        <f>(C792-C791)/C791</f>
        <v>0.64112102126220571</v>
      </c>
      <c r="E792" s="252">
        <f>C792/22</f>
        <v>1764.7272727272727</v>
      </c>
      <c r="F792" s="233">
        <f>(E792-E791)/E791</f>
        <v>0.19354256091796779</v>
      </c>
      <c r="G792" s="245">
        <f>SUM(C790:C792)</f>
        <v>83223</v>
      </c>
      <c r="H792" s="250">
        <f>(G792-G791)/G791</f>
        <v>0.874434108876326</v>
      </c>
      <c r="I792" s="245">
        <f>G792/55</f>
        <v>1513.1454545454546</v>
      </c>
      <c r="J792" s="251">
        <f t="shared" si="170"/>
        <v>0.12466046532579564</v>
      </c>
      <c r="K792" s="272"/>
      <c r="L792" s="271"/>
      <c r="M792" s="273"/>
      <c r="N792" s="272"/>
      <c r="O792" s="273"/>
      <c r="P792" s="273"/>
      <c r="Q792" s="273"/>
    </row>
    <row r="793" spans="2:17" s="404" customFormat="1" ht="9.6" customHeight="1">
      <c r="B793" s="243">
        <v>36251</v>
      </c>
      <c r="C793" s="244">
        <v>30289</v>
      </c>
      <c r="D793" s="1142">
        <f>(C793-C792)/C792</f>
        <v>-0.21983824438491656</v>
      </c>
      <c r="E793" s="252">
        <f>C793/22</f>
        <v>1376.7727272727273</v>
      </c>
      <c r="F793" s="233">
        <f>(E793-E792)/E792</f>
        <v>-0.21983824438491656</v>
      </c>
      <c r="G793" s="245">
        <f>SUM(C790:C793)</f>
        <v>113512</v>
      </c>
      <c r="H793" s="250">
        <f>(G793-G792)/G792</f>
        <v>0.36394986962738668</v>
      </c>
      <c r="I793" s="245">
        <f>G793/77</f>
        <v>1474.1818181818182</v>
      </c>
      <c r="J793" s="251">
        <f t="shared" si="170"/>
        <v>-2.5750093123295265E-2</v>
      </c>
      <c r="K793" s="272"/>
      <c r="L793" s="271"/>
      <c r="M793" s="273"/>
      <c r="N793" s="272"/>
      <c r="O793" s="273"/>
      <c r="P793" s="273"/>
      <c r="Q793" s="273"/>
    </row>
    <row r="794" spans="2:17" s="404" customFormat="1" ht="9.6" customHeight="1">
      <c r="B794" s="243">
        <v>36281</v>
      </c>
      <c r="C794" s="244">
        <v>40521</v>
      </c>
      <c r="D794" s="1142">
        <f>(C794-C793)/C793</f>
        <v>0.33781240714450789</v>
      </c>
      <c r="E794" s="252">
        <f>C794/21</f>
        <v>1929.5714285714287</v>
      </c>
      <c r="F794" s="233">
        <f>(E794-E793)/E793</f>
        <v>0.40151775986567506</v>
      </c>
      <c r="G794" s="245">
        <f>SUM(C790:C794)</f>
        <v>154033</v>
      </c>
      <c r="H794" s="250">
        <f>(G794-G793)/G793</f>
        <v>0.35697547395870038</v>
      </c>
      <c r="I794" s="245">
        <f>G794/98</f>
        <v>1571.7653061224489</v>
      </c>
      <c r="J794" s="251">
        <f t="shared" si="170"/>
        <v>6.6195015253264516E-2</v>
      </c>
      <c r="K794" s="272"/>
      <c r="L794" s="271"/>
      <c r="M794" s="273"/>
      <c r="N794" s="272"/>
      <c r="O794" s="273"/>
      <c r="P794" s="273"/>
      <c r="Q794" s="273"/>
    </row>
    <row r="795" spans="2:17" s="404" customFormat="1" ht="9.6" customHeight="1">
      <c r="B795" s="257">
        <v>36312</v>
      </c>
      <c r="C795" s="258">
        <v>38854</v>
      </c>
      <c r="D795" s="1144">
        <v>-0.19536469217856042</v>
      </c>
      <c r="E795" s="252">
        <f>C795/22</f>
        <v>1766.090909090909</v>
      </c>
      <c r="F795" s="259">
        <v>-0.23193902435226227</v>
      </c>
      <c r="G795" s="245">
        <f>SUM(C790:C795)</f>
        <v>192887</v>
      </c>
      <c r="H795" s="406">
        <v>0.2244698034043448</v>
      </c>
      <c r="I795" s="245">
        <f>G795/120</f>
        <v>1607.3916666666667</v>
      </c>
      <c r="J795" s="251">
        <f t="shared" si="170"/>
        <v>2.266646324705315E-2</v>
      </c>
      <c r="K795" s="272"/>
      <c r="L795" s="271"/>
      <c r="M795" s="273"/>
      <c r="N795" s="272"/>
      <c r="O795" s="273"/>
      <c r="P795" s="273"/>
      <c r="Q795" s="273"/>
    </row>
    <row r="796" spans="2:17" s="404" customFormat="1" ht="9.6" customHeight="1">
      <c r="B796" s="243">
        <v>36342</v>
      </c>
      <c r="C796" s="244">
        <v>38175</v>
      </c>
      <c r="D796" s="1142">
        <f t="shared" ref="D796:D817" si="171">(C796-C795)/C795</f>
        <v>-1.7475678179852783E-2</v>
      </c>
      <c r="E796" s="252">
        <f>C796/22</f>
        <v>1735.2272727272727</v>
      </c>
      <c r="F796" s="233">
        <f t="shared" ref="F796:F817" si="172">(E796-E795)/E795</f>
        <v>-1.7475678179852724E-2</v>
      </c>
      <c r="G796" s="245">
        <f>SUM(C790:C796)</f>
        <v>231062</v>
      </c>
      <c r="H796" s="250">
        <f t="shared" ref="H796:H801" si="173">(G796-G795)/G795</f>
        <v>0.19791380445545836</v>
      </c>
      <c r="I796" s="245">
        <f>G796/142</f>
        <v>1627.1971830985915</v>
      </c>
      <c r="J796" s="251">
        <f t="shared" si="170"/>
        <v>1.2321524891936633E-2</v>
      </c>
      <c r="K796" s="272"/>
      <c r="L796" s="271"/>
      <c r="M796" s="273"/>
      <c r="N796" s="272"/>
      <c r="O796" s="273"/>
      <c r="P796" s="273"/>
      <c r="Q796" s="273"/>
    </row>
    <row r="797" spans="2:17" s="404" customFormat="1" ht="9.6" customHeight="1">
      <c r="B797" s="243">
        <v>36373</v>
      </c>
      <c r="C797" s="244">
        <v>40738</v>
      </c>
      <c r="D797" s="1142">
        <f t="shared" si="171"/>
        <v>6.7138179436804196E-2</v>
      </c>
      <c r="E797" s="252">
        <f>C797/21</f>
        <v>1939.9047619047619</v>
      </c>
      <c r="F797" s="233">
        <f t="shared" si="172"/>
        <v>0.11795428321950915</v>
      </c>
      <c r="G797" s="245">
        <f>SUM(C791:C797)</f>
        <v>251058</v>
      </c>
      <c r="H797" s="250">
        <f t="shared" si="173"/>
        <v>8.6539543499147414E-2</v>
      </c>
      <c r="I797" s="245">
        <f>G797/163</f>
        <v>1540.2331288343557</v>
      </c>
      <c r="J797" s="251">
        <f t="shared" si="170"/>
        <v>-5.3444078669454421E-2</v>
      </c>
      <c r="K797" s="272"/>
      <c r="L797" s="271"/>
      <c r="M797" s="273"/>
      <c r="N797" s="272"/>
      <c r="O797" s="273"/>
      <c r="P797" s="273"/>
      <c r="Q797" s="273"/>
    </row>
    <row r="798" spans="2:17" s="404" customFormat="1" ht="9.6" customHeight="1">
      <c r="B798" s="243">
        <v>36404</v>
      </c>
      <c r="C798" s="244">
        <v>34321</v>
      </c>
      <c r="D798" s="1142">
        <f t="shared" si="171"/>
        <v>-0.1575187785360106</v>
      </c>
      <c r="E798" s="252">
        <f>C798/22</f>
        <v>1560.0454545454545</v>
      </c>
      <c r="F798" s="233">
        <f t="shared" si="172"/>
        <v>-0.19581337951164651</v>
      </c>
      <c r="G798" s="245">
        <f>SUM(C790:C798)</f>
        <v>306121</v>
      </c>
      <c r="H798" s="250">
        <f t="shared" si="173"/>
        <v>0.21932382158704364</v>
      </c>
      <c r="I798" s="245">
        <f>G798/185</f>
        <v>1654.708108108108</v>
      </c>
      <c r="J798" s="251">
        <f t="shared" si="170"/>
        <v>7.4323150911827646E-2</v>
      </c>
      <c r="K798" s="272"/>
      <c r="L798" s="271"/>
      <c r="M798" s="273"/>
      <c r="N798" s="272"/>
      <c r="O798" s="273"/>
      <c r="P798" s="273"/>
      <c r="Q798" s="273"/>
    </row>
    <row r="799" spans="2:17" s="404" customFormat="1" ht="9.6" customHeight="1">
      <c r="B799" s="243">
        <v>36434</v>
      </c>
      <c r="C799" s="244">
        <v>33952</v>
      </c>
      <c r="D799" s="1142">
        <f t="shared" si="171"/>
        <v>-1.0751434981498208E-2</v>
      </c>
      <c r="E799" s="252">
        <f>C799/21</f>
        <v>1616.7619047619048</v>
      </c>
      <c r="F799" s="233">
        <f t="shared" si="172"/>
        <v>3.6355639543192417E-2</v>
      </c>
      <c r="G799" s="245">
        <f>SUM(C790:C799)</f>
        <v>340073</v>
      </c>
      <c r="H799" s="250">
        <f t="shared" si="173"/>
        <v>0.11091039164252044</v>
      </c>
      <c r="I799" s="245">
        <f>G799/206</f>
        <v>1650.8398058252428</v>
      </c>
      <c r="J799" s="251">
        <f t="shared" si="170"/>
        <v>-2.337755078318916E-3</v>
      </c>
      <c r="K799" s="272"/>
      <c r="L799" s="271"/>
      <c r="M799" s="273"/>
      <c r="N799" s="272"/>
      <c r="O799" s="273"/>
      <c r="P799" s="273"/>
      <c r="Q799" s="273"/>
    </row>
    <row r="800" spans="2:17" s="404" customFormat="1" ht="9.6" customHeight="1">
      <c r="B800" s="243">
        <v>36465</v>
      </c>
      <c r="C800" s="244">
        <v>28949</v>
      </c>
      <c r="D800" s="1142">
        <f t="shared" si="171"/>
        <v>-0.14735508953817153</v>
      </c>
      <c r="E800" s="252">
        <f>C800/20</f>
        <v>1447.45</v>
      </c>
      <c r="F800" s="233">
        <f t="shared" si="172"/>
        <v>-0.10472284401508011</v>
      </c>
      <c r="G800" s="245">
        <f>SUM(C790:C800)</f>
        <v>369022</v>
      </c>
      <c r="H800" s="250">
        <f t="shared" si="173"/>
        <v>8.5125840628335683E-2</v>
      </c>
      <c r="I800" s="245">
        <f>G800/226</f>
        <v>1632.8407079646017</v>
      </c>
      <c r="J800" s="251">
        <f t="shared" si="170"/>
        <v>-1.0902994825499418E-2</v>
      </c>
      <c r="K800" s="272"/>
      <c r="L800" s="271"/>
      <c r="M800" s="273"/>
      <c r="N800" s="272"/>
      <c r="O800" s="273"/>
      <c r="P800" s="273"/>
      <c r="Q800" s="273"/>
    </row>
    <row r="801" spans="2:17" s="404" customFormat="1" ht="9.6" customHeight="1">
      <c r="B801" s="243">
        <v>36495</v>
      </c>
      <c r="C801" s="244">
        <v>19911</v>
      </c>
      <c r="D801" s="1142">
        <f t="shared" si="171"/>
        <v>-0.31220422121662234</v>
      </c>
      <c r="E801" s="252">
        <f>C801/22</f>
        <v>905.0454545454545</v>
      </c>
      <c r="F801" s="233">
        <f t="shared" si="172"/>
        <v>-0.37473111019692945</v>
      </c>
      <c r="G801" s="245">
        <f>SUM(C790:C801)</f>
        <v>388933</v>
      </c>
      <c r="H801" s="250">
        <f t="shared" si="173"/>
        <v>5.3956132696695587E-2</v>
      </c>
      <c r="I801" s="245">
        <f>G801/248</f>
        <v>1568.2782258064517</v>
      </c>
      <c r="J801" s="251">
        <f t="shared" si="170"/>
        <v>-3.9539975848978941E-2</v>
      </c>
      <c r="K801" s="272"/>
      <c r="L801" s="271"/>
      <c r="M801" s="273"/>
      <c r="N801" s="272"/>
      <c r="O801" s="273"/>
      <c r="P801" s="273"/>
      <c r="Q801" s="273"/>
    </row>
    <row r="802" spans="2:17" s="404" customFormat="1" ht="9.6" customHeight="1">
      <c r="B802" s="243">
        <v>36526</v>
      </c>
      <c r="C802" s="244">
        <v>22911</v>
      </c>
      <c r="D802" s="1142">
        <f t="shared" si="171"/>
        <v>0.15067048365225252</v>
      </c>
      <c r="E802" s="252">
        <f>C802/19</f>
        <v>1205.8421052631579</v>
      </c>
      <c r="F802" s="233">
        <f t="shared" si="172"/>
        <v>0.33235529686050302</v>
      </c>
      <c r="G802" s="245">
        <f>SUM(C802)</f>
        <v>22911</v>
      </c>
      <c r="H802" s="260" t="s">
        <v>31</v>
      </c>
      <c r="I802" s="245">
        <f>G802/19</f>
        <v>1205.8421052631579</v>
      </c>
      <c r="J802" s="261" t="s">
        <v>31</v>
      </c>
      <c r="K802" s="272"/>
      <c r="L802" s="271"/>
      <c r="M802" s="273"/>
      <c r="N802" s="272"/>
      <c r="O802" s="273"/>
      <c r="P802" s="273"/>
      <c r="Q802" s="273"/>
    </row>
    <row r="803" spans="2:17" s="404" customFormat="1" ht="9.6" customHeight="1" ph="1">
      <c r="B803" s="243">
        <v>36557</v>
      </c>
      <c r="C803" s="244">
        <v>28742</v>
      </c>
      <c r="D803" s="1142">
        <f t="shared" si="171"/>
        <v>0.25450656889703638</v>
      </c>
      <c r="E803" s="252">
        <f>C803/18</f>
        <v>1596.7777777777778</v>
      </c>
      <c r="F803" s="233">
        <f t="shared" si="172"/>
        <v>0.32420137828020507</v>
      </c>
      <c r="G803" s="245">
        <f>SUM(C802:C803)</f>
        <v>51653</v>
      </c>
      <c r="H803" s="233">
        <f t="shared" ref="H803:H811" si="174">(G803-G802)/G802</f>
        <v>1.2545065688970363</v>
      </c>
      <c r="I803" s="245">
        <f>G803/37</f>
        <v>1396.0270270270271</v>
      </c>
      <c r="J803" s="251">
        <f t="shared" si="170"/>
        <v>0.15771958943361331</v>
      </c>
      <c r="K803" s="272"/>
      <c r="L803" s="271"/>
      <c r="M803" s="273"/>
      <c r="N803" s="272"/>
      <c r="O803" s="273"/>
      <c r="P803" s="273"/>
      <c r="Q803" s="273"/>
    </row>
    <row r="804" spans="2:17" s="404" customFormat="1" ht="9.6" customHeight="1">
      <c r="B804" s="243">
        <v>36586</v>
      </c>
      <c r="C804" s="244">
        <v>28146</v>
      </c>
      <c r="D804" s="1142">
        <f t="shared" si="171"/>
        <v>-2.0736204857003688E-2</v>
      </c>
      <c r="E804" s="252">
        <f>C804/22</f>
        <v>1279.3636363636363</v>
      </c>
      <c r="F804" s="233">
        <f t="shared" si="172"/>
        <v>-0.19878416761027584</v>
      </c>
      <c r="G804" s="245">
        <f>SUM(C802:C804)</f>
        <v>79799</v>
      </c>
      <c r="H804" s="233">
        <f t="shared" si="174"/>
        <v>0.54490542659671271</v>
      </c>
      <c r="I804" s="245">
        <f>G804/59</f>
        <v>1352.5254237288136</v>
      </c>
      <c r="J804" s="251">
        <f t="shared" si="170"/>
        <v>-3.1161003659688657E-2</v>
      </c>
      <c r="K804" s="272"/>
      <c r="L804" s="271"/>
      <c r="M804" s="273"/>
      <c r="N804" s="272"/>
      <c r="O804" s="273"/>
      <c r="P804" s="273"/>
      <c r="Q804" s="273"/>
    </row>
    <row r="805" spans="2:17" s="404" customFormat="1" ht="9.6" customHeight="1">
      <c r="B805" s="522">
        <v>36617</v>
      </c>
      <c r="C805" s="407">
        <v>26281</v>
      </c>
      <c r="D805" s="1145">
        <f t="shared" si="171"/>
        <v>-6.6261635756412987E-2</v>
      </c>
      <c r="E805" s="409">
        <f>C805/19</f>
        <v>1383.2105263157894</v>
      </c>
      <c r="F805" s="408">
        <f t="shared" si="172"/>
        <v>8.1170737545206012E-2</v>
      </c>
      <c r="G805" s="245">
        <f>SUM(C802:C805)</f>
        <v>106080</v>
      </c>
      <c r="H805" s="408">
        <f t="shared" si="174"/>
        <v>0.32933996666624893</v>
      </c>
      <c r="I805" s="410">
        <f>G805/78</f>
        <v>1360</v>
      </c>
      <c r="J805" s="249">
        <f t="shared" si="170"/>
        <v>5.5263850424190318E-3</v>
      </c>
      <c r="K805" s="272"/>
      <c r="L805" s="271"/>
      <c r="M805" s="273"/>
      <c r="N805" s="272"/>
      <c r="O805" s="273"/>
      <c r="P805" s="273"/>
      <c r="Q805" s="273"/>
    </row>
    <row r="806" spans="2:17" s="404" customFormat="1" ht="9.6" customHeight="1">
      <c r="B806" s="243">
        <v>36647</v>
      </c>
      <c r="C806" s="244">
        <v>28984</v>
      </c>
      <c r="D806" s="1142">
        <f t="shared" si="171"/>
        <v>0.10284996765724287</v>
      </c>
      <c r="E806" s="252">
        <f>C806/21</f>
        <v>1380.1904761904761</v>
      </c>
      <c r="F806" s="233">
        <f t="shared" si="172"/>
        <v>-2.1833625958278284E-3</v>
      </c>
      <c r="G806" s="245">
        <f>SUM(C802:C806)</f>
        <v>135064</v>
      </c>
      <c r="H806" s="233">
        <f t="shared" si="174"/>
        <v>0.27322775263951732</v>
      </c>
      <c r="I806" s="245">
        <f>G806/99</f>
        <v>1364.2828282828282</v>
      </c>
      <c r="J806" s="251">
        <f t="shared" si="170"/>
        <v>3.1491384432560127E-3</v>
      </c>
      <c r="K806" s="272"/>
      <c r="L806" s="271"/>
      <c r="M806" s="273"/>
      <c r="N806" s="272"/>
      <c r="O806" s="273"/>
      <c r="P806" s="273"/>
      <c r="Q806" s="273"/>
    </row>
    <row r="807" spans="2:17" s="404" customFormat="1" ht="9.6" customHeight="1">
      <c r="B807" s="243">
        <v>36678</v>
      </c>
      <c r="C807" s="244">
        <v>22215</v>
      </c>
      <c r="D807" s="1142">
        <f t="shared" si="171"/>
        <v>-0.23354264421749932</v>
      </c>
      <c r="E807" s="252">
        <f>C807/21</f>
        <v>1057.8571428571429</v>
      </c>
      <c r="F807" s="233">
        <f t="shared" si="172"/>
        <v>-0.23354264421749926</v>
      </c>
      <c r="G807" s="245">
        <f>SUM(C802:C807)</f>
        <v>157279</v>
      </c>
      <c r="H807" s="233">
        <f t="shared" si="174"/>
        <v>0.16447758099863768</v>
      </c>
      <c r="I807" s="245">
        <f>G807/120</f>
        <v>1310.6583333333333</v>
      </c>
      <c r="J807" s="251">
        <f t="shared" si="170"/>
        <v>-3.9305995676123862E-2</v>
      </c>
      <c r="K807" s="272"/>
      <c r="L807" s="271"/>
      <c r="M807" s="273"/>
      <c r="N807" s="272"/>
      <c r="O807" s="273"/>
      <c r="P807" s="273"/>
      <c r="Q807" s="273"/>
    </row>
    <row r="808" spans="2:17" s="404" customFormat="1" ht="9.6" customHeight="1">
      <c r="B808" s="243">
        <v>36708</v>
      </c>
      <c r="C808" s="244">
        <v>22065</v>
      </c>
      <c r="D808" s="1142">
        <f t="shared" si="171"/>
        <v>-6.75219446320054E-3</v>
      </c>
      <c r="E808" s="252">
        <f>C808/21</f>
        <v>1050.7142857142858</v>
      </c>
      <c r="F808" s="233">
        <f t="shared" si="172"/>
        <v>-6.7521944632005096E-3</v>
      </c>
      <c r="G808" s="245">
        <f>SUM(C802:C808)</f>
        <v>179344</v>
      </c>
      <c r="H808" s="233">
        <f t="shared" si="174"/>
        <v>0.14029209239631482</v>
      </c>
      <c r="I808" s="245">
        <f>G808/141</f>
        <v>1271.9432624113474</v>
      </c>
      <c r="J808" s="251">
        <f t="shared" si="170"/>
        <v>-2.9538644769093826E-2</v>
      </c>
      <c r="K808" s="272"/>
      <c r="L808" s="271"/>
      <c r="M808" s="273"/>
      <c r="N808" s="272"/>
      <c r="O808" s="273"/>
      <c r="P808" s="273"/>
      <c r="Q808" s="273"/>
    </row>
    <row r="809" spans="2:17" s="404" customFormat="1" ht="9.6" customHeight="1">
      <c r="B809" s="243">
        <v>36739</v>
      </c>
      <c r="C809" s="244">
        <v>23934</v>
      </c>
      <c r="D809" s="1142">
        <f t="shared" si="171"/>
        <v>8.4704282800815767E-2</v>
      </c>
      <c r="E809" s="252">
        <f>C809/22</f>
        <v>1087.909090909091</v>
      </c>
      <c r="F809" s="233">
        <f t="shared" si="172"/>
        <v>3.5399542673505979E-2</v>
      </c>
      <c r="G809" s="245">
        <f>SUM(C802:C809)</f>
        <v>203278</v>
      </c>
      <c r="H809" s="233">
        <f t="shared" si="174"/>
        <v>0.13345302881612989</v>
      </c>
      <c r="I809" s="245">
        <f>G809/163</f>
        <v>1247.1042944785277</v>
      </c>
      <c r="J809" s="251">
        <f t="shared" si="170"/>
        <v>-1.9528361576231064E-2</v>
      </c>
      <c r="K809" s="272"/>
      <c r="L809" s="271"/>
      <c r="M809" s="273"/>
      <c r="N809" s="272"/>
      <c r="O809" s="273"/>
      <c r="P809" s="273"/>
      <c r="Q809" s="273"/>
    </row>
    <row r="810" spans="2:17" s="404" customFormat="1" ht="9.6" customHeight="1">
      <c r="B810" s="243">
        <v>36770</v>
      </c>
      <c r="C810" s="244">
        <v>23632</v>
      </c>
      <c r="D810" s="1142">
        <f t="shared" si="171"/>
        <v>-1.2618032923873987E-2</v>
      </c>
      <c r="E810" s="252">
        <f>C810/21</f>
        <v>1125.3333333333333</v>
      </c>
      <c r="F810" s="233">
        <f t="shared" si="172"/>
        <v>3.440015598451282E-2</v>
      </c>
      <c r="G810" s="245">
        <f>SUM(C802:C810)</f>
        <v>226910</v>
      </c>
      <c r="H810" s="233">
        <f t="shared" si="174"/>
        <v>0.11625458731392477</v>
      </c>
      <c r="I810" s="245">
        <f>G810/184</f>
        <v>1233.2065217391305</v>
      </c>
      <c r="J810" s="251">
        <f t="shared" si="170"/>
        <v>-1.1144034064294898E-2</v>
      </c>
      <c r="K810" s="272"/>
      <c r="L810" s="271"/>
      <c r="M810" s="273"/>
      <c r="N810" s="272"/>
      <c r="O810" s="273"/>
      <c r="P810" s="273"/>
      <c r="Q810" s="273"/>
    </row>
    <row r="811" spans="2:17" s="404" customFormat="1" ht="9.6" customHeight="1">
      <c r="B811" s="243">
        <v>36800</v>
      </c>
      <c r="C811" s="244">
        <v>31833</v>
      </c>
      <c r="D811" s="1142">
        <f t="shared" si="171"/>
        <v>0.34702945159106297</v>
      </c>
      <c r="E811" s="252">
        <f>C811/21</f>
        <v>1515.8571428571429</v>
      </c>
      <c r="F811" s="233">
        <f t="shared" si="172"/>
        <v>0.34702945159106308</v>
      </c>
      <c r="G811" s="245">
        <f>SUM(C802:C811)</f>
        <v>258743</v>
      </c>
      <c r="H811" s="233">
        <f t="shared" si="174"/>
        <v>0.14028910140584372</v>
      </c>
      <c r="I811" s="245">
        <f>G811/205</f>
        <v>1262.1609756097562</v>
      </c>
      <c r="J811" s="251">
        <f t="shared" si="170"/>
        <v>2.3478998335001215E-2</v>
      </c>
      <c r="K811" s="272"/>
      <c r="L811" s="271"/>
      <c r="M811" s="273"/>
      <c r="N811" s="272"/>
      <c r="O811" s="273"/>
      <c r="P811" s="273"/>
      <c r="Q811" s="273"/>
    </row>
    <row r="812" spans="2:17" s="404" customFormat="1" ht="9.6" customHeight="1">
      <c r="B812" s="243">
        <v>36831</v>
      </c>
      <c r="C812" s="244">
        <v>26937</v>
      </c>
      <c r="D812" s="1142">
        <f t="shared" si="171"/>
        <v>-0.1538026576194515</v>
      </c>
      <c r="E812" s="252">
        <f>C812/22</f>
        <v>1224.409090909091</v>
      </c>
      <c r="F812" s="233">
        <f t="shared" si="172"/>
        <v>-0.19226617318220368</v>
      </c>
      <c r="G812" s="245">
        <f>SUM(C802:C812)</f>
        <v>285680</v>
      </c>
      <c r="H812" s="233">
        <f>(G812-G811)/G811</f>
        <v>0.10410716425178652</v>
      </c>
      <c r="I812" s="245">
        <f>G812/227</f>
        <v>1258.5022026431718</v>
      </c>
      <c r="J812" s="251">
        <f t="shared" si="170"/>
        <v>-2.8988164245981334E-3</v>
      </c>
      <c r="K812" s="272"/>
      <c r="L812" s="271"/>
      <c r="M812" s="273"/>
      <c r="N812" s="272"/>
      <c r="O812" s="273"/>
      <c r="P812" s="273"/>
      <c r="Q812" s="273"/>
    </row>
    <row r="813" spans="2:17" s="404" customFormat="1" ht="9.6" customHeight="1">
      <c r="B813" s="243">
        <v>36861</v>
      </c>
      <c r="C813" s="244">
        <v>22942</v>
      </c>
      <c r="D813" s="1142">
        <f t="shared" si="171"/>
        <v>-0.1483090173367487</v>
      </c>
      <c r="E813" s="252">
        <f>C813/17</f>
        <v>1349.5294117647059</v>
      </c>
      <c r="F813" s="233">
        <f t="shared" si="172"/>
        <v>0.10218833050538392</v>
      </c>
      <c r="G813" s="245">
        <f>SUM(C802:C813)</f>
        <v>308622</v>
      </c>
      <c r="H813" s="233">
        <f>(G813-G812)/G812</f>
        <v>8.0306636796415573E-2</v>
      </c>
      <c r="I813" s="245">
        <f>G813/244</f>
        <v>1264.844262295082</v>
      </c>
      <c r="J813" s="251">
        <f t="shared" si="170"/>
        <v>5.0393711179767924E-3</v>
      </c>
      <c r="K813" s="272"/>
      <c r="L813" s="271"/>
      <c r="M813" s="273"/>
      <c r="N813" s="272"/>
      <c r="O813" s="273"/>
      <c r="P813" s="273"/>
      <c r="Q813" s="273"/>
    </row>
    <row r="814" spans="2:17" s="404" customFormat="1" ht="9.6" customHeight="1">
      <c r="B814" s="243">
        <v>36892</v>
      </c>
      <c r="C814" s="244">
        <v>29726</v>
      </c>
      <c r="D814" s="1142">
        <f t="shared" si="171"/>
        <v>0.29570220556185162</v>
      </c>
      <c r="E814" s="252">
        <f>C814/19</f>
        <v>1564.5263157894738</v>
      </c>
      <c r="F814" s="233">
        <f t="shared" si="172"/>
        <v>0.15931249971323574</v>
      </c>
      <c r="G814" s="245">
        <f>SUM(C814)</f>
        <v>29726</v>
      </c>
      <c r="H814" s="260" t="s">
        <v>31</v>
      </c>
      <c r="I814" s="245">
        <f>G814/19</f>
        <v>1564.5263157894738</v>
      </c>
      <c r="J814" s="261" t="s">
        <v>31</v>
      </c>
      <c r="K814" s="272"/>
      <c r="L814" s="271"/>
      <c r="M814" s="273"/>
      <c r="N814" s="272"/>
      <c r="O814" s="273"/>
      <c r="P814" s="273"/>
      <c r="Q814" s="273"/>
    </row>
    <row r="815" spans="2:17" s="404" customFormat="1" ht="9.6" customHeight="1">
      <c r="B815" s="243">
        <v>36923</v>
      </c>
      <c r="C815" s="244">
        <v>37076</v>
      </c>
      <c r="D815" s="1142">
        <f t="shared" si="171"/>
        <v>0.24725829240395614</v>
      </c>
      <c r="E815" s="252">
        <f>C815/19</f>
        <v>1951.3684210526317</v>
      </c>
      <c r="F815" s="233">
        <f t="shared" si="172"/>
        <v>0.24725829240395614</v>
      </c>
      <c r="G815" s="245">
        <f>SUM(C814:C815)</f>
        <v>66802</v>
      </c>
      <c r="H815" s="233">
        <f t="shared" ref="H815:H820" si="175">(G815-G814)/G814</f>
        <v>1.2472582924039561</v>
      </c>
      <c r="I815" s="245">
        <f>G815/38</f>
        <v>1757.9473684210527</v>
      </c>
      <c r="J815" s="251">
        <f t="shared" si="170"/>
        <v>0.12362914620197807</v>
      </c>
      <c r="K815" s="272"/>
      <c r="L815" s="271"/>
      <c r="M815" s="273"/>
      <c r="N815" s="272"/>
      <c r="O815" s="273"/>
      <c r="P815" s="273"/>
      <c r="Q815" s="273"/>
    </row>
    <row r="816" spans="2:17" s="404" customFormat="1" ht="9.6" customHeight="1">
      <c r="B816" s="243">
        <v>36951</v>
      </c>
      <c r="C816" s="244">
        <v>44144</v>
      </c>
      <c r="D816" s="1142">
        <f t="shared" si="171"/>
        <v>0.19063545150501673</v>
      </c>
      <c r="E816" s="252">
        <f>C816/20</f>
        <v>2207.1999999999998</v>
      </c>
      <c r="F816" s="233">
        <f t="shared" si="172"/>
        <v>0.13110367892976574</v>
      </c>
      <c r="G816" s="245">
        <f>SUM(C814:C816)</f>
        <v>110946</v>
      </c>
      <c r="H816" s="233">
        <f t="shared" si="175"/>
        <v>0.66081853836711479</v>
      </c>
      <c r="I816" s="245">
        <f>G816/58</f>
        <v>1912.8620689655172</v>
      </c>
      <c r="J816" s="251">
        <f t="shared" ref="J816:J821" si="176">(I816-I815)/I815</f>
        <v>8.8122490654316502E-2</v>
      </c>
      <c r="K816" s="272"/>
      <c r="L816" s="271"/>
      <c r="M816" s="273"/>
      <c r="N816" s="272"/>
      <c r="O816" s="273"/>
      <c r="P816" s="273"/>
      <c r="Q816" s="273"/>
    </row>
    <row r="817" spans="2:17" s="404" customFormat="1" ht="9.6" customHeight="1">
      <c r="B817" s="243">
        <v>36982</v>
      </c>
      <c r="C817" s="244">
        <v>33611</v>
      </c>
      <c r="D817" s="1142">
        <f t="shared" si="171"/>
        <v>-0.23860547299746285</v>
      </c>
      <c r="E817" s="252">
        <f>C817/21</f>
        <v>1600.5238095238096</v>
      </c>
      <c r="F817" s="233">
        <f t="shared" si="172"/>
        <v>-0.27486235523567881</v>
      </c>
      <c r="G817" s="245">
        <f>SUM(C814:C817)</f>
        <v>144557</v>
      </c>
      <c r="H817" s="233">
        <f t="shared" si="175"/>
        <v>0.30294918248517294</v>
      </c>
      <c r="I817" s="245">
        <f>G817/79</f>
        <v>1829.8354430379748</v>
      </c>
      <c r="J817" s="251">
        <f t="shared" si="176"/>
        <v>-4.3404397669113463E-2</v>
      </c>
      <c r="K817" s="272"/>
      <c r="L817" s="271"/>
      <c r="M817" s="273"/>
      <c r="N817" s="272"/>
      <c r="O817" s="273"/>
      <c r="P817" s="273"/>
      <c r="Q817" s="273"/>
    </row>
    <row r="818" spans="2:17" s="404" customFormat="1" ht="9.6" customHeight="1">
      <c r="B818" s="243">
        <v>37012</v>
      </c>
      <c r="C818" s="244">
        <v>25000</v>
      </c>
      <c r="D818" s="1142">
        <f t="shared" ref="D818:D823" si="177">(C818-C817)/C817</f>
        <v>-0.25619588825087025</v>
      </c>
      <c r="E818" s="252">
        <f>C818/21</f>
        <v>1190.4761904761904</v>
      </c>
      <c r="F818" s="233">
        <f t="shared" ref="F818:F823" si="178">(E818-E817)/E817</f>
        <v>-0.25619588825087036</v>
      </c>
      <c r="G818" s="245">
        <f>SUM(C814:C818)</f>
        <v>169557</v>
      </c>
      <c r="H818" s="233">
        <f t="shared" si="175"/>
        <v>0.17294216122360037</v>
      </c>
      <c r="I818" s="245">
        <f>G818/100</f>
        <v>1695.57</v>
      </c>
      <c r="J818" s="251">
        <f t="shared" si="176"/>
        <v>-7.3375692633355777E-2</v>
      </c>
      <c r="K818" s="272"/>
      <c r="L818" s="271"/>
      <c r="M818" s="273"/>
      <c r="N818" s="272"/>
      <c r="O818" s="273"/>
      <c r="P818" s="273"/>
      <c r="Q818" s="273"/>
    </row>
    <row r="819" spans="2:17" s="404" customFormat="1" ht="9.6" customHeight="1">
      <c r="B819" s="243">
        <v>37043</v>
      </c>
      <c r="C819" s="244">
        <v>25425</v>
      </c>
      <c r="D819" s="1142">
        <f t="shared" si="177"/>
        <v>1.7000000000000001E-2</v>
      </c>
      <c r="E819" s="252">
        <f>C819/20</f>
        <v>1271.25</v>
      </c>
      <c r="F819" s="233">
        <f t="shared" si="178"/>
        <v>6.7850000000000091E-2</v>
      </c>
      <c r="G819" s="245">
        <f>SUM(C814:C819)</f>
        <v>194982</v>
      </c>
      <c r="H819" s="233">
        <f t="shared" si="175"/>
        <v>0.14994957447937862</v>
      </c>
      <c r="I819" s="245">
        <f>G819/120</f>
        <v>1624.85</v>
      </c>
      <c r="J819" s="251">
        <f t="shared" si="176"/>
        <v>-4.1708687933851171E-2</v>
      </c>
      <c r="K819" s="272"/>
      <c r="L819" s="271"/>
      <c r="M819" s="273"/>
      <c r="N819" s="272"/>
      <c r="O819" s="273"/>
      <c r="P819" s="273"/>
      <c r="Q819" s="273"/>
    </row>
    <row r="820" spans="2:17" s="404" customFormat="1" ht="9.6" customHeight="1">
      <c r="B820" s="582">
        <v>37073</v>
      </c>
      <c r="C820" s="578">
        <v>55930</v>
      </c>
      <c r="D820" s="1159">
        <f t="shared" si="177"/>
        <v>1.199803343166175</v>
      </c>
      <c r="E820" s="519">
        <f>C820/22</f>
        <v>2542.2727272727275</v>
      </c>
      <c r="F820" s="259">
        <f t="shared" si="178"/>
        <v>0.99982122106015925</v>
      </c>
      <c r="G820" s="534">
        <f>SUM(C814:C820)</f>
        <v>250912</v>
      </c>
      <c r="H820" s="579">
        <f t="shared" si="175"/>
        <v>0.28684699100429784</v>
      </c>
      <c r="I820" s="534">
        <f>G820/142</f>
        <v>1766.9859154929577</v>
      </c>
      <c r="J820" s="580">
        <f t="shared" si="176"/>
        <v>8.7476330426167218E-2</v>
      </c>
      <c r="K820" s="272"/>
      <c r="L820" s="271"/>
      <c r="M820" s="273"/>
      <c r="N820" s="272"/>
      <c r="O820" s="273"/>
      <c r="P820" s="273"/>
      <c r="Q820" s="273"/>
    </row>
    <row r="821" spans="2:17" s="404" customFormat="1" ht="9.6" customHeight="1">
      <c r="B821" s="257">
        <v>37104</v>
      </c>
      <c r="C821" s="258">
        <v>55275</v>
      </c>
      <c r="D821" s="1144">
        <f t="shared" si="177"/>
        <v>-1.1711067405685678E-2</v>
      </c>
      <c r="E821" s="519">
        <f>C821/22</f>
        <v>2512.5</v>
      </c>
      <c r="F821" s="259">
        <f t="shared" si="178"/>
        <v>-1.171106740568576E-2</v>
      </c>
      <c r="G821" s="520">
        <f>SUM(C814:C821)</f>
        <v>306187</v>
      </c>
      <c r="H821" s="259">
        <f>(G821-G820)/G820</f>
        <v>0.22029635888279556</v>
      </c>
      <c r="I821" s="520">
        <f>G821/164</f>
        <v>1866.9939024390244</v>
      </c>
      <c r="J821" s="521">
        <f t="shared" si="176"/>
        <v>5.6598066837542531E-2</v>
      </c>
      <c r="K821" s="272"/>
      <c r="L821" s="271"/>
      <c r="M821" s="273"/>
      <c r="N821" s="272"/>
      <c r="O821" s="273"/>
      <c r="P821" s="273"/>
      <c r="Q821" s="273"/>
    </row>
    <row r="822" spans="2:17" s="404" customFormat="1" ht="9.6" customHeight="1">
      <c r="B822" s="257">
        <v>37135</v>
      </c>
      <c r="C822" s="258">
        <v>41206</v>
      </c>
      <c r="D822" s="1144">
        <f t="shared" si="177"/>
        <v>-0.25452736318407959</v>
      </c>
      <c r="E822" s="519">
        <f>C822/19</f>
        <v>2168.7368421052633</v>
      </c>
      <c r="F822" s="259">
        <f t="shared" si="178"/>
        <v>-0.13682115737103948</v>
      </c>
      <c r="G822" s="520">
        <f>SUM(C814:C822)</f>
        <v>347393</v>
      </c>
      <c r="H822" s="259">
        <f>(G822-G821)/G821</f>
        <v>0.13457788867587456</v>
      </c>
      <c r="I822" s="520">
        <f>G822/183</f>
        <v>1898.3224043715848</v>
      </c>
      <c r="J822" s="521">
        <f>(I822-I821)/I821</f>
        <v>1.678018438712257E-2</v>
      </c>
      <c r="K822" s="272"/>
      <c r="L822" s="271"/>
      <c r="M822" s="273"/>
      <c r="N822" s="272"/>
      <c r="O822" s="273"/>
      <c r="P822" s="273"/>
      <c r="Q822" s="273"/>
    </row>
    <row r="823" spans="2:17" s="404" customFormat="1" ht="9.6" customHeight="1">
      <c r="B823" s="257">
        <v>37165</v>
      </c>
      <c r="C823" s="258">
        <v>53591</v>
      </c>
      <c r="D823" s="1144">
        <f t="shared" si="177"/>
        <v>0.30056302480221325</v>
      </c>
      <c r="E823" s="519">
        <f>C823/23</f>
        <v>2330.0434782608695</v>
      </c>
      <c r="F823" s="259">
        <f t="shared" si="178"/>
        <v>7.4378150923567365E-2</v>
      </c>
      <c r="G823" s="520">
        <f>SUM(C814:C823)</f>
        <v>400984</v>
      </c>
      <c r="H823" s="259">
        <f>(G823-G822)/G822</f>
        <v>0.1542662057093839</v>
      </c>
      <c r="I823" s="520">
        <f>G823/206</f>
        <v>1946.5242718446602</v>
      </c>
      <c r="J823" s="521">
        <f>(I823-I822)/I822</f>
        <v>2.5391823518530348E-2</v>
      </c>
      <c r="K823" s="272"/>
      <c r="L823" s="271"/>
      <c r="M823" s="273"/>
      <c r="N823" s="272"/>
      <c r="O823" s="273"/>
      <c r="P823" s="273"/>
      <c r="Q823" s="273"/>
    </row>
    <row r="824" spans="2:17" s="404" customFormat="1" ht="9.6" customHeight="1">
      <c r="B824" s="243">
        <v>37196</v>
      </c>
      <c r="C824" s="244">
        <v>54611</v>
      </c>
      <c r="D824" s="1142">
        <f t="shared" ref="D824:D829" si="179">(C824-C823)/C823</f>
        <v>1.9033046593644454E-2</v>
      </c>
      <c r="E824" s="252">
        <f>C824/20</f>
        <v>2730.55</v>
      </c>
      <c r="F824" s="233">
        <f t="shared" ref="F824:F829" si="180">(E824-E823)/E823</f>
        <v>0.17188800358269124</v>
      </c>
      <c r="G824" s="245">
        <f>SUM(C814:C824)</f>
        <v>455595</v>
      </c>
      <c r="H824" s="233">
        <f>(G824-G823)/G823</f>
        <v>0.13619246653233047</v>
      </c>
      <c r="I824" s="245">
        <f>G824/226</f>
        <v>2015.9070796460178</v>
      </c>
      <c r="J824" s="251">
        <f>(I824-I823)/I823</f>
        <v>3.564446064451364E-2</v>
      </c>
      <c r="K824" s="272"/>
      <c r="L824" s="271"/>
      <c r="M824" s="273"/>
      <c r="N824" s="272"/>
      <c r="O824" s="273"/>
      <c r="P824" s="273"/>
      <c r="Q824" s="273"/>
    </row>
    <row r="825" spans="2:17" s="404" customFormat="1" ht="9.6" customHeight="1">
      <c r="B825" s="257">
        <v>37226</v>
      </c>
      <c r="C825" s="258">
        <v>24204</v>
      </c>
      <c r="D825" s="1144">
        <f t="shared" si="179"/>
        <v>-0.55679258757393202</v>
      </c>
      <c r="E825" s="519">
        <f>C825/17</f>
        <v>1423.7647058823529</v>
      </c>
      <c r="F825" s="259">
        <f t="shared" si="180"/>
        <v>-0.4785795147928612</v>
      </c>
      <c r="G825" s="520">
        <f>SUM(C814:C825)</f>
        <v>479799</v>
      </c>
      <c r="H825" s="259">
        <f>(G825-G824)/G824</f>
        <v>5.3126131761762091E-2</v>
      </c>
      <c r="I825" s="520">
        <f>G825/243</f>
        <v>1974.4814814814815</v>
      </c>
      <c r="J825" s="521">
        <f>(I825-I824)/I824</f>
        <v>-2.0549358937620468E-2</v>
      </c>
      <c r="K825" s="272"/>
      <c r="L825" s="271"/>
      <c r="M825" s="273"/>
      <c r="N825" s="272"/>
      <c r="O825" s="273"/>
      <c r="P825" s="273"/>
      <c r="Q825" s="273"/>
    </row>
    <row r="826" spans="2:17" s="404" customFormat="1" ht="9.6" customHeight="1">
      <c r="B826" s="257">
        <v>37257</v>
      </c>
      <c r="C826" s="258">
        <v>67627</v>
      </c>
      <c r="D826" s="1144">
        <f t="shared" si="179"/>
        <v>1.7940423070566849</v>
      </c>
      <c r="E826" s="519">
        <f>C826/22</f>
        <v>3073.9545454545455</v>
      </c>
      <c r="F826" s="259">
        <f t="shared" si="180"/>
        <v>1.1590326918165292</v>
      </c>
      <c r="G826" s="520">
        <f>SUM(C826)</f>
        <v>67627</v>
      </c>
      <c r="H826" s="585" t="s">
        <v>31</v>
      </c>
      <c r="I826" s="520">
        <f>G826/22</f>
        <v>3073.9545454545455</v>
      </c>
      <c r="J826" s="684" t="s">
        <v>31</v>
      </c>
      <c r="K826" s="272"/>
      <c r="L826" s="271"/>
      <c r="M826" s="273"/>
      <c r="N826" s="272"/>
      <c r="O826" s="273"/>
      <c r="P826" s="273"/>
      <c r="Q826" s="273"/>
    </row>
    <row r="827" spans="2:17" s="404" customFormat="1" ht="9.6" customHeight="1">
      <c r="B827" s="257">
        <v>37288</v>
      </c>
      <c r="C827" s="258">
        <v>39389</v>
      </c>
      <c r="D827" s="1144">
        <f t="shared" si="179"/>
        <v>-0.41755511851775179</v>
      </c>
      <c r="E827" s="519">
        <f>C827/16</f>
        <v>2461.8125</v>
      </c>
      <c r="F827" s="259">
        <f t="shared" si="180"/>
        <v>-0.19913828796190872</v>
      </c>
      <c r="G827" s="520">
        <f>SUM(C826:C827)</f>
        <v>107016</v>
      </c>
      <c r="H827" s="259">
        <f t="shared" ref="H827:H832" si="181">(G827-G826)/G826</f>
        <v>0.58244488148224827</v>
      </c>
      <c r="I827" s="520">
        <f>G827/38</f>
        <v>2816.2105263157896</v>
      </c>
      <c r="J827" s="521">
        <f t="shared" ref="J827:J832" si="182">(I827-I826)/I826</f>
        <v>-8.3847700194487854E-2</v>
      </c>
      <c r="K827" s="272"/>
      <c r="L827" s="271"/>
      <c r="M827" s="273"/>
      <c r="N827" s="272"/>
      <c r="O827" s="273"/>
      <c r="P827" s="273"/>
      <c r="Q827" s="273"/>
    </row>
    <row r="828" spans="2:17" s="404" customFormat="1" ht="9.6" customHeight="1">
      <c r="B828" s="257">
        <v>37316</v>
      </c>
      <c r="C828" s="258">
        <v>44192</v>
      </c>
      <c r="D828" s="1144">
        <f t="shared" si="179"/>
        <v>0.12193759679098225</v>
      </c>
      <c r="E828" s="519">
        <f>C828/20</f>
        <v>2209.6</v>
      </c>
      <c r="F828" s="259">
        <f t="shared" si="180"/>
        <v>-0.10244992256721423</v>
      </c>
      <c r="G828" s="520">
        <f>SUM(C826:C828)</f>
        <v>151208</v>
      </c>
      <c r="H828" s="259">
        <f t="shared" si="181"/>
        <v>0.412947596621066</v>
      </c>
      <c r="I828" s="520">
        <f>G828/58</f>
        <v>2607.0344827586205</v>
      </c>
      <c r="J828" s="521">
        <f t="shared" si="182"/>
        <v>-7.4275712558612039E-2</v>
      </c>
      <c r="K828" s="272"/>
      <c r="L828" s="271"/>
      <c r="M828" s="273"/>
      <c r="N828" s="272"/>
      <c r="O828" s="273"/>
      <c r="P828" s="273"/>
      <c r="Q828" s="273"/>
    </row>
    <row r="829" spans="2:17" s="404" customFormat="1" ht="9.6" customHeight="1">
      <c r="B829" s="257">
        <v>37347</v>
      </c>
      <c r="C829" s="258">
        <v>42250</v>
      </c>
      <c r="D829" s="1144">
        <f t="shared" si="179"/>
        <v>-4.3944605358435918E-2</v>
      </c>
      <c r="E829" s="519">
        <f>C829/21</f>
        <v>2011.9047619047619</v>
      </c>
      <c r="F829" s="259">
        <f t="shared" si="180"/>
        <v>-8.9471052722319866E-2</v>
      </c>
      <c r="G829" s="520">
        <f>SUM(C826:C829)</f>
        <v>193458</v>
      </c>
      <c r="H829" s="259">
        <f t="shared" si="181"/>
        <v>0.27941643299296332</v>
      </c>
      <c r="I829" s="520">
        <f>G829/79</f>
        <v>2448.8354430379745</v>
      </c>
      <c r="J829" s="521">
        <f t="shared" si="182"/>
        <v>-6.0681606157064874E-2</v>
      </c>
      <c r="K829" s="272"/>
      <c r="L829" s="271"/>
      <c r="M829" s="273"/>
      <c r="N829" s="272"/>
      <c r="O829" s="273"/>
      <c r="P829" s="273"/>
      <c r="Q829" s="273"/>
    </row>
    <row r="830" spans="2:17" s="404" customFormat="1" ht="9.6" customHeight="1">
      <c r="B830" s="257">
        <v>37377</v>
      </c>
      <c r="C830" s="258">
        <v>65058</v>
      </c>
      <c r="D830" s="1144">
        <f t="shared" ref="D830:D835" si="183">(C830-C829)/C829</f>
        <v>0.53983431952662719</v>
      </c>
      <c r="E830" s="519">
        <f>C830/21</f>
        <v>3098</v>
      </c>
      <c r="F830" s="259">
        <f t="shared" ref="F830:F835" si="184">(E830-E829)/E829</f>
        <v>0.53983431952662719</v>
      </c>
      <c r="G830" s="520">
        <f>SUM(C826:C830)</f>
        <v>258516</v>
      </c>
      <c r="H830" s="259">
        <f t="shared" si="181"/>
        <v>0.33629004745216018</v>
      </c>
      <c r="I830" s="520">
        <f>G830/100</f>
        <v>2585.16</v>
      </c>
      <c r="J830" s="521">
        <f t="shared" si="182"/>
        <v>5.5669137487206533E-2</v>
      </c>
      <c r="K830" s="272"/>
      <c r="L830" s="271"/>
      <c r="M830" s="273"/>
      <c r="N830" s="272"/>
      <c r="O830" s="273"/>
      <c r="P830" s="273"/>
      <c r="Q830" s="273"/>
    </row>
    <row r="831" spans="2:17" s="404" customFormat="1" ht="9.6" customHeight="1">
      <c r="B831" s="257">
        <v>37408</v>
      </c>
      <c r="C831" s="258">
        <v>93194</v>
      </c>
      <c r="D831" s="1144">
        <f t="shared" si="183"/>
        <v>0.43247563712379722</v>
      </c>
      <c r="E831" s="519">
        <f>C831/20</f>
        <v>4659.7</v>
      </c>
      <c r="F831" s="259">
        <f t="shared" si="184"/>
        <v>0.504099418979987</v>
      </c>
      <c r="G831" s="520">
        <f>SUM(C826:C831)</f>
        <v>351710</v>
      </c>
      <c r="H831" s="259">
        <f t="shared" si="181"/>
        <v>0.36049606213928731</v>
      </c>
      <c r="I831" s="520">
        <f>G831/120</f>
        <v>2930.9166666666665</v>
      </c>
      <c r="J831" s="521">
        <f t="shared" si="182"/>
        <v>0.13374671844940611</v>
      </c>
      <c r="K831" s="272"/>
      <c r="L831" s="271"/>
      <c r="M831" s="273"/>
      <c r="N831" s="272"/>
      <c r="O831" s="273"/>
      <c r="P831" s="273"/>
      <c r="Q831" s="273"/>
    </row>
    <row r="832" spans="2:17" s="404" customFormat="1" ht="9.6" customHeight="1">
      <c r="B832" s="257">
        <v>37438</v>
      </c>
      <c r="C832" s="258">
        <v>102199</v>
      </c>
      <c r="D832" s="1144">
        <f t="shared" si="183"/>
        <v>9.662639225701225E-2</v>
      </c>
      <c r="E832" s="519">
        <f>C832/23</f>
        <v>4443.434782608696</v>
      </c>
      <c r="F832" s="259">
        <f t="shared" si="184"/>
        <v>-4.6411832819989236E-2</v>
      </c>
      <c r="G832" s="520">
        <f>SUM(C826:C832)</f>
        <v>453909</v>
      </c>
      <c r="H832" s="259">
        <f t="shared" si="181"/>
        <v>0.29057746438827442</v>
      </c>
      <c r="I832" s="520">
        <f>G832/143</f>
        <v>3174.1888111888111</v>
      </c>
      <c r="J832" s="521">
        <f t="shared" si="182"/>
        <v>8.3002068018132411E-2</v>
      </c>
      <c r="K832" s="272"/>
      <c r="L832" s="271"/>
      <c r="M832" s="273"/>
      <c r="N832" s="272"/>
      <c r="O832" s="273"/>
      <c r="P832" s="273"/>
      <c r="Q832" s="273"/>
    </row>
    <row r="833" spans="2:17" s="404" customFormat="1" ht="9.6" customHeight="1">
      <c r="B833" s="257">
        <v>37469</v>
      </c>
      <c r="C833" s="258">
        <v>79580</v>
      </c>
      <c r="D833" s="1144">
        <f t="shared" si="183"/>
        <v>-0.22132310492274876</v>
      </c>
      <c r="E833" s="519">
        <f>C833/22</f>
        <v>3617.2727272727275</v>
      </c>
      <c r="F833" s="259">
        <f t="shared" si="184"/>
        <v>-0.18592870060105554</v>
      </c>
      <c r="G833" s="520">
        <f>SUM(C826:C833)</f>
        <v>533489</v>
      </c>
      <c r="H833" s="259">
        <f>(G833-G832)/G832</f>
        <v>0.17532148514349793</v>
      </c>
      <c r="I833" s="520">
        <f>G833/165</f>
        <v>3233.2666666666669</v>
      </c>
      <c r="J833" s="521">
        <f>(I833-I832)/I832</f>
        <v>1.8611953791031637E-2</v>
      </c>
      <c r="K833" s="272"/>
      <c r="L833" s="271"/>
      <c r="M833" s="273"/>
      <c r="N833" s="272"/>
      <c r="O833" s="273"/>
      <c r="P833" s="273"/>
      <c r="Q833" s="273"/>
    </row>
    <row r="834" spans="2:17" s="404" customFormat="1" ht="9.6" customHeight="1">
      <c r="B834" s="257">
        <v>37500</v>
      </c>
      <c r="C834" s="258">
        <v>83488</v>
      </c>
      <c r="D834" s="1144">
        <f t="shared" si="183"/>
        <v>4.9107816034179443E-2</v>
      </c>
      <c r="E834" s="519">
        <f>C834/21</f>
        <v>3975.6190476190477</v>
      </c>
      <c r="F834" s="259">
        <f t="shared" si="184"/>
        <v>9.9065331083426036E-2</v>
      </c>
      <c r="G834" s="520">
        <f>SUM(C$826:C834)</f>
        <v>616977</v>
      </c>
      <c r="H834" s="259">
        <f>(G834-G833)/G833</f>
        <v>0.15649432321941034</v>
      </c>
      <c r="I834" s="520">
        <f>G834/186</f>
        <v>3317.0806451612902</v>
      </c>
      <c r="J834" s="521">
        <f>(I834-I833)/I833</f>
        <v>2.5922383501089722E-2</v>
      </c>
      <c r="K834" s="272"/>
      <c r="L834" s="271"/>
      <c r="M834" s="273"/>
      <c r="N834" s="272"/>
      <c r="O834" s="273"/>
      <c r="P834" s="273"/>
      <c r="Q834" s="273"/>
    </row>
    <row r="835" spans="2:17" s="404" customFormat="1" ht="9.6" customHeight="1" ph="1">
      <c r="B835" s="257">
        <v>37530</v>
      </c>
      <c r="C835" s="258">
        <v>104323</v>
      </c>
      <c r="D835" s="1144">
        <f t="shared" si="183"/>
        <v>0.24955682253737063</v>
      </c>
      <c r="E835" s="519">
        <f>C835/23</f>
        <v>4535.782608695652</v>
      </c>
      <c r="F835" s="259">
        <f t="shared" si="184"/>
        <v>0.14089970753412095</v>
      </c>
      <c r="G835" s="520">
        <f>SUM(C$826:C835)</f>
        <v>721300</v>
      </c>
      <c r="H835" s="259">
        <f>(G835-G834)/G834</f>
        <v>0.16908734037087281</v>
      </c>
      <c r="I835" s="520">
        <f>G835/209</f>
        <v>3451.196172248804</v>
      </c>
      <c r="J835" s="521">
        <f>(I835-I834)/I834</f>
        <v>4.0431795736757717E-2</v>
      </c>
      <c r="K835" s="272"/>
      <c r="L835" s="271"/>
      <c r="M835" s="273"/>
      <c r="N835" s="272"/>
      <c r="O835" s="273"/>
      <c r="P835" s="273"/>
      <c r="Q835" s="273"/>
    </row>
    <row r="836" spans="2:17" s="404" customFormat="1" ht="9.6" customHeight="1">
      <c r="B836" s="257">
        <v>37561</v>
      </c>
      <c r="C836" s="258">
        <v>94832</v>
      </c>
      <c r="D836" s="1144">
        <f t="shared" ref="D836:D841" si="185">(C836-C835)/C835</f>
        <v>-9.0977061625911834E-2</v>
      </c>
      <c r="E836" s="519">
        <f>C836/20</f>
        <v>4741.6000000000004</v>
      </c>
      <c r="F836" s="259">
        <f t="shared" ref="F836:F841" si="186">(E836-E835)/E835</f>
        <v>4.5376379130201511E-2</v>
      </c>
      <c r="G836" s="520">
        <f>SUM(C$826:C836)</f>
        <v>816132</v>
      </c>
      <c r="H836" s="259">
        <f>(G836-G835)/G835</f>
        <v>0.13147372799112714</v>
      </c>
      <c r="I836" s="520">
        <f>G836/229</f>
        <v>3563.8951965065503</v>
      </c>
      <c r="J836" s="521">
        <f>(I836-I835)/I835</f>
        <v>3.2655061791028651E-2</v>
      </c>
      <c r="K836" s="272"/>
      <c r="L836" s="271"/>
      <c r="M836" s="273"/>
      <c r="N836" s="272"/>
      <c r="O836" s="273"/>
      <c r="P836" s="273"/>
      <c r="Q836" s="273"/>
    </row>
    <row r="837" spans="2:17" s="404" customFormat="1" ht="9.6" customHeight="1">
      <c r="B837" s="257">
        <v>37591</v>
      </c>
      <c r="C837" s="258">
        <v>92941</v>
      </c>
      <c r="D837" s="1144">
        <f t="shared" si="185"/>
        <v>-1.9940526404589168E-2</v>
      </c>
      <c r="E837" s="519">
        <f>C837/19</f>
        <v>4891.6315789473683</v>
      </c>
      <c r="F837" s="259">
        <f t="shared" si="186"/>
        <v>3.1641551153063933E-2</v>
      </c>
      <c r="G837" s="520">
        <f>SUM(C$826:C837)</f>
        <v>909073</v>
      </c>
      <c r="H837" s="259">
        <f>(G837-G836)/G836</f>
        <v>0.11387986257125073</v>
      </c>
      <c r="I837" s="520">
        <f>G837/248</f>
        <v>3665.6169354838707</v>
      </c>
      <c r="J837" s="521">
        <f>(I837-I836)/I836</f>
        <v>2.8542292454904823E-2</v>
      </c>
      <c r="K837" s="272"/>
      <c r="L837" s="271"/>
      <c r="M837" s="273"/>
      <c r="N837" s="272"/>
      <c r="O837" s="273"/>
      <c r="P837" s="273"/>
      <c r="Q837" s="273"/>
    </row>
    <row r="838" spans="2:17" s="404" customFormat="1" ht="9.6" customHeight="1">
      <c r="B838" s="257">
        <v>37622</v>
      </c>
      <c r="C838" s="258">
        <v>111744</v>
      </c>
      <c r="D838" s="1144">
        <f t="shared" si="185"/>
        <v>0.20231114362875371</v>
      </c>
      <c r="E838" s="519">
        <f>C838/21</f>
        <v>5321.1428571428569</v>
      </c>
      <c r="F838" s="259">
        <f t="shared" si="186"/>
        <v>8.7805320426015243E-2</v>
      </c>
      <c r="G838" s="520">
        <f>SUM(C$838:C838)</f>
        <v>111744</v>
      </c>
      <c r="H838" s="675" t="s">
        <v>31</v>
      </c>
      <c r="I838" s="520">
        <f>G838/21</f>
        <v>5321.1428571428569</v>
      </c>
      <c r="J838" s="521" t="s">
        <v>31</v>
      </c>
      <c r="K838" s="272"/>
      <c r="L838" s="271"/>
      <c r="M838" s="273"/>
      <c r="N838" s="272"/>
      <c r="O838" s="273"/>
      <c r="P838" s="273"/>
      <c r="Q838" s="273"/>
    </row>
    <row r="839" spans="2:17" s="404" customFormat="1" ht="9.6" customHeight="1">
      <c r="B839" s="257">
        <v>37653</v>
      </c>
      <c r="C839" s="258">
        <v>68220</v>
      </c>
      <c r="D839" s="1144">
        <f t="shared" si="185"/>
        <v>-0.38949742268041238</v>
      </c>
      <c r="E839" s="519">
        <f>C839/17</f>
        <v>4012.9411764705883</v>
      </c>
      <c r="F839" s="259">
        <f t="shared" si="186"/>
        <v>-0.24584975742874465</v>
      </c>
      <c r="G839" s="520">
        <f>SUM(C$838:C839)</f>
        <v>179964</v>
      </c>
      <c r="H839" s="259">
        <f t="shared" ref="H839:H844" si="187">(G839-G838)/G838</f>
        <v>0.61050257731958768</v>
      </c>
      <c r="I839" s="520">
        <f>G839/38</f>
        <v>4735.894736842105</v>
      </c>
      <c r="J839" s="521">
        <f t="shared" ref="J839:J844" si="188">(I839-I838)/I838</f>
        <v>-0.10998541779707001</v>
      </c>
      <c r="K839" s="272"/>
      <c r="L839" s="271"/>
      <c r="M839" s="273"/>
      <c r="N839" s="272"/>
      <c r="O839" s="273"/>
      <c r="P839" s="273"/>
      <c r="Q839" s="273"/>
    </row>
    <row r="840" spans="2:17" s="404" customFormat="1" ht="9.6" customHeight="1">
      <c r="B840" s="257">
        <v>37681</v>
      </c>
      <c r="C840" s="258">
        <v>138938</v>
      </c>
      <c r="D840" s="1144">
        <f t="shared" si="185"/>
        <v>1.0366168279097039</v>
      </c>
      <c r="E840" s="519">
        <f>C840/20</f>
        <v>6946.9</v>
      </c>
      <c r="F840" s="259">
        <f t="shared" si="186"/>
        <v>0.73112430372324821</v>
      </c>
      <c r="G840" s="520">
        <f>SUM(C$838:C840)</f>
        <v>318902</v>
      </c>
      <c r="H840" s="259">
        <f t="shared" si="187"/>
        <v>0.77203218421462072</v>
      </c>
      <c r="I840" s="520">
        <f>G840/58</f>
        <v>5498.3103448275861</v>
      </c>
      <c r="J840" s="521">
        <f t="shared" si="188"/>
        <v>0.16098660345095842</v>
      </c>
      <c r="K840" s="272"/>
      <c r="L840" s="271"/>
      <c r="M840" s="273"/>
      <c r="N840" s="272"/>
      <c r="O840" s="273"/>
      <c r="P840" s="273"/>
      <c r="Q840" s="273"/>
    </row>
    <row r="841" spans="2:17" s="404" customFormat="1" ht="9.6" customHeight="1">
      <c r="B841" s="257">
        <v>37712</v>
      </c>
      <c r="C841" s="258">
        <v>134184</v>
      </c>
      <c r="D841" s="1144">
        <f t="shared" si="185"/>
        <v>-3.4216700974535406E-2</v>
      </c>
      <c r="E841" s="519">
        <f>C841/22</f>
        <v>6099.272727272727</v>
      </c>
      <c r="F841" s="259">
        <f t="shared" si="186"/>
        <v>-0.12201518270412308</v>
      </c>
      <c r="G841" s="520">
        <f>SUM(C$838:C841)</f>
        <v>453086</v>
      </c>
      <c r="H841" s="259">
        <f t="shared" si="187"/>
        <v>0.42076876281741726</v>
      </c>
      <c r="I841" s="520">
        <f>G841/80</f>
        <v>5663.5749999999998</v>
      </c>
      <c r="J841" s="521">
        <f t="shared" si="188"/>
        <v>3.0057353042627511E-2</v>
      </c>
      <c r="K841" s="272"/>
      <c r="L841" s="271"/>
      <c r="M841" s="273"/>
      <c r="N841" s="272"/>
      <c r="O841" s="273"/>
      <c r="P841" s="273"/>
      <c r="Q841" s="273"/>
    </row>
    <row r="842" spans="2:17" s="404" customFormat="1" ht="9.6" customHeight="1">
      <c r="B842" s="257">
        <v>37742</v>
      </c>
      <c r="C842" s="258">
        <v>109225</v>
      </c>
      <c r="D842" s="1144">
        <f t="shared" ref="D842:D847" si="189">(C842-C841)/C841</f>
        <v>-0.18600578310379778</v>
      </c>
      <c r="E842" s="519">
        <f>C842/19</f>
        <v>5748.6842105263158</v>
      </c>
      <c r="F842" s="259">
        <f t="shared" ref="F842:F847" si="190">(E842-E841)/E841</f>
        <v>-5.7480380435976322E-2</v>
      </c>
      <c r="G842" s="520">
        <f>SUM(C$838:C842)</f>
        <v>562311</v>
      </c>
      <c r="H842" s="259">
        <f t="shared" si="187"/>
        <v>0.24106902442361935</v>
      </c>
      <c r="I842" s="520">
        <f>G842/99</f>
        <v>5679.909090909091</v>
      </c>
      <c r="J842" s="521">
        <f t="shared" si="188"/>
        <v>2.8840601402985171E-3</v>
      </c>
      <c r="K842" s="272"/>
      <c r="L842" s="271"/>
      <c r="M842" s="273"/>
      <c r="N842" s="272"/>
      <c r="O842" s="273"/>
      <c r="P842" s="273"/>
      <c r="Q842" s="273"/>
    </row>
    <row r="843" spans="2:17" s="404" customFormat="1" ht="9.6" customHeight="1">
      <c r="B843" s="257">
        <v>37773</v>
      </c>
      <c r="C843" s="258">
        <v>117231</v>
      </c>
      <c r="D843" s="1144">
        <f t="shared" si="189"/>
        <v>7.3298237582970938E-2</v>
      </c>
      <c r="E843" s="519">
        <f>C843/21</f>
        <v>5582.4285714285716</v>
      </c>
      <c r="F843" s="259">
        <f t="shared" si="190"/>
        <v>-2.8920642186835811E-2</v>
      </c>
      <c r="G843" s="520">
        <f>SUM(C$838:C843)</f>
        <v>679542</v>
      </c>
      <c r="H843" s="259">
        <f t="shared" si="187"/>
        <v>0.2084807161873056</v>
      </c>
      <c r="I843" s="520">
        <f>G843/120</f>
        <v>5662.85</v>
      </c>
      <c r="J843" s="521">
        <f t="shared" si="188"/>
        <v>-3.0034091454728294E-3</v>
      </c>
      <c r="K843" s="272"/>
      <c r="L843" s="271"/>
      <c r="M843" s="273"/>
      <c r="N843" s="272"/>
      <c r="O843" s="273"/>
      <c r="P843" s="273"/>
      <c r="Q843" s="273"/>
    </row>
    <row r="844" spans="2:17" s="404" customFormat="1" ht="9.6" customHeight="1">
      <c r="B844" s="257">
        <v>37803</v>
      </c>
      <c r="C844" s="258">
        <v>112790</v>
      </c>
      <c r="D844" s="1144">
        <f t="shared" si="189"/>
        <v>-3.7882471359964517E-2</v>
      </c>
      <c r="E844" s="519">
        <f>C844/23</f>
        <v>4903.913043478261</v>
      </c>
      <c r="F844" s="259">
        <f t="shared" si="190"/>
        <v>-0.12154486515475021</v>
      </c>
      <c r="G844" s="520">
        <f>SUM(C$838:C844)</f>
        <v>792332</v>
      </c>
      <c r="H844" s="259">
        <f t="shared" si="187"/>
        <v>0.16597943909280075</v>
      </c>
      <c r="I844" s="520">
        <f>G844/143</f>
        <v>5540.7832167832166</v>
      </c>
      <c r="J844" s="521">
        <f t="shared" si="188"/>
        <v>-2.1555715446600867E-2</v>
      </c>
      <c r="K844" s="272"/>
      <c r="L844" s="271"/>
      <c r="M844" s="273"/>
      <c r="N844" s="272"/>
      <c r="O844" s="273"/>
      <c r="P844" s="273"/>
      <c r="Q844" s="273"/>
    </row>
    <row r="845" spans="2:17" s="404" customFormat="1" ht="9.6" customHeight="1">
      <c r="B845" s="257">
        <v>37834</v>
      </c>
      <c r="C845" s="258">
        <v>116644</v>
      </c>
      <c r="D845" s="1144">
        <f t="shared" si="189"/>
        <v>3.4169695895026157E-2</v>
      </c>
      <c r="E845" s="519">
        <f>C845/21</f>
        <v>5554.4761904761908</v>
      </c>
      <c r="F845" s="259">
        <f t="shared" si="190"/>
        <v>0.13266204788502869</v>
      </c>
      <c r="G845" s="520">
        <f>SUM(C$838:C845)</f>
        <v>908976</v>
      </c>
      <c r="H845" s="259">
        <f>(G845-G844)/G844</f>
        <v>0.14721606599253848</v>
      </c>
      <c r="I845" s="520">
        <f>G845/164</f>
        <v>5542.5365853658541</v>
      </c>
      <c r="J845" s="521">
        <f>(I845-I844)/I844</f>
        <v>3.1644778617695017E-4</v>
      </c>
      <c r="K845" s="272"/>
      <c r="L845" s="271"/>
      <c r="M845" s="273"/>
      <c r="N845" s="272"/>
      <c r="O845" s="273"/>
      <c r="P845" s="273"/>
      <c r="Q845" s="273"/>
    </row>
    <row r="846" spans="2:17" s="404" customFormat="1" ht="9.6" customHeight="1">
      <c r="B846" s="257">
        <v>37865</v>
      </c>
      <c r="C846" s="258">
        <v>133205</v>
      </c>
      <c r="D846" s="1144">
        <f t="shared" si="189"/>
        <v>0.14197901306539557</v>
      </c>
      <c r="E846" s="519">
        <f>C846/21</f>
        <v>6343.0952380952385</v>
      </c>
      <c r="F846" s="259">
        <f t="shared" si="190"/>
        <v>0.14197901306539557</v>
      </c>
      <c r="G846" s="520">
        <f>SUM(C$838:C846)</f>
        <v>1042181</v>
      </c>
      <c r="H846" s="259">
        <f>(G846-G845)/G845</f>
        <v>0.146544023164528</v>
      </c>
      <c r="I846" s="520">
        <f>G846/185</f>
        <v>5633.4108108108112</v>
      </c>
      <c r="J846" s="521">
        <f>(I846-I845)/I845</f>
        <v>1.6395782697203189E-2</v>
      </c>
      <c r="K846" s="272"/>
      <c r="L846" s="271"/>
      <c r="M846" s="273"/>
      <c r="N846" s="272"/>
      <c r="O846" s="273"/>
      <c r="P846" s="273"/>
      <c r="Q846" s="273"/>
    </row>
    <row r="847" spans="2:17" s="404" customFormat="1" ht="9.6" customHeight="1">
      <c r="B847" s="257">
        <v>37895</v>
      </c>
      <c r="C847" s="258">
        <v>177319</v>
      </c>
      <c r="D847" s="1144">
        <f t="shared" si="189"/>
        <v>0.33117375473893623</v>
      </c>
      <c r="E847" s="519">
        <f>C847/22</f>
        <v>8059.954545454545</v>
      </c>
      <c r="F847" s="259">
        <f t="shared" si="190"/>
        <v>0.27066585679625715</v>
      </c>
      <c r="G847" s="520">
        <f>SUM(C$838:C847)</f>
        <v>1219500</v>
      </c>
      <c r="H847" s="259">
        <f>(G847-G846)/G846</f>
        <v>0.17014223057223266</v>
      </c>
      <c r="I847" s="520">
        <f>G847/207</f>
        <v>5891.304347826087</v>
      </c>
      <c r="J847" s="521">
        <f>(I847-I846)/I846</f>
        <v>4.5779288192575013E-2</v>
      </c>
      <c r="K847" s="272"/>
      <c r="L847" s="271"/>
      <c r="M847" s="273"/>
      <c r="N847" s="272"/>
      <c r="O847" s="273"/>
      <c r="P847" s="273"/>
      <c r="Q847" s="273"/>
    </row>
    <row r="848" spans="2:17" s="404" customFormat="1" ht="9.6" customHeight="1">
      <c r="B848" s="257">
        <v>37926</v>
      </c>
      <c r="C848" s="258">
        <v>113695</v>
      </c>
      <c r="D848" s="1144">
        <f>(C848-C847)/C847</f>
        <v>-0.35881095652468148</v>
      </c>
      <c r="E848" s="519">
        <f>C848/17</f>
        <v>6687.9411764705883</v>
      </c>
      <c r="F848" s="259">
        <f>(E848-E847)/E847</f>
        <v>-0.17022594373782307</v>
      </c>
      <c r="G848" s="520">
        <f>SUM(C$838:C848)</f>
        <v>1333195</v>
      </c>
      <c r="H848" s="259">
        <f>(G848-G847)/G847</f>
        <v>9.3230832308323089E-2</v>
      </c>
      <c r="I848" s="520">
        <f>G848/224</f>
        <v>5951.7633928571431</v>
      </c>
      <c r="J848" s="521">
        <f>(I848-I847)/I847</f>
        <v>1.0262420927780744E-2</v>
      </c>
      <c r="K848" s="272"/>
      <c r="L848" s="271"/>
      <c r="M848" s="273"/>
      <c r="N848" s="272"/>
      <c r="O848" s="273"/>
      <c r="P848" s="273"/>
      <c r="Q848" s="273"/>
    </row>
    <row r="849" spans="2:17" s="404" customFormat="1" ht="9.6" customHeight="1" thickBot="1">
      <c r="B849" s="262">
        <v>37956</v>
      </c>
      <c r="C849" s="263">
        <v>96764</v>
      </c>
      <c r="D849" s="1146">
        <f>(C849-C848)/C848</f>
        <v>-0.14891595936496768</v>
      </c>
      <c r="E849" s="265">
        <f>C849/22</f>
        <v>4398.363636363636</v>
      </c>
      <c r="F849" s="264">
        <f>(E849-E848)/E848</f>
        <v>-0.34234415041838417</v>
      </c>
      <c r="G849" s="266">
        <f>SUM(C$838:C849)</f>
        <v>1429959</v>
      </c>
      <c r="H849" s="264">
        <f>(G849-G848)/G848</f>
        <v>7.2580530230011361E-2</v>
      </c>
      <c r="I849" s="266">
        <f>G849/246</f>
        <v>5812.8414634146338</v>
      </c>
      <c r="J849" s="268">
        <f>(I849-I848)/I848</f>
        <v>-2.3341305806819014E-2</v>
      </c>
      <c r="K849" s="272"/>
      <c r="L849" s="271"/>
      <c r="M849" s="273"/>
      <c r="N849" s="272"/>
      <c r="O849" s="273"/>
      <c r="P849" s="273"/>
      <c r="Q849" s="273"/>
    </row>
    <row r="850" spans="2:17" s="404" customFormat="1" ht="9.6" customHeight="1" thickBot="1">
      <c r="B850" s="269" t="s">
        <v>65</v>
      </c>
      <c r="C850" s="256"/>
      <c r="D850" s="1167"/>
      <c r="E850" s="515"/>
      <c r="F850" s="514"/>
      <c r="G850" s="516"/>
      <c r="H850" s="514"/>
      <c r="I850" s="517"/>
      <c r="J850" s="514"/>
      <c r="K850" s="272"/>
      <c r="L850" s="271"/>
      <c r="M850" s="273"/>
      <c r="N850" s="272"/>
      <c r="O850" s="273"/>
      <c r="P850" s="273"/>
      <c r="Q850" s="273"/>
    </row>
    <row r="851" spans="2:17" s="404" customFormat="1" ht="9.6" customHeight="1">
      <c r="B851" s="412"/>
      <c r="C851" s="413" t="s">
        <v>66</v>
      </c>
      <c r="D851" s="1160"/>
      <c r="E851" s="413" t="s">
        <v>67</v>
      </c>
      <c r="F851" s="414"/>
      <c r="G851" s="415"/>
      <c r="H851" s="414"/>
      <c r="I851" s="416" t="s">
        <v>76</v>
      </c>
      <c r="J851" s="417"/>
      <c r="K851" s="272"/>
      <c r="L851" s="271"/>
      <c r="M851" s="273"/>
      <c r="N851" s="272"/>
      <c r="O851" s="273"/>
      <c r="P851" s="273"/>
      <c r="Q851" s="273"/>
    </row>
    <row r="852" spans="2:17" s="404" customFormat="1" ht="9.6" customHeight="1">
      <c r="B852" s="418" t="s">
        <v>54</v>
      </c>
      <c r="C852" s="419" t="s">
        <v>70</v>
      </c>
      <c r="D852" s="1161"/>
      <c r="E852" s="216" t="s">
        <v>71</v>
      </c>
      <c r="F852" s="420"/>
      <c r="G852" s="421" t="s">
        <v>77</v>
      </c>
      <c r="H852" s="420"/>
      <c r="I852" s="422" t="s">
        <v>78</v>
      </c>
      <c r="J852" s="423"/>
      <c r="K852" s="272"/>
      <c r="L852" s="271"/>
      <c r="M852" s="273"/>
      <c r="N852" s="272"/>
      <c r="O852" s="273"/>
      <c r="P852" s="273"/>
      <c r="Q852" s="273"/>
    </row>
    <row r="853" spans="2:17" s="404" customFormat="1" ht="9.6" customHeight="1" thickBot="1">
      <c r="B853" s="405" t="s">
        <v>61</v>
      </c>
      <c r="C853" s="530" t="s">
        <v>62</v>
      </c>
      <c r="D853" s="1141" t="s">
        <v>63</v>
      </c>
      <c r="E853" s="530" t="s">
        <v>62</v>
      </c>
      <c r="F853" s="221" t="s">
        <v>63</v>
      </c>
      <c r="G853" s="531" t="s">
        <v>142</v>
      </c>
      <c r="H853" s="532"/>
      <c r="I853" s="533"/>
      <c r="J853" s="222" t="s">
        <v>63</v>
      </c>
      <c r="K853" s="272"/>
      <c r="L853" s="271"/>
      <c r="M853" s="273"/>
      <c r="N853" s="272"/>
      <c r="O853" s="273"/>
      <c r="P853" s="273"/>
      <c r="Q853" s="273"/>
    </row>
    <row r="854" spans="2:17" s="404" customFormat="1" ht="9.6" customHeight="1">
      <c r="B854" s="223">
        <v>35034</v>
      </c>
      <c r="C854" s="527">
        <v>3242484</v>
      </c>
      <c r="D854" s="1153">
        <f>(3242484-3212694)/3212694</f>
        <v>9.2725917874531463E-3</v>
      </c>
      <c r="E854" s="527">
        <f>C854/2707</f>
        <v>1197.8145548577761</v>
      </c>
      <c r="F854" s="425">
        <f>(1196-1198)/1196</f>
        <v>-1.6722408026755853E-3</v>
      </c>
      <c r="G854" s="528">
        <f>29790*25</f>
        <v>744750</v>
      </c>
      <c r="H854" s="529"/>
      <c r="I854" s="535">
        <v>10468</v>
      </c>
      <c r="J854" s="429">
        <f>(10468-10023)/10468</f>
        <v>4.2510508215513949E-2</v>
      </c>
      <c r="K854" s="272"/>
      <c r="L854" s="271"/>
      <c r="M854" s="273"/>
      <c r="N854" s="272"/>
      <c r="O854" s="273"/>
      <c r="P854" s="273"/>
      <c r="Q854" s="273"/>
    </row>
    <row r="855" spans="2:17" s="404" customFormat="1" ht="9.6" customHeight="1">
      <c r="B855" s="231">
        <v>35065</v>
      </c>
      <c r="C855" s="524">
        <f>$C$854+C754</f>
        <v>3302656</v>
      </c>
      <c r="D855" s="1151">
        <f t="shared" ref="D855:D917" si="191">(C855-C854)/C854</f>
        <v>1.8557377615433107E-2</v>
      </c>
      <c r="E855" s="524">
        <f>C855/2729</f>
        <v>1210.2074019787467</v>
      </c>
      <c r="F855" s="297">
        <f t="shared" ref="F855:F903" si="192">(E855-E854)/E854</f>
        <v>1.0346215172215937E-2</v>
      </c>
      <c r="G855" s="300">
        <f>C754*25</f>
        <v>1504300</v>
      </c>
      <c r="H855" s="523"/>
      <c r="I855" s="536">
        <v>7924</v>
      </c>
      <c r="J855" s="306">
        <f t="shared" ref="J855:J892" si="193">(I855-I854)/I854</f>
        <v>-0.24302636606801681</v>
      </c>
      <c r="K855" s="272"/>
      <c r="L855" s="271"/>
      <c r="M855" s="273"/>
      <c r="N855" s="272"/>
      <c r="O855" s="273"/>
      <c r="P855" s="273"/>
      <c r="Q855" s="273"/>
    </row>
    <row r="856" spans="2:17" s="404" customFormat="1" ht="9.6" customHeight="1">
      <c r="B856" s="231">
        <v>35096</v>
      </c>
      <c r="C856" s="524">
        <f t="shared" ref="C856:C887" si="194">C855+C755</f>
        <v>3334367</v>
      </c>
      <c r="D856" s="1151">
        <f t="shared" si="191"/>
        <v>9.6016660530191464E-3</v>
      </c>
      <c r="E856" s="524">
        <f>C856/2744</f>
        <v>1215.1483236151603</v>
      </c>
      <c r="F856" s="297">
        <f t="shared" si="192"/>
        <v>4.0827065082686947E-3</v>
      </c>
      <c r="G856" s="300">
        <f t="shared" ref="G856:G866" si="195">C755*25</f>
        <v>792775</v>
      </c>
      <c r="H856" s="523"/>
      <c r="I856" s="536">
        <v>8311</v>
      </c>
      <c r="J856" s="306">
        <f t="shared" si="193"/>
        <v>4.8838970217062093E-2</v>
      </c>
      <c r="K856" s="272"/>
      <c r="L856" s="271"/>
      <c r="M856" s="273"/>
      <c r="N856" s="272"/>
      <c r="O856" s="273"/>
      <c r="P856" s="273"/>
      <c r="Q856" s="273"/>
    </row>
    <row r="857" spans="2:17" s="404" customFormat="1" ht="9.6" customHeight="1">
      <c r="B857" s="231">
        <v>35125</v>
      </c>
      <c r="C857" s="524">
        <f t="shared" si="194"/>
        <v>3367391</v>
      </c>
      <c r="D857" s="1151">
        <f t="shared" si="191"/>
        <v>9.9041287296809267E-3</v>
      </c>
      <c r="E857" s="524">
        <f>C857/2765</f>
        <v>1217.8629294755876</v>
      </c>
      <c r="F857" s="297">
        <f t="shared" si="192"/>
        <v>2.2339707899618317E-3</v>
      </c>
      <c r="G857" s="300">
        <f t="shared" si="195"/>
        <v>825600</v>
      </c>
      <c r="H857" s="523"/>
      <c r="I857" s="536">
        <v>6411</v>
      </c>
      <c r="J857" s="306">
        <f t="shared" si="193"/>
        <v>-0.22861268198772711</v>
      </c>
      <c r="K857" s="272"/>
      <c r="L857" s="271"/>
      <c r="M857" s="273"/>
      <c r="N857" s="272"/>
      <c r="O857" s="273"/>
      <c r="P857" s="273"/>
      <c r="Q857" s="273"/>
    </row>
    <row r="858" spans="2:17" s="404" customFormat="1" ht="9.6" customHeight="1">
      <c r="B858" s="231">
        <v>35156</v>
      </c>
      <c r="C858" s="524">
        <f t="shared" si="194"/>
        <v>3406579</v>
      </c>
      <c r="D858" s="1151">
        <f t="shared" si="191"/>
        <v>1.1637496209973834E-2</v>
      </c>
      <c r="E858" s="524">
        <f>C858/2786</f>
        <v>1222.7491026561379</v>
      </c>
      <c r="F858" s="297">
        <f t="shared" si="192"/>
        <v>4.0120879470846912E-3</v>
      </c>
      <c r="G858" s="300">
        <f t="shared" si="195"/>
        <v>979700</v>
      </c>
      <c r="H858" s="523"/>
      <c r="I858" s="536">
        <v>8961</v>
      </c>
      <c r="J858" s="306">
        <f t="shared" si="193"/>
        <v>0.39775386055217593</v>
      </c>
      <c r="K858" s="272"/>
      <c r="L858" s="271"/>
      <c r="M858" s="273"/>
      <c r="N858" s="272"/>
      <c r="O858" s="273"/>
      <c r="P858" s="273"/>
      <c r="Q858" s="273"/>
    </row>
    <row r="859" spans="2:17" s="404" customFormat="1" ht="9.6" customHeight="1">
      <c r="B859" s="231">
        <v>35186</v>
      </c>
      <c r="C859" s="524">
        <f t="shared" si="194"/>
        <v>3431312</v>
      </c>
      <c r="D859" s="1151">
        <f t="shared" si="191"/>
        <v>7.2603629623736897E-3</v>
      </c>
      <c r="E859" s="524">
        <f>C859/2806</f>
        <v>1222.848182466144</v>
      </c>
      <c r="F859" s="297">
        <f t="shared" si="192"/>
        <v>8.1030368201319723E-5</v>
      </c>
      <c r="G859" s="300">
        <f t="shared" si="195"/>
        <v>618325</v>
      </c>
      <c r="H859" s="523"/>
      <c r="I859" s="536">
        <v>7989</v>
      </c>
      <c r="J859" s="306">
        <f t="shared" si="193"/>
        <v>-0.10847003682624708</v>
      </c>
      <c r="K859" s="272"/>
      <c r="L859" s="271"/>
      <c r="M859" s="273"/>
      <c r="N859" s="272"/>
      <c r="O859" s="273"/>
      <c r="P859" s="273"/>
      <c r="Q859" s="273"/>
    </row>
    <row r="860" spans="2:17" s="404" customFormat="1" ht="9.6" customHeight="1">
      <c r="B860" s="231">
        <v>35217</v>
      </c>
      <c r="C860" s="524">
        <f t="shared" si="194"/>
        <v>3475376</v>
      </c>
      <c r="D860" s="1151">
        <f t="shared" si="191"/>
        <v>1.2841735173018367E-2</v>
      </c>
      <c r="E860" s="524">
        <f>C860/2826</f>
        <v>1229.7862703467799</v>
      </c>
      <c r="F860" s="297">
        <f t="shared" si="192"/>
        <v>5.6737115695292498E-3</v>
      </c>
      <c r="G860" s="300">
        <f t="shared" si="195"/>
        <v>1101600</v>
      </c>
      <c r="H860" s="523"/>
      <c r="I860" s="536">
        <v>8542</v>
      </c>
      <c r="J860" s="306">
        <f t="shared" si="193"/>
        <v>6.9220177744398551E-2</v>
      </c>
      <c r="K860" s="272"/>
      <c r="L860" s="271"/>
      <c r="M860" s="273"/>
      <c r="N860" s="272"/>
      <c r="O860" s="273"/>
      <c r="P860" s="273"/>
      <c r="Q860" s="273"/>
    </row>
    <row r="861" spans="2:17" s="404" customFormat="1" ht="9.6" customHeight="1">
      <c r="B861" s="231">
        <v>35247</v>
      </c>
      <c r="C861" s="524">
        <f t="shared" si="194"/>
        <v>3518308</v>
      </c>
      <c r="D861" s="1151">
        <f t="shared" si="191"/>
        <v>1.2353195740547209E-2</v>
      </c>
      <c r="E861" s="524">
        <f>C861/2848</f>
        <v>1235.3609550561798</v>
      </c>
      <c r="F861" s="297">
        <f t="shared" si="192"/>
        <v>4.5330516723267027E-3</v>
      </c>
      <c r="G861" s="300">
        <f t="shared" si="195"/>
        <v>1073300</v>
      </c>
      <c r="H861" s="523"/>
      <c r="I861" s="536">
        <v>10037</v>
      </c>
      <c r="J861" s="306">
        <f t="shared" si="193"/>
        <v>0.17501756029033014</v>
      </c>
      <c r="K861" s="272"/>
      <c r="L861" s="271"/>
      <c r="M861" s="273"/>
      <c r="N861" s="272"/>
      <c r="O861" s="273"/>
      <c r="P861" s="273"/>
      <c r="Q861" s="273"/>
    </row>
    <row r="862" spans="2:17" s="404" customFormat="1" ht="9.6" customHeight="1">
      <c r="B862" s="231">
        <v>35278</v>
      </c>
      <c r="C862" s="524">
        <f t="shared" si="194"/>
        <v>3572016</v>
      </c>
      <c r="D862" s="1151">
        <f t="shared" si="191"/>
        <v>1.5265292293909459E-2</v>
      </c>
      <c r="E862" s="524">
        <f>C862/2870</f>
        <v>1244.6048780487804</v>
      </c>
      <c r="F862" s="297">
        <f t="shared" si="192"/>
        <v>7.4827708895657897E-3</v>
      </c>
      <c r="G862" s="300">
        <f t="shared" si="195"/>
        <v>1342700</v>
      </c>
      <c r="H862" s="523"/>
      <c r="I862" s="536">
        <v>11637</v>
      </c>
      <c r="J862" s="306">
        <f t="shared" si="193"/>
        <v>0.15941018232539603</v>
      </c>
      <c r="K862" s="272"/>
      <c r="L862" s="271"/>
      <c r="M862" s="273"/>
      <c r="N862" s="272"/>
      <c r="O862" s="273"/>
      <c r="P862" s="273"/>
      <c r="Q862" s="273"/>
    </row>
    <row r="863" spans="2:17" s="404" customFormat="1" ht="9.6" customHeight="1">
      <c r="B863" s="231">
        <v>35309</v>
      </c>
      <c r="C863" s="524">
        <f t="shared" si="194"/>
        <v>3627156</v>
      </c>
      <c r="D863" s="1151">
        <f t="shared" si="191"/>
        <v>1.5436660978002338E-2</v>
      </c>
      <c r="E863" s="524">
        <f>C863/2891</f>
        <v>1254.6371497751643</v>
      </c>
      <c r="F863" s="297">
        <f t="shared" si="192"/>
        <v>8.0606077505592875E-3</v>
      </c>
      <c r="G863" s="300">
        <f t="shared" si="195"/>
        <v>1378500</v>
      </c>
      <c r="H863" s="523"/>
      <c r="I863" s="536">
        <v>13044</v>
      </c>
      <c r="J863" s="306">
        <f t="shared" si="193"/>
        <v>0.12090745037380768</v>
      </c>
      <c r="K863" s="272"/>
      <c r="L863" s="271"/>
      <c r="M863" s="273"/>
      <c r="N863" s="272"/>
      <c r="O863" s="273"/>
      <c r="P863" s="273"/>
      <c r="Q863" s="273"/>
    </row>
    <row r="864" spans="2:17" s="404" customFormat="1" ht="9.6" customHeight="1">
      <c r="B864" s="231">
        <v>35339</v>
      </c>
      <c r="C864" s="524">
        <f t="shared" si="194"/>
        <v>3670367</v>
      </c>
      <c r="D864" s="1151">
        <f t="shared" si="191"/>
        <v>1.1913190389384962E-2</v>
      </c>
      <c r="E864" s="524">
        <f>C864/2914</f>
        <v>1259.5631434454358</v>
      </c>
      <c r="F864" s="297">
        <f t="shared" si="192"/>
        <v>3.9262297239917266E-3</v>
      </c>
      <c r="G864" s="300">
        <f t="shared" si="195"/>
        <v>1080275</v>
      </c>
      <c r="H864" s="523"/>
      <c r="I864" s="536">
        <v>11263</v>
      </c>
      <c r="J864" s="306">
        <f t="shared" si="193"/>
        <v>-0.13653787181846058</v>
      </c>
      <c r="K864" s="272"/>
      <c r="L864" s="271"/>
      <c r="M864" s="273"/>
      <c r="N864" s="272"/>
      <c r="O864" s="273"/>
      <c r="P864" s="273"/>
      <c r="Q864" s="273"/>
    </row>
    <row r="865" spans="2:17" s="404" customFormat="1" ht="9.6" customHeight="1">
      <c r="B865" s="231">
        <v>35370</v>
      </c>
      <c r="C865" s="524">
        <f t="shared" si="194"/>
        <v>3706402</v>
      </c>
      <c r="D865" s="1151">
        <f t="shared" si="191"/>
        <v>9.8178193079874569E-3</v>
      </c>
      <c r="E865" s="524">
        <f>C865/2934</f>
        <v>1263.2590320381732</v>
      </c>
      <c r="F865" s="297">
        <f t="shared" si="192"/>
        <v>2.9342622574900332E-3</v>
      </c>
      <c r="G865" s="300">
        <f t="shared" si="195"/>
        <v>900875</v>
      </c>
      <c r="H865" s="523"/>
      <c r="I865" s="536">
        <v>10426</v>
      </c>
      <c r="J865" s="306">
        <f t="shared" si="193"/>
        <v>-7.4314125898961206E-2</v>
      </c>
      <c r="K865" s="272"/>
      <c r="L865" s="271"/>
      <c r="M865" s="273"/>
      <c r="N865" s="272"/>
      <c r="O865" s="273"/>
      <c r="P865" s="273"/>
      <c r="Q865" s="273"/>
    </row>
    <row r="866" spans="2:17" s="404" customFormat="1" ht="9.6" customHeight="1">
      <c r="B866" s="563">
        <v>35400</v>
      </c>
      <c r="C866" s="564">
        <f t="shared" si="194"/>
        <v>3740552</v>
      </c>
      <c r="D866" s="1152">
        <f t="shared" si="191"/>
        <v>9.2137873873368303E-3</v>
      </c>
      <c r="E866" s="564">
        <f>C866/2955</f>
        <v>1265.8382402707275</v>
      </c>
      <c r="F866" s="424">
        <f t="shared" si="192"/>
        <v>2.0417097104723702E-3</v>
      </c>
      <c r="G866" s="565">
        <f t="shared" si="195"/>
        <v>853750</v>
      </c>
      <c r="H866" s="566"/>
      <c r="I866" s="567">
        <v>9897</v>
      </c>
      <c r="J866" s="568">
        <f t="shared" si="193"/>
        <v>-5.0738538269710337E-2</v>
      </c>
      <c r="K866" s="272"/>
      <c r="L866" s="271"/>
      <c r="M866" s="273"/>
      <c r="N866" s="272"/>
      <c r="O866" s="273"/>
      <c r="P866" s="273"/>
      <c r="Q866" s="273"/>
    </row>
    <row r="867" spans="2:17" s="404" customFormat="1" ht="9.6" customHeight="1" ph="1">
      <c r="B867" s="243">
        <v>35431</v>
      </c>
      <c r="C867" s="524">
        <f t="shared" si="194"/>
        <v>3789542</v>
      </c>
      <c r="D867" s="1151">
        <f>(C867-C866)/C866</f>
        <v>1.3096997448504927E-2</v>
      </c>
      <c r="E867" s="524">
        <f>C867/2977</f>
        <v>1272.9398723547195</v>
      </c>
      <c r="F867" s="297">
        <f>(E867-E866)/E866</f>
        <v>5.6102208466013029E-3</v>
      </c>
      <c r="G867" s="300">
        <f t="shared" ref="G867:G898" si="196">C766*25</f>
        <v>1224750</v>
      </c>
      <c r="H867" s="523"/>
      <c r="I867" s="536">
        <v>8563</v>
      </c>
      <c r="J867" s="306">
        <f>(I867-I866)/I866</f>
        <v>-0.13478831969283622</v>
      </c>
      <c r="K867" s="272"/>
      <c r="L867" s="271"/>
      <c r="M867" s="273"/>
      <c r="N867" s="272"/>
      <c r="O867" s="273"/>
      <c r="P867" s="273"/>
      <c r="Q867" s="273"/>
    </row>
    <row r="868" spans="2:17" s="404" customFormat="1" ht="9.6" customHeight="1">
      <c r="B868" s="243">
        <v>35462</v>
      </c>
      <c r="C868" s="524">
        <f t="shared" si="194"/>
        <v>3821860</v>
      </c>
      <c r="D868" s="1151">
        <f t="shared" si="191"/>
        <v>8.5282073664838653E-3</v>
      </c>
      <c r="E868" s="524">
        <f>C868/2993</f>
        <v>1276.9328433010357</v>
      </c>
      <c r="F868" s="297">
        <f t="shared" si="192"/>
        <v>3.1368103341204816E-3</v>
      </c>
      <c r="G868" s="300">
        <f t="shared" si="196"/>
        <v>807950</v>
      </c>
      <c r="H868" s="523"/>
      <c r="I868" s="536">
        <v>8058</v>
      </c>
      <c r="J868" s="306">
        <f t="shared" si="193"/>
        <v>-5.8974658414107206E-2</v>
      </c>
      <c r="K868" s="272"/>
      <c r="L868" s="271"/>
      <c r="M868" s="273"/>
      <c r="N868" s="272"/>
      <c r="O868" s="273"/>
      <c r="P868" s="273"/>
      <c r="Q868" s="273"/>
    </row>
    <row r="869" spans="2:17" s="404" customFormat="1" ht="9.6" customHeight="1">
      <c r="B869" s="243">
        <v>35490</v>
      </c>
      <c r="C869" s="524">
        <f t="shared" si="194"/>
        <v>3862120</v>
      </c>
      <c r="D869" s="1151">
        <f t="shared" si="191"/>
        <v>1.0534137828177904E-2</v>
      </c>
      <c r="E869" s="524">
        <f>C869/3014</f>
        <v>1281.3934970139351</v>
      </c>
      <c r="F869" s="297">
        <f t="shared" si="192"/>
        <v>3.4932563104634112E-3</v>
      </c>
      <c r="G869" s="300">
        <f t="shared" si="196"/>
        <v>1006500</v>
      </c>
      <c r="H869" s="523"/>
      <c r="I869" s="536">
        <v>8310</v>
      </c>
      <c r="J869" s="306">
        <f t="shared" si="193"/>
        <v>3.1273268801191363E-2</v>
      </c>
      <c r="K869" s="272"/>
      <c r="L869" s="271"/>
      <c r="M869" s="273"/>
      <c r="N869" s="272"/>
      <c r="O869" s="273"/>
      <c r="P869" s="273"/>
      <c r="Q869" s="273"/>
    </row>
    <row r="870" spans="2:17" s="404" customFormat="1" ht="9.6" customHeight="1">
      <c r="B870" s="243">
        <v>35521</v>
      </c>
      <c r="C870" s="524">
        <f t="shared" si="194"/>
        <v>3900555</v>
      </c>
      <c r="D870" s="1151">
        <f t="shared" si="191"/>
        <v>9.9517881370853305E-3</v>
      </c>
      <c r="E870" s="524">
        <f>C870/3035</f>
        <v>1285.1911037891268</v>
      </c>
      <c r="F870" s="297">
        <f t="shared" si="192"/>
        <v>2.9636538534348858E-3</v>
      </c>
      <c r="G870" s="300">
        <f t="shared" si="196"/>
        <v>960875</v>
      </c>
      <c r="H870" s="523"/>
      <c r="I870" s="536">
        <v>9149</v>
      </c>
      <c r="J870" s="306">
        <f t="shared" si="193"/>
        <v>0.10096269554753309</v>
      </c>
      <c r="K870" s="272"/>
      <c r="L870" s="271"/>
      <c r="M870" s="273"/>
      <c r="N870" s="272"/>
      <c r="O870" s="273"/>
      <c r="P870" s="273"/>
      <c r="Q870" s="273"/>
    </row>
    <row r="871" spans="2:17" s="404" customFormat="1" ht="9.6" customHeight="1">
      <c r="B871" s="243">
        <v>35551</v>
      </c>
      <c r="C871" s="524">
        <f t="shared" si="194"/>
        <v>3937541</v>
      </c>
      <c r="D871" s="1151">
        <f t="shared" si="191"/>
        <v>9.4822403478479339E-3</v>
      </c>
      <c r="E871" s="524">
        <f>C871/3054</f>
        <v>1289.3061558611657</v>
      </c>
      <c r="F871" s="297">
        <f t="shared" si="192"/>
        <v>3.2018989704383307E-3</v>
      </c>
      <c r="G871" s="300">
        <f t="shared" si="196"/>
        <v>924650</v>
      </c>
      <c r="H871" s="523"/>
      <c r="I871" s="536">
        <v>8486</v>
      </c>
      <c r="J871" s="306">
        <f t="shared" si="193"/>
        <v>-7.2466936277188768E-2</v>
      </c>
      <c r="K871" s="272"/>
      <c r="L871" s="271"/>
      <c r="M871" s="273"/>
      <c r="N871" s="272"/>
      <c r="O871" s="273"/>
      <c r="P871" s="273"/>
      <c r="Q871" s="273"/>
    </row>
    <row r="872" spans="2:17" s="404" customFormat="1" ht="9.6" customHeight="1">
      <c r="B872" s="243">
        <v>35582</v>
      </c>
      <c r="C872" s="524">
        <f t="shared" si="194"/>
        <v>3977959</v>
      </c>
      <c r="D872" s="1151">
        <f t="shared" si="191"/>
        <v>1.0264782004809601E-2</v>
      </c>
      <c r="E872" s="524">
        <f>C872/3075</f>
        <v>1293.6452032520326</v>
      </c>
      <c r="F872" s="297">
        <f t="shared" si="192"/>
        <v>3.3654127618499602E-3</v>
      </c>
      <c r="G872" s="300">
        <f t="shared" si="196"/>
        <v>1010450</v>
      </c>
      <c r="H872" s="523"/>
      <c r="I872" s="536">
        <v>7782</v>
      </c>
      <c r="J872" s="306">
        <f t="shared" si="193"/>
        <v>-8.2960169691256191E-2</v>
      </c>
      <c r="K872" s="272"/>
      <c r="L872" s="271"/>
      <c r="M872" s="273"/>
      <c r="N872" s="272"/>
      <c r="O872" s="273"/>
      <c r="P872" s="273"/>
      <c r="Q872" s="273"/>
    </row>
    <row r="873" spans="2:17" s="404" customFormat="1" ht="9.6" customHeight="1">
      <c r="B873" s="243">
        <v>35612</v>
      </c>
      <c r="C873" s="524">
        <f t="shared" si="194"/>
        <v>4023306</v>
      </c>
      <c r="D873" s="1151">
        <f t="shared" si="191"/>
        <v>1.1399564450010672E-2</v>
      </c>
      <c r="E873" s="524">
        <f>C873/3097</f>
        <v>1299.09783661608</v>
      </c>
      <c r="F873" s="297">
        <f t="shared" si="192"/>
        <v>4.214937256629794E-3</v>
      </c>
      <c r="G873" s="300">
        <f t="shared" si="196"/>
        <v>1133675</v>
      </c>
      <c r="H873" s="523"/>
      <c r="I873" s="536">
        <v>7968</v>
      </c>
      <c r="J873" s="306">
        <f t="shared" si="193"/>
        <v>2.3901310717039322E-2</v>
      </c>
      <c r="K873" s="272"/>
      <c r="L873" s="271"/>
      <c r="M873" s="273"/>
      <c r="N873" s="272"/>
      <c r="O873" s="273"/>
      <c r="P873" s="273"/>
      <c r="Q873" s="273"/>
    </row>
    <row r="874" spans="2:17" s="404" customFormat="1" ht="9.6" customHeight="1">
      <c r="B874" s="243">
        <v>35643</v>
      </c>
      <c r="C874" s="524">
        <f t="shared" si="194"/>
        <v>4066259</v>
      </c>
      <c r="D874" s="1151">
        <f t="shared" si="191"/>
        <v>1.067604601787684E-2</v>
      </c>
      <c r="E874" s="524">
        <f>C874/3118</f>
        <v>1304.1241180243746</v>
      </c>
      <c r="F874" s="297">
        <f t="shared" si="192"/>
        <v>3.8690553294947988E-3</v>
      </c>
      <c r="G874" s="300">
        <f t="shared" si="196"/>
        <v>1073825</v>
      </c>
      <c r="H874" s="523"/>
      <c r="I874" s="536">
        <v>8205</v>
      </c>
      <c r="J874" s="306">
        <f t="shared" si="193"/>
        <v>2.9743975903614456E-2</v>
      </c>
      <c r="K874" s="272"/>
      <c r="L874" s="271"/>
      <c r="M874" s="273"/>
      <c r="N874" s="272"/>
      <c r="O874" s="273"/>
      <c r="P874" s="273"/>
      <c r="Q874" s="273"/>
    </row>
    <row r="875" spans="2:17" s="404" customFormat="1" ht="9.6" customHeight="1">
      <c r="B875" s="243">
        <v>35674</v>
      </c>
      <c r="C875" s="524">
        <f t="shared" si="194"/>
        <v>4116051</v>
      </c>
      <c r="D875" s="1151">
        <f t="shared" si="191"/>
        <v>1.2245161953530259E-2</v>
      </c>
      <c r="E875" s="524">
        <f>C875/3139</f>
        <v>1311.2618668365722</v>
      </c>
      <c r="F875" s="297">
        <f t="shared" si="192"/>
        <v>5.4732127974218689E-3</v>
      </c>
      <c r="G875" s="300">
        <f t="shared" si="196"/>
        <v>1244800</v>
      </c>
      <c r="H875" s="523"/>
      <c r="I875" s="536">
        <v>6775</v>
      </c>
      <c r="J875" s="306">
        <f t="shared" si="193"/>
        <v>-0.17428397318708105</v>
      </c>
      <c r="K875" s="272"/>
      <c r="L875" s="271"/>
      <c r="M875" s="273"/>
      <c r="N875" s="272"/>
      <c r="O875" s="273"/>
      <c r="P875" s="273"/>
      <c r="Q875" s="273"/>
    </row>
    <row r="876" spans="2:17" s="404" customFormat="1" ht="9.6" customHeight="1">
      <c r="B876" s="257">
        <v>35704</v>
      </c>
      <c r="C876" s="524">
        <f t="shared" si="194"/>
        <v>4160411</v>
      </c>
      <c r="D876" s="1151">
        <f t="shared" si="191"/>
        <v>1.077732030045303E-2</v>
      </c>
      <c r="E876" s="524">
        <f>C876/3161</f>
        <v>1316.1692502372666</v>
      </c>
      <c r="F876" s="297">
        <f t="shared" si="192"/>
        <v>3.7424892195893453E-3</v>
      </c>
      <c r="G876" s="300">
        <f t="shared" si="196"/>
        <v>1109000</v>
      </c>
      <c r="H876" s="523"/>
      <c r="I876" s="536">
        <v>6494</v>
      </c>
      <c r="J876" s="306">
        <f t="shared" si="193"/>
        <v>-4.1476014760147603E-2</v>
      </c>
      <c r="K876" s="272"/>
      <c r="L876" s="271"/>
      <c r="M876" s="273"/>
      <c r="N876" s="272"/>
      <c r="O876" s="273"/>
      <c r="P876" s="273"/>
      <c r="Q876" s="273"/>
    </row>
    <row r="877" spans="2:17" s="404" customFormat="1" ht="9.6" customHeight="1">
      <c r="B877" s="243">
        <v>35735</v>
      </c>
      <c r="C877" s="524">
        <f t="shared" si="194"/>
        <v>4192064</v>
      </c>
      <c r="D877" s="1151">
        <f t="shared" si="191"/>
        <v>7.6081425609152561E-3</v>
      </c>
      <c r="E877" s="524">
        <f>C877/3181</f>
        <v>1317.844702923609</v>
      </c>
      <c r="F877" s="297">
        <f t="shared" si="192"/>
        <v>1.2729766221482239E-3</v>
      </c>
      <c r="G877" s="300">
        <f t="shared" si="196"/>
        <v>791325</v>
      </c>
      <c r="H877" s="523"/>
      <c r="I877" s="536">
        <v>7138</v>
      </c>
      <c r="J877" s="306">
        <f t="shared" si="193"/>
        <v>9.9168463196797049E-2</v>
      </c>
      <c r="K877" s="272"/>
      <c r="L877" s="271"/>
      <c r="M877" s="273"/>
      <c r="N877" s="272"/>
      <c r="O877" s="273"/>
      <c r="P877" s="273"/>
      <c r="Q877" s="273"/>
    </row>
    <row r="878" spans="2:17" s="404" customFormat="1" ht="9.6" customHeight="1">
      <c r="B878" s="243">
        <v>35765</v>
      </c>
      <c r="C878" s="524">
        <f t="shared" si="194"/>
        <v>4224203</v>
      </c>
      <c r="D878" s="1151">
        <f t="shared" si="191"/>
        <v>7.666629135433047E-3</v>
      </c>
      <c r="E878" s="524">
        <f>C878/3202</f>
        <v>1319.2389131792629</v>
      </c>
      <c r="F878" s="297">
        <f t="shared" si="192"/>
        <v>1.0579473078738825E-3</v>
      </c>
      <c r="G878" s="300">
        <f t="shared" si="196"/>
        <v>803475</v>
      </c>
      <c r="H878" s="523"/>
      <c r="I878" s="536">
        <v>7785</v>
      </c>
      <c r="J878" s="306">
        <f t="shared" si="193"/>
        <v>9.0641636312692633E-2</v>
      </c>
      <c r="K878" s="272"/>
      <c r="L878" s="271"/>
      <c r="M878" s="273"/>
      <c r="N878" s="272"/>
      <c r="O878" s="273"/>
      <c r="P878" s="273"/>
      <c r="Q878" s="273"/>
    </row>
    <row r="879" spans="2:17" s="404" customFormat="1" ht="9.6" customHeight="1">
      <c r="B879" s="243">
        <v>35796</v>
      </c>
      <c r="C879" s="524">
        <f t="shared" si="194"/>
        <v>4249095</v>
      </c>
      <c r="D879" s="1151">
        <f t="shared" si="191"/>
        <v>5.8927092282260113E-3</v>
      </c>
      <c r="E879" s="524">
        <f>C879/3220</f>
        <v>1319.5947204968943</v>
      </c>
      <c r="F879" s="297">
        <f t="shared" si="192"/>
        <v>2.6970650583215468E-4</v>
      </c>
      <c r="G879" s="300">
        <f t="shared" si="196"/>
        <v>622300</v>
      </c>
      <c r="H879" s="523"/>
      <c r="I879" s="536">
        <v>6899</v>
      </c>
      <c r="J879" s="306">
        <f t="shared" si="193"/>
        <v>-0.11380860629415543</v>
      </c>
      <c r="K879" s="272"/>
      <c r="L879" s="271"/>
      <c r="M879" s="273"/>
      <c r="N879" s="272"/>
      <c r="O879" s="273"/>
      <c r="P879" s="273"/>
      <c r="Q879" s="273"/>
    </row>
    <row r="880" spans="2:17" s="404" customFormat="1" ht="9.6" customHeight="1">
      <c r="B880" s="243">
        <v>35827</v>
      </c>
      <c r="C880" s="524">
        <f t="shared" si="194"/>
        <v>4282715</v>
      </c>
      <c r="D880" s="1151">
        <f t="shared" si="191"/>
        <v>7.9122730840331876E-3</v>
      </c>
      <c r="E880" s="524">
        <f>C880/3239</f>
        <v>1322.233714109293</v>
      </c>
      <c r="F880" s="297">
        <f t="shared" si="192"/>
        <v>1.9998515994403346E-3</v>
      </c>
      <c r="G880" s="300">
        <f t="shared" si="196"/>
        <v>840500</v>
      </c>
      <c r="H880" s="523"/>
      <c r="I880" s="536">
        <v>7904</v>
      </c>
      <c r="J880" s="306">
        <f t="shared" si="193"/>
        <v>0.14567328598347587</v>
      </c>
      <c r="K880" s="272"/>
      <c r="L880" s="271"/>
      <c r="M880" s="273"/>
      <c r="N880" s="272"/>
      <c r="O880" s="273"/>
      <c r="P880" s="273"/>
      <c r="Q880" s="273"/>
    </row>
    <row r="881" spans="2:17" s="404" customFormat="1" ht="9.6" customHeight="1">
      <c r="B881" s="243">
        <v>35855</v>
      </c>
      <c r="C881" s="524">
        <f t="shared" si="194"/>
        <v>4324598</v>
      </c>
      <c r="D881" s="1151">
        <f t="shared" si="191"/>
        <v>9.7795440509116302E-3</v>
      </c>
      <c r="E881" s="524">
        <f>C881/3261</f>
        <v>1326.1570070530513</v>
      </c>
      <c r="F881" s="297">
        <f t="shared" si="192"/>
        <v>2.9671705553213404E-3</v>
      </c>
      <c r="G881" s="300">
        <f t="shared" si="196"/>
        <v>1047075</v>
      </c>
      <c r="H881" s="523"/>
      <c r="I881" s="536">
        <v>7478</v>
      </c>
      <c r="J881" s="306">
        <f t="shared" si="193"/>
        <v>-5.3896761133603241E-2</v>
      </c>
      <c r="K881" s="272"/>
      <c r="L881" s="271"/>
      <c r="M881" s="273"/>
      <c r="N881" s="272"/>
      <c r="O881" s="273"/>
      <c r="P881" s="273"/>
      <c r="Q881" s="273"/>
    </row>
    <row r="882" spans="2:17" s="404" customFormat="1" ht="9.6" customHeight="1">
      <c r="B882" s="243">
        <v>35886</v>
      </c>
      <c r="C882" s="524">
        <f t="shared" si="194"/>
        <v>4359387</v>
      </c>
      <c r="D882" s="1151">
        <f t="shared" si="191"/>
        <v>8.0444471370518141E-3</v>
      </c>
      <c r="E882" s="524">
        <f>C882/3281</f>
        <v>1328.6763181956721</v>
      </c>
      <c r="F882" s="297">
        <f t="shared" si="192"/>
        <v>1.8997080505717631E-3</v>
      </c>
      <c r="G882" s="300">
        <f t="shared" si="196"/>
        <v>869725</v>
      </c>
      <c r="H882" s="523"/>
      <c r="I882" s="536">
        <v>7331</v>
      </c>
      <c r="J882" s="306">
        <f t="shared" si="193"/>
        <v>-1.9657662476598021E-2</v>
      </c>
      <c r="K882" s="272"/>
      <c r="L882" s="271"/>
      <c r="M882" s="273"/>
      <c r="N882" s="272"/>
      <c r="O882" s="273"/>
      <c r="P882" s="273"/>
      <c r="Q882" s="273"/>
    </row>
    <row r="883" spans="2:17" s="404" customFormat="1" ht="9.6" customHeight="1">
      <c r="B883" s="243">
        <v>35916</v>
      </c>
      <c r="C883" s="524">
        <f t="shared" si="194"/>
        <v>4401631</v>
      </c>
      <c r="D883" s="1151">
        <f t="shared" si="191"/>
        <v>9.6903532537946282E-3</v>
      </c>
      <c r="E883" s="524">
        <f>C883/3300</f>
        <v>1333.8275757575757</v>
      </c>
      <c r="F883" s="297">
        <f t="shared" si="192"/>
        <v>3.8769845532423577E-3</v>
      </c>
      <c r="G883" s="300">
        <f t="shared" si="196"/>
        <v>1056100</v>
      </c>
      <c r="H883" s="523"/>
      <c r="I883" s="536">
        <v>6614</v>
      </c>
      <c r="J883" s="306">
        <f t="shared" si="193"/>
        <v>-9.7803846678488612E-2</v>
      </c>
      <c r="K883" s="272"/>
      <c r="L883" s="271"/>
      <c r="M883" s="273"/>
      <c r="N883" s="272"/>
      <c r="O883" s="273"/>
      <c r="P883" s="273"/>
      <c r="Q883" s="273"/>
    </row>
    <row r="884" spans="2:17" s="404" customFormat="1" ht="9.6" customHeight="1">
      <c r="B884" s="243">
        <v>35947</v>
      </c>
      <c r="C884" s="524">
        <f t="shared" si="194"/>
        <v>4437665</v>
      </c>
      <c r="D884" s="1151">
        <f t="shared" si="191"/>
        <v>8.1865108638138912E-3</v>
      </c>
      <c r="E884" s="524">
        <f>C884/3322</f>
        <v>1335.8413606261288</v>
      </c>
      <c r="F884" s="297">
        <f t="shared" si="192"/>
        <v>1.5097790037886499E-3</v>
      </c>
      <c r="G884" s="300">
        <f t="shared" si="196"/>
        <v>900850</v>
      </c>
      <c r="H884" s="523"/>
      <c r="I884" s="536">
        <v>5862</v>
      </c>
      <c r="J884" s="306">
        <f t="shared" si="193"/>
        <v>-0.11369821590565467</v>
      </c>
      <c r="K884" s="272"/>
      <c r="L884" s="271"/>
      <c r="M884" s="273"/>
      <c r="N884" s="272"/>
      <c r="O884" s="273"/>
      <c r="P884" s="273"/>
      <c r="Q884" s="273"/>
    </row>
    <row r="885" spans="2:17" s="404" customFormat="1" ht="9.6" customHeight="1">
      <c r="B885" s="243">
        <v>35977</v>
      </c>
      <c r="C885" s="524">
        <f t="shared" si="194"/>
        <v>4468303</v>
      </c>
      <c r="D885" s="1151">
        <f t="shared" si="191"/>
        <v>6.9040813130328673E-3</v>
      </c>
      <c r="E885" s="524">
        <f>C885/3344</f>
        <v>1336.2150119617224</v>
      </c>
      <c r="F885" s="297">
        <f t="shared" si="192"/>
        <v>2.7971235702607195E-4</v>
      </c>
      <c r="G885" s="300">
        <f t="shared" si="196"/>
        <v>765950</v>
      </c>
      <c r="H885" s="523"/>
      <c r="I885" s="536">
        <v>6701</v>
      </c>
      <c r="J885" s="306">
        <f t="shared" si="193"/>
        <v>0.14312521323780281</v>
      </c>
      <c r="K885" s="272"/>
      <c r="L885" s="271"/>
      <c r="M885" s="273"/>
      <c r="N885" s="272"/>
      <c r="O885" s="273"/>
      <c r="P885" s="273"/>
      <c r="Q885" s="273"/>
    </row>
    <row r="886" spans="2:17" s="404" customFormat="1" ht="9.6" customHeight="1">
      <c r="B886" s="243">
        <v>36008</v>
      </c>
      <c r="C886" s="524">
        <f t="shared" si="194"/>
        <v>4492537</v>
      </c>
      <c r="D886" s="1151">
        <f t="shared" si="191"/>
        <v>5.4235355122515191E-3</v>
      </c>
      <c r="E886" s="524">
        <f>C886/3364</f>
        <v>1335.4747324613554</v>
      </c>
      <c r="F886" s="297">
        <f t="shared" si="192"/>
        <v>-5.5401226130531581E-4</v>
      </c>
      <c r="G886" s="300">
        <f t="shared" si="196"/>
        <v>605850</v>
      </c>
      <c r="H886" s="523"/>
      <c r="I886" s="536">
        <v>6261</v>
      </c>
      <c r="J886" s="306">
        <f t="shared" si="193"/>
        <v>-6.5661841516191616E-2</v>
      </c>
      <c r="K886" s="272"/>
      <c r="L886" s="271"/>
      <c r="M886" s="273"/>
      <c r="N886" s="272"/>
      <c r="O886" s="273"/>
      <c r="P886" s="273"/>
      <c r="Q886" s="273"/>
    </row>
    <row r="887" spans="2:17" s="404" customFormat="1" ht="9.6" customHeight="1">
      <c r="B887" s="243">
        <v>36039</v>
      </c>
      <c r="C887" s="524">
        <f t="shared" si="194"/>
        <v>4519294</v>
      </c>
      <c r="D887" s="1151">
        <f t="shared" si="191"/>
        <v>5.9558774919382966E-3</v>
      </c>
      <c r="E887" s="524">
        <f>C887/3385</f>
        <v>1335.0942392909897</v>
      </c>
      <c r="F887" s="297">
        <f t="shared" si="192"/>
        <v>-2.8491229456994863E-4</v>
      </c>
      <c r="G887" s="300">
        <f t="shared" si="196"/>
        <v>668925</v>
      </c>
      <c r="H887" s="523"/>
      <c r="I887" s="536">
        <v>5373</v>
      </c>
      <c r="J887" s="306">
        <f t="shared" si="193"/>
        <v>-0.14183037853378055</v>
      </c>
      <c r="K887" s="272"/>
      <c r="L887" s="271"/>
      <c r="M887" s="273"/>
      <c r="N887" s="272"/>
      <c r="O887" s="273"/>
      <c r="P887" s="273"/>
      <c r="Q887" s="273"/>
    </row>
    <row r="888" spans="2:17" s="404" customFormat="1" ht="9.6" customHeight="1">
      <c r="B888" s="257">
        <v>36069</v>
      </c>
      <c r="C888" s="524">
        <f t="shared" ref="C888:C919" si="197">C887+C787</f>
        <v>4546647</v>
      </c>
      <c r="D888" s="1151">
        <f t="shared" si="191"/>
        <v>6.0524940399982827E-3</v>
      </c>
      <c r="E888" s="524">
        <f>C888/3406</f>
        <v>1334.8934233705227</v>
      </c>
      <c r="F888" s="297">
        <f t="shared" si="192"/>
        <v>-1.5041329260295384E-4</v>
      </c>
      <c r="G888" s="300">
        <f t="shared" si="196"/>
        <v>683825</v>
      </c>
      <c r="H888" s="523"/>
      <c r="I888" s="536">
        <v>5368</v>
      </c>
      <c r="J888" s="306">
        <f t="shared" si="193"/>
        <v>-9.3057882002605622E-4</v>
      </c>
      <c r="K888" s="272"/>
      <c r="L888" s="271"/>
      <c r="M888" s="273"/>
      <c r="N888" s="272"/>
      <c r="O888" s="273"/>
      <c r="P888" s="273"/>
      <c r="Q888" s="273"/>
    </row>
    <row r="889" spans="2:17" s="404" customFormat="1" ht="9.6" customHeight="1">
      <c r="B889" s="257">
        <v>36100</v>
      </c>
      <c r="C889" s="524">
        <f t="shared" si="197"/>
        <v>4562262</v>
      </c>
      <c r="D889" s="1151">
        <f t="shared" si="191"/>
        <v>3.4343990197611557E-3</v>
      </c>
      <c r="E889" s="524">
        <f>C889/3427</f>
        <v>1331.2699153778815</v>
      </c>
      <c r="F889" s="297">
        <f t="shared" si="192"/>
        <v>-2.7144548989476991E-3</v>
      </c>
      <c r="G889" s="300">
        <f t="shared" si="196"/>
        <v>390375</v>
      </c>
      <c r="H889" s="523"/>
      <c r="I889" s="536">
        <v>4924</v>
      </c>
      <c r="J889" s="306">
        <f t="shared" si="193"/>
        <v>-8.2712369597615493E-2</v>
      </c>
      <c r="K889" s="272"/>
      <c r="L889" s="271"/>
      <c r="M889" s="273"/>
      <c r="N889" s="272"/>
      <c r="O889" s="273"/>
      <c r="P889" s="273"/>
      <c r="Q889" s="273"/>
    </row>
    <row r="890" spans="2:17" s="404" customFormat="1" ht="9.6" customHeight="1">
      <c r="B890" s="243">
        <v>36130</v>
      </c>
      <c r="C890" s="524">
        <f t="shared" si="197"/>
        <v>4577742</v>
      </c>
      <c r="D890" s="1151">
        <f t="shared" si="191"/>
        <v>3.3930537088838826E-3</v>
      </c>
      <c r="E890" s="524">
        <f>C890/3448</f>
        <v>1327.651392111369</v>
      </c>
      <c r="F890" s="297">
        <f t="shared" si="192"/>
        <v>-2.7180988804102824E-3</v>
      </c>
      <c r="G890" s="300">
        <f t="shared" si="196"/>
        <v>387000</v>
      </c>
      <c r="H890" s="523"/>
      <c r="I890" s="536">
        <v>4597</v>
      </c>
      <c r="J890" s="306">
        <f t="shared" si="193"/>
        <v>-6.6409423233143791E-2</v>
      </c>
      <c r="K890" s="272"/>
      <c r="L890" s="271"/>
      <c r="M890" s="273"/>
      <c r="N890" s="272"/>
      <c r="O890" s="273"/>
      <c r="P890" s="273"/>
      <c r="Q890" s="273"/>
    </row>
    <row r="891" spans="2:17" s="404" customFormat="1" ht="9.6" customHeight="1">
      <c r="B891" s="522">
        <v>36161</v>
      </c>
      <c r="C891" s="524">
        <f t="shared" si="197"/>
        <v>4598484</v>
      </c>
      <c r="D891" s="1151">
        <f t="shared" si="191"/>
        <v>4.5310548300887205E-3</v>
      </c>
      <c r="E891" s="524">
        <f>C891/3465</f>
        <v>1327.1238095238095</v>
      </c>
      <c r="F891" s="297">
        <f t="shared" si="192"/>
        <v>-3.9738035955388853E-4</v>
      </c>
      <c r="G891" s="300">
        <f t="shared" si="196"/>
        <v>518550</v>
      </c>
      <c r="H891" s="294"/>
      <c r="I891" s="308">
        <v>4906</v>
      </c>
      <c r="J891" s="306">
        <f t="shared" si="193"/>
        <v>6.7217750706982812E-2</v>
      </c>
      <c r="K891" s="272"/>
      <c r="L891" s="271"/>
      <c r="M891" s="273"/>
      <c r="N891" s="272"/>
      <c r="O891" s="273"/>
      <c r="P891" s="273"/>
      <c r="Q891" s="273"/>
    </row>
    <row r="892" spans="2:17" s="404" customFormat="1" ht="9.6" customHeight="1">
      <c r="B892" s="243">
        <v>36192</v>
      </c>
      <c r="C892" s="524">
        <f t="shared" si="197"/>
        <v>4622141</v>
      </c>
      <c r="D892" s="1151">
        <f t="shared" si="191"/>
        <v>5.1445215423169899E-3</v>
      </c>
      <c r="E892" s="524">
        <f>C892/3481</f>
        <v>1327.8198793450158</v>
      </c>
      <c r="F892" s="297">
        <f t="shared" si="192"/>
        <v>5.2449501411328361E-4</v>
      </c>
      <c r="G892" s="300">
        <f t="shared" si="196"/>
        <v>591425</v>
      </c>
      <c r="H892" s="294"/>
      <c r="I892" s="308">
        <v>4949</v>
      </c>
      <c r="J892" s="306">
        <f t="shared" si="193"/>
        <v>8.7647778230737876E-3</v>
      </c>
      <c r="K892" s="272"/>
      <c r="L892" s="271"/>
      <c r="M892" s="273"/>
      <c r="N892" s="272"/>
      <c r="O892" s="273"/>
      <c r="P892" s="273"/>
      <c r="Q892" s="273"/>
    </row>
    <row r="893" spans="2:17" s="404" customFormat="1" ht="9.6" customHeight="1">
      <c r="B893" s="243">
        <v>36220</v>
      </c>
      <c r="C893" s="524">
        <f t="shared" si="197"/>
        <v>4660965</v>
      </c>
      <c r="D893" s="1151">
        <f t="shared" si="191"/>
        <v>8.3995706751481616E-3</v>
      </c>
      <c r="E893" s="524">
        <f>C893/3503</f>
        <v>1330.5638024550385</v>
      </c>
      <c r="F893" s="297">
        <f t="shared" si="192"/>
        <v>2.0664874451015321E-3</v>
      </c>
      <c r="G893" s="300">
        <f t="shared" si="196"/>
        <v>970600</v>
      </c>
      <c r="H893" s="294"/>
      <c r="I893" s="308">
        <v>7215</v>
      </c>
      <c r="J893" s="306">
        <f t="shared" ref="J893:J921" si="198">(I893-I892)/I892</f>
        <v>0.45787027682360071</v>
      </c>
      <c r="K893" s="272"/>
      <c r="L893" s="271"/>
      <c r="M893" s="273"/>
      <c r="N893" s="272"/>
      <c r="O893" s="273"/>
      <c r="P893" s="273"/>
      <c r="Q893" s="273"/>
    </row>
    <row r="894" spans="2:17" s="404" customFormat="1" ht="9.6" customHeight="1">
      <c r="B894" s="243">
        <v>36251</v>
      </c>
      <c r="C894" s="524">
        <f t="shared" si="197"/>
        <v>4691254</v>
      </c>
      <c r="D894" s="1151">
        <f t="shared" si="191"/>
        <v>6.498439700791574E-3</v>
      </c>
      <c r="E894" s="524">
        <f>C894/3525</f>
        <v>1330.8521985815603</v>
      </c>
      <c r="F894" s="297">
        <f t="shared" si="192"/>
        <v>2.1674731116963497E-4</v>
      </c>
      <c r="G894" s="300">
        <f t="shared" si="196"/>
        <v>757225</v>
      </c>
      <c r="H894" s="294"/>
      <c r="I894" s="308">
        <v>6693</v>
      </c>
      <c r="J894" s="306">
        <f t="shared" si="198"/>
        <v>-7.2349272349272353E-2</v>
      </c>
      <c r="K894" s="272"/>
      <c r="L894" s="271"/>
      <c r="M894" s="273"/>
      <c r="N894" s="272"/>
      <c r="O894" s="273"/>
      <c r="P894" s="273"/>
      <c r="Q894" s="273"/>
    </row>
    <row r="895" spans="2:17" s="404" customFormat="1" ht="9.6" customHeight="1">
      <c r="B895" s="243">
        <v>36281</v>
      </c>
      <c r="C895" s="524">
        <f t="shared" si="197"/>
        <v>4731775</v>
      </c>
      <c r="D895" s="1151">
        <f t="shared" si="191"/>
        <v>8.6375625792165598E-3</v>
      </c>
      <c r="E895" s="524">
        <f>C895/3546</f>
        <v>1334.3979131415679</v>
      </c>
      <c r="F895" s="297">
        <f t="shared" si="192"/>
        <v>2.664243680693206E-3</v>
      </c>
      <c r="G895" s="300">
        <f t="shared" si="196"/>
        <v>1013025</v>
      </c>
      <c r="H895" s="294"/>
      <c r="I895" s="308">
        <v>6425</v>
      </c>
      <c r="J895" s="306">
        <f t="shared" si="198"/>
        <v>-4.0041834752726727E-2</v>
      </c>
      <c r="K895" s="272"/>
      <c r="L895" s="271"/>
      <c r="M895" s="273"/>
      <c r="N895" s="272"/>
      <c r="O895" s="273"/>
      <c r="P895" s="273"/>
      <c r="Q895" s="273"/>
    </row>
    <row r="896" spans="2:17" s="404" customFormat="1" ht="9.6" customHeight="1">
      <c r="B896" s="257">
        <v>36312</v>
      </c>
      <c r="C896" s="524">
        <f t="shared" si="197"/>
        <v>4770629</v>
      </c>
      <c r="D896" s="1151">
        <f t="shared" si="191"/>
        <v>8.2112949157557152E-3</v>
      </c>
      <c r="E896" s="524">
        <f>C896/3568</f>
        <v>1337.0596973094171</v>
      </c>
      <c r="F896" s="297">
        <f t="shared" si="192"/>
        <v>1.9947454515891463E-3</v>
      </c>
      <c r="G896" s="300">
        <f t="shared" si="196"/>
        <v>971350</v>
      </c>
      <c r="H896" s="294"/>
      <c r="I896" s="310">
        <v>5470</v>
      </c>
      <c r="J896" s="306">
        <f t="shared" si="198"/>
        <v>-0.14863813229571984</v>
      </c>
      <c r="K896" s="272"/>
      <c r="L896" s="271"/>
      <c r="M896" s="273"/>
      <c r="N896" s="272"/>
      <c r="O896" s="273"/>
      <c r="P896" s="273"/>
      <c r="Q896" s="273"/>
    </row>
    <row r="897" spans="2:17" s="404" customFormat="1" ht="9.6" customHeight="1">
      <c r="B897" s="243">
        <v>36342</v>
      </c>
      <c r="C897" s="524">
        <f t="shared" si="197"/>
        <v>4808804</v>
      </c>
      <c r="D897" s="1151">
        <f t="shared" si="191"/>
        <v>8.0020894519360029E-3</v>
      </c>
      <c r="E897" s="524">
        <f>C897/3590</f>
        <v>1339.4997214484679</v>
      </c>
      <c r="F897" s="297">
        <f t="shared" si="192"/>
        <v>1.8249178731218306E-3</v>
      </c>
      <c r="G897" s="300">
        <f t="shared" si="196"/>
        <v>954375</v>
      </c>
      <c r="H897" s="297"/>
      <c r="I897" s="308">
        <v>6305</v>
      </c>
      <c r="J897" s="306">
        <f t="shared" si="198"/>
        <v>0.15265082266910421</v>
      </c>
      <c r="K897" s="272"/>
      <c r="L897" s="271"/>
      <c r="M897" s="273"/>
      <c r="N897" s="272"/>
      <c r="O897" s="273"/>
      <c r="P897" s="273"/>
      <c r="Q897" s="273"/>
    </row>
    <row r="898" spans="2:17" s="404" customFormat="1" ht="9.6" customHeight="1">
      <c r="B898" s="243">
        <v>36373</v>
      </c>
      <c r="C898" s="524">
        <f t="shared" si="197"/>
        <v>4849542</v>
      </c>
      <c r="D898" s="1151">
        <f t="shared" si="191"/>
        <v>8.4715451076816609E-3</v>
      </c>
      <c r="E898" s="524">
        <f>C898/3611</f>
        <v>1342.9914151204653</v>
      </c>
      <c r="F898" s="297">
        <f t="shared" si="192"/>
        <v>2.606714742890457E-3</v>
      </c>
      <c r="G898" s="300">
        <f t="shared" si="196"/>
        <v>1018450</v>
      </c>
      <c r="H898" s="297"/>
      <c r="I898" s="308">
        <v>6703</v>
      </c>
      <c r="J898" s="306">
        <f t="shared" si="198"/>
        <v>6.3124504361617761E-2</v>
      </c>
      <c r="K898" s="272"/>
      <c r="L898" s="271"/>
      <c r="M898" s="273"/>
      <c r="N898" s="272"/>
      <c r="O898" s="273"/>
      <c r="P898" s="273"/>
      <c r="Q898" s="273"/>
    </row>
    <row r="899" spans="2:17" s="404" customFormat="1" ht="9.6" customHeight="1" ph="1">
      <c r="B899" s="243">
        <v>36404</v>
      </c>
      <c r="C899" s="524">
        <f t="shared" si="197"/>
        <v>4883863</v>
      </c>
      <c r="D899" s="1151">
        <f t="shared" si="191"/>
        <v>7.0771631630368393E-3</v>
      </c>
      <c r="E899" s="524">
        <f>C899/3633</f>
        <v>1344.3058078722818</v>
      </c>
      <c r="F899" s="297">
        <f t="shared" si="192"/>
        <v>9.7870525233298899E-4</v>
      </c>
      <c r="G899" s="300">
        <f t="shared" ref="G899:G921" si="199">C798*25</f>
        <v>858025</v>
      </c>
      <c r="H899" s="297"/>
      <c r="I899" s="308">
        <v>7167</v>
      </c>
      <c r="J899" s="306">
        <f t="shared" si="198"/>
        <v>6.9222736088318665E-2</v>
      </c>
      <c r="K899" s="272"/>
      <c r="L899" s="271"/>
      <c r="M899" s="273"/>
      <c r="N899" s="272"/>
      <c r="O899" s="273"/>
      <c r="P899" s="273"/>
      <c r="Q899" s="273"/>
    </row>
    <row r="900" spans="2:17" s="404" customFormat="1" ht="9.6" customHeight="1">
      <c r="B900" s="243">
        <v>36434</v>
      </c>
      <c r="C900" s="524">
        <f t="shared" si="197"/>
        <v>4917815</v>
      </c>
      <c r="D900" s="1151">
        <f t="shared" si="191"/>
        <v>6.9518739571523607E-3</v>
      </c>
      <c r="E900" s="524">
        <f>C900/3654</f>
        <v>1345.8716475095785</v>
      </c>
      <c r="F900" s="297">
        <f t="shared" si="192"/>
        <v>1.1647942217664225E-3</v>
      </c>
      <c r="G900" s="300">
        <f t="shared" si="199"/>
        <v>848800</v>
      </c>
      <c r="H900" s="297"/>
      <c r="I900" s="308">
        <v>6754</v>
      </c>
      <c r="J900" s="306">
        <f t="shared" si="198"/>
        <v>-5.7625226733640296E-2</v>
      </c>
      <c r="K900" s="272"/>
      <c r="L900" s="271"/>
      <c r="M900" s="273"/>
      <c r="N900" s="272"/>
      <c r="O900" s="273"/>
      <c r="P900" s="273"/>
      <c r="Q900" s="273"/>
    </row>
    <row r="901" spans="2:17" s="404" customFormat="1" ht="9.6" customHeight="1">
      <c r="B901" s="243">
        <v>36465</v>
      </c>
      <c r="C901" s="524">
        <f t="shared" si="197"/>
        <v>4946764</v>
      </c>
      <c r="D901" s="1151">
        <f t="shared" si="191"/>
        <v>5.8865573430476742E-3</v>
      </c>
      <c r="E901" s="524">
        <f>C901/3674</f>
        <v>1346.4246053347849</v>
      </c>
      <c r="F901" s="297">
        <f t="shared" si="192"/>
        <v>4.108547989919234E-4</v>
      </c>
      <c r="G901" s="300">
        <f t="shared" si="199"/>
        <v>723725</v>
      </c>
      <c r="H901" s="297"/>
      <c r="I901" s="308">
        <v>7241</v>
      </c>
      <c r="J901" s="306">
        <f t="shared" si="198"/>
        <v>7.2105419010956476E-2</v>
      </c>
      <c r="K901" s="272"/>
      <c r="L901" s="271"/>
      <c r="M901" s="273"/>
      <c r="N901" s="272"/>
      <c r="O901" s="273"/>
      <c r="P901" s="273"/>
      <c r="Q901" s="273"/>
    </row>
    <row r="902" spans="2:17" s="404" customFormat="1" ht="9.6" customHeight="1">
      <c r="B902" s="243">
        <v>36495</v>
      </c>
      <c r="C902" s="524">
        <f t="shared" si="197"/>
        <v>4966675</v>
      </c>
      <c r="D902" s="1151">
        <f t="shared" si="191"/>
        <v>4.0250555716828213E-3</v>
      </c>
      <c r="E902" s="524">
        <f>C902/3696</f>
        <v>1343.7973484848485</v>
      </c>
      <c r="F902" s="297">
        <f t="shared" si="192"/>
        <v>-1.9512840448152454E-3</v>
      </c>
      <c r="G902" s="300">
        <f t="shared" si="199"/>
        <v>497775</v>
      </c>
      <c r="H902" s="297"/>
      <c r="I902" s="308">
        <v>7854</v>
      </c>
      <c r="J902" s="306">
        <f t="shared" si="198"/>
        <v>8.4656815356994888E-2</v>
      </c>
      <c r="K902" s="272"/>
      <c r="L902" s="271"/>
      <c r="M902" s="273"/>
      <c r="N902" s="272"/>
      <c r="O902" s="273"/>
      <c r="P902" s="273"/>
      <c r="Q902" s="273"/>
    </row>
    <row r="903" spans="2:17" s="404" customFormat="1" ht="9.6" customHeight="1">
      <c r="B903" s="243">
        <v>36526</v>
      </c>
      <c r="C903" s="524">
        <f t="shared" si="197"/>
        <v>4989586</v>
      </c>
      <c r="D903" s="1151">
        <f t="shared" si="191"/>
        <v>4.6129452802931535E-3</v>
      </c>
      <c r="E903" s="524">
        <f>C903/3715</f>
        <v>1343.091790040377</v>
      </c>
      <c r="F903" s="297">
        <f t="shared" si="192"/>
        <v>-5.2504824873115185E-4</v>
      </c>
      <c r="G903" s="300">
        <f t="shared" si="199"/>
        <v>572775</v>
      </c>
      <c r="H903" s="297"/>
      <c r="I903" s="308">
        <v>8125</v>
      </c>
      <c r="J903" s="306">
        <f t="shared" si="198"/>
        <v>3.450471097529921E-2</v>
      </c>
      <c r="K903" s="272"/>
      <c r="L903" s="271"/>
      <c r="M903" s="273"/>
      <c r="N903" s="272"/>
      <c r="O903" s="273"/>
      <c r="P903" s="273"/>
      <c r="Q903" s="273"/>
    </row>
    <row r="904" spans="2:17" s="404" customFormat="1" ht="9.6" customHeight="1">
      <c r="B904" s="243">
        <v>36557</v>
      </c>
      <c r="C904" s="524">
        <f t="shared" si="197"/>
        <v>5018328</v>
      </c>
      <c r="D904" s="1151">
        <f t="shared" si="191"/>
        <v>5.7603977564471285E-3</v>
      </c>
      <c r="E904" s="524">
        <f>C904/3733</f>
        <v>1344.3150281275114</v>
      </c>
      <c r="F904" s="297">
        <f t="shared" ref="F904:F921" si="200">(E904-E903)/E903</f>
        <v>9.107628355747979E-4</v>
      </c>
      <c r="G904" s="300">
        <f t="shared" si="199"/>
        <v>718550</v>
      </c>
      <c r="H904" s="297"/>
      <c r="I904" s="308">
        <v>7364</v>
      </c>
      <c r="J904" s="306">
        <f t="shared" si="198"/>
        <v>-9.3661538461538463E-2</v>
      </c>
      <c r="K904" s="272"/>
      <c r="L904" s="271"/>
      <c r="M904" s="273"/>
      <c r="N904" s="272"/>
      <c r="O904" s="273"/>
      <c r="P904" s="273"/>
      <c r="Q904" s="273"/>
    </row>
    <row r="905" spans="2:17" s="404" customFormat="1" ht="9.6" customHeight="1">
      <c r="B905" s="243">
        <v>36586</v>
      </c>
      <c r="C905" s="524">
        <f t="shared" si="197"/>
        <v>5046474</v>
      </c>
      <c r="D905" s="1151">
        <f t="shared" si="191"/>
        <v>5.6086409656762176E-3</v>
      </c>
      <c r="E905" s="524">
        <f>C905/3755</f>
        <v>1343.9344873501998</v>
      </c>
      <c r="F905" s="297">
        <f t="shared" si="200"/>
        <v>-2.8307410789094083E-4</v>
      </c>
      <c r="G905" s="300">
        <f t="shared" si="199"/>
        <v>703650</v>
      </c>
      <c r="H905" s="297"/>
      <c r="I905" s="308">
        <v>6744</v>
      </c>
      <c r="J905" s="306">
        <f t="shared" si="198"/>
        <v>-8.4193373166757193E-2</v>
      </c>
      <c r="K905" s="272"/>
      <c r="L905" s="271"/>
      <c r="M905" s="273"/>
      <c r="N905" s="272"/>
      <c r="O905" s="273"/>
      <c r="P905" s="273"/>
      <c r="Q905" s="273"/>
    </row>
    <row r="906" spans="2:17" s="404" customFormat="1" ht="9.6" customHeight="1">
      <c r="B906" s="522">
        <v>36617</v>
      </c>
      <c r="C906" s="524">
        <f t="shared" si="197"/>
        <v>5072755</v>
      </c>
      <c r="D906" s="1151">
        <f t="shared" si="191"/>
        <v>5.2077945908370876E-3</v>
      </c>
      <c r="E906" s="524">
        <f>C906/3774</f>
        <v>1344.1322204557498</v>
      </c>
      <c r="F906" s="425">
        <f t="shared" si="200"/>
        <v>1.4713001817512667E-4</v>
      </c>
      <c r="G906" s="300">
        <f t="shared" si="199"/>
        <v>657025</v>
      </c>
      <c r="H906" s="425"/>
      <c r="I906" s="428">
        <v>6687</v>
      </c>
      <c r="J906" s="306">
        <f t="shared" si="198"/>
        <v>-8.451957295373666E-3</v>
      </c>
      <c r="K906" s="272"/>
      <c r="L906" s="271"/>
      <c r="M906" s="273"/>
      <c r="N906" s="272"/>
      <c r="O906" s="273"/>
      <c r="P906" s="273"/>
      <c r="Q906" s="273"/>
    </row>
    <row r="907" spans="2:17" s="404" customFormat="1" ht="9.6" customHeight="1">
      <c r="B907" s="243">
        <v>36647</v>
      </c>
      <c r="C907" s="524">
        <f t="shared" si="197"/>
        <v>5101739</v>
      </c>
      <c r="D907" s="1151">
        <f t="shared" si="191"/>
        <v>5.7136605256906748E-3</v>
      </c>
      <c r="E907" s="524">
        <f>C907/3795</f>
        <v>1344.3317523056653</v>
      </c>
      <c r="F907" s="297">
        <f t="shared" si="200"/>
        <v>1.4844659392797486E-4</v>
      </c>
      <c r="G907" s="300">
        <f t="shared" si="199"/>
        <v>724600</v>
      </c>
      <c r="H907" s="297"/>
      <c r="I907" s="308">
        <v>7787</v>
      </c>
      <c r="J907" s="306">
        <f t="shared" si="198"/>
        <v>0.16449828024525198</v>
      </c>
      <c r="K907" s="272"/>
      <c r="L907" s="271"/>
      <c r="M907" s="273"/>
      <c r="N907" s="272"/>
      <c r="O907" s="273"/>
      <c r="P907" s="273"/>
      <c r="Q907" s="273"/>
    </row>
    <row r="908" spans="2:17" s="404" customFormat="1" ht="9.6" customHeight="1">
      <c r="B908" s="243">
        <v>36678</v>
      </c>
      <c r="C908" s="524">
        <f t="shared" si="197"/>
        <v>5123954</v>
      </c>
      <c r="D908" s="1151">
        <f t="shared" si="191"/>
        <v>4.3543975887437598E-3</v>
      </c>
      <c r="E908" s="524">
        <f>C908/3816</f>
        <v>1342.7552410901467</v>
      </c>
      <c r="F908" s="297">
        <f t="shared" si="200"/>
        <v>-1.1727099451565768E-3</v>
      </c>
      <c r="G908" s="300">
        <f t="shared" si="199"/>
        <v>555375</v>
      </c>
      <c r="H908" s="297"/>
      <c r="I908" s="308">
        <v>7351</v>
      </c>
      <c r="J908" s="306">
        <f t="shared" si="198"/>
        <v>-5.5990753820470016E-2</v>
      </c>
      <c r="K908" s="272"/>
      <c r="L908" s="271"/>
      <c r="M908" s="273"/>
      <c r="N908" s="272"/>
      <c r="O908" s="273"/>
      <c r="P908" s="273"/>
      <c r="Q908" s="273"/>
    </row>
    <row r="909" spans="2:17" s="404" customFormat="1" ht="9.6" customHeight="1">
      <c r="B909" s="243">
        <v>36708</v>
      </c>
      <c r="C909" s="524">
        <f t="shared" si="197"/>
        <v>5146019</v>
      </c>
      <c r="D909" s="1151">
        <f t="shared" si="191"/>
        <v>4.3062447477085078E-3</v>
      </c>
      <c r="E909" s="524">
        <f>C909/3837</f>
        <v>1341.1568934063071</v>
      </c>
      <c r="F909" s="297">
        <f t="shared" si="200"/>
        <v>-1.190349242310136E-3</v>
      </c>
      <c r="G909" s="300">
        <f t="shared" si="199"/>
        <v>551625</v>
      </c>
      <c r="H909" s="297"/>
      <c r="I909" s="308">
        <v>7173</v>
      </c>
      <c r="J909" s="306">
        <f t="shared" si="198"/>
        <v>-2.4214392599646306E-2</v>
      </c>
      <c r="K909" s="272"/>
      <c r="L909" s="271"/>
      <c r="M909" s="273"/>
      <c r="N909" s="272"/>
      <c r="O909" s="273"/>
      <c r="P909" s="273"/>
      <c r="Q909" s="273"/>
    </row>
    <row r="910" spans="2:17" s="404" customFormat="1" ht="9.6" customHeight="1">
      <c r="B910" s="243">
        <v>36739</v>
      </c>
      <c r="C910" s="524">
        <f t="shared" si="197"/>
        <v>5169953</v>
      </c>
      <c r="D910" s="1151">
        <f t="shared" si="191"/>
        <v>4.6509738887477873E-3</v>
      </c>
      <c r="E910" s="524">
        <f>C910/3859</f>
        <v>1339.7131381186837</v>
      </c>
      <c r="F910" s="297">
        <f t="shared" si="200"/>
        <v>-1.0764999193766959E-3</v>
      </c>
      <c r="G910" s="300">
        <f t="shared" si="199"/>
        <v>598350</v>
      </c>
      <c r="H910" s="297"/>
      <c r="I910" s="308">
        <v>7513</v>
      </c>
      <c r="J910" s="306">
        <f t="shared" si="198"/>
        <v>4.7399972117663461E-2</v>
      </c>
      <c r="K910" s="272"/>
      <c r="L910" s="271"/>
      <c r="M910" s="273"/>
      <c r="N910" s="272"/>
      <c r="O910" s="273"/>
      <c r="P910" s="273"/>
      <c r="Q910" s="273"/>
    </row>
    <row r="911" spans="2:17" s="404" customFormat="1" ht="9.6" customHeight="1">
      <c r="B911" s="243">
        <v>36770</v>
      </c>
      <c r="C911" s="524">
        <f t="shared" si="197"/>
        <v>5193585</v>
      </c>
      <c r="D911" s="1151">
        <f t="shared" si="191"/>
        <v>4.5710280151483006E-3</v>
      </c>
      <c r="E911" s="524">
        <f>C911/3880</f>
        <v>1338.5528350515465</v>
      </c>
      <c r="F911" s="297">
        <f t="shared" si="200"/>
        <v>-8.6608321895429721E-4</v>
      </c>
      <c r="G911" s="300">
        <f t="shared" si="199"/>
        <v>590800</v>
      </c>
      <c r="H911" s="297"/>
      <c r="I911" s="308">
        <v>6278</v>
      </c>
      <c r="J911" s="306">
        <f t="shared" si="198"/>
        <v>-0.16438173832024491</v>
      </c>
      <c r="K911" s="272"/>
      <c r="L911" s="271"/>
      <c r="M911" s="273"/>
      <c r="N911" s="272"/>
      <c r="O911" s="273"/>
      <c r="P911" s="273"/>
      <c r="Q911" s="273"/>
    </row>
    <row r="912" spans="2:17" s="404" customFormat="1" ht="9.6" customHeight="1">
      <c r="B912" s="243">
        <v>36800</v>
      </c>
      <c r="C912" s="524">
        <f t="shared" si="197"/>
        <v>5225418</v>
      </c>
      <c r="D912" s="1151">
        <f t="shared" si="191"/>
        <v>6.1292921941202465E-3</v>
      </c>
      <c r="E912" s="524">
        <f>C912/3901</f>
        <v>1339.5073058190208</v>
      </c>
      <c r="F912" s="297">
        <f t="shared" si="200"/>
        <v>7.1306170550788971E-4</v>
      </c>
      <c r="G912" s="300">
        <f t="shared" si="199"/>
        <v>795825</v>
      </c>
      <c r="H912" s="297"/>
      <c r="I912" s="308">
        <v>8506</v>
      </c>
      <c r="J912" s="306">
        <f t="shared" si="198"/>
        <v>0.35489009238611025</v>
      </c>
      <c r="K912" s="272"/>
      <c r="L912" s="271"/>
      <c r="M912" s="273"/>
      <c r="N912" s="272"/>
      <c r="O912" s="273"/>
      <c r="P912" s="273"/>
      <c r="Q912" s="273"/>
    </row>
    <row r="913" spans="2:17" s="404" customFormat="1" ht="9.6" customHeight="1">
      <c r="B913" s="243">
        <v>36831</v>
      </c>
      <c r="C913" s="524">
        <f t="shared" si="197"/>
        <v>5252355</v>
      </c>
      <c r="D913" s="1151">
        <f t="shared" si="191"/>
        <v>5.1549942990206715E-3</v>
      </c>
      <c r="E913" s="524">
        <f>C913/3923</f>
        <v>1338.8618404282438</v>
      </c>
      <c r="F913" s="297">
        <f t="shared" si="200"/>
        <v>-4.8186776434362396E-4</v>
      </c>
      <c r="G913" s="300">
        <f t="shared" si="199"/>
        <v>673425</v>
      </c>
      <c r="H913" s="297"/>
      <c r="I913" s="308">
        <v>10700</v>
      </c>
      <c r="J913" s="306">
        <f t="shared" si="198"/>
        <v>0.25793557488831415</v>
      </c>
      <c r="K913" s="272"/>
      <c r="L913" s="271"/>
      <c r="M913" s="273"/>
      <c r="N913" s="272"/>
      <c r="O913" s="273"/>
      <c r="P913" s="273"/>
      <c r="Q913" s="273"/>
    </row>
    <row r="914" spans="2:17" s="404" customFormat="1" ht="9.6" customHeight="1">
      <c r="B914" s="243">
        <v>36861</v>
      </c>
      <c r="C914" s="524">
        <f t="shared" si="197"/>
        <v>5275297</v>
      </c>
      <c r="D914" s="1151">
        <f t="shared" si="191"/>
        <v>4.3679454263849263E-3</v>
      </c>
      <c r="E914" s="524">
        <f>C914/3939</f>
        <v>1339.2477786240163</v>
      </c>
      <c r="F914" s="297">
        <f t="shared" si="200"/>
        <v>2.8825841779839766E-4</v>
      </c>
      <c r="G914" s="300">
        <f t="shared" si="199"/>
        <v>573550</v>
      </c>
      <c r="H914" s="297"/>
      <c r="I914" s="308">
        <v>10513</v>
      </c>
      <c r="J914" s="306">
        <f t="shared" si="198"/>
        <v>-1.7476635514018693E-2</v>
      </c>
      <c r="K914" s="272"/>
      <c r="L914" s="271"/>
      <c r="M914" s="273"/>
      <c r="N914" s="272"/>
      <c r="O914" s="273"/>
      <c r="P914" s="273"/>
      <c r="Q914" s="273"/>
    </row>
    <row r="915" spans="2:17" s="404" customFormat="1" ht="9.6" customHeight="1">
      <c r="B915" s="243">
        <v>36892</v>
      </c>
      <c r="C915" s="524">
        <f t="shared" si="197"/>
        <v>5305023</v>
      </c>
      <c r="D915" s="1151">
        <f t="shared" si="191"/>
        <v>5.6349433974997049E-3</v>
      </c>
      <c r="E915" s="524">
        <f>C915/3958</f>
        <v>1340.3292066700353</v>
      </c>
      <c r="F915" s="297">
        <f t="shared" si="200"/>
        <v>8.0748914672841153E-4</v>
      </c>
      <c r="G915" s="300">
        <f t="shared" si="199"/>
        <v>743150</v>
      </c>
      <c r="H915" s="297"/>
      <c r="I915" s="308">
        <v>11273</v>
      </c>
      <c r="J915" s="306">
        <f t="shared" si="198"/>
        <v>7.229144868258347E-2</v>
      </c>
      <c r="K915" s="272"/>
      <c r="L915" s="271"/>
      <c r="M915" s="273"/>
      <c r="N915" s="272"/>
      <c r="O915" s="273"/>
      <c r="P915" s="273"/>
      <c r="Q915" s="273"/>
    </row>
    <row r="916" spans="2:17" s="404" customFormat="1" ht="9.6" customHeight="1">
      <c r="B916" s="243">
        <v>36924</v>
      </c>
      <c r="C916" s="524">
        <f t="shared" si="197"/>
        <v>5342099</v>
      </c>
      <c r="D916" s="1151">
        <f t="shared" si="191"/>
        <v>6.9888481162098635E-3</v>
      </c>
      <c r="E916" s="524">
        <f>C916/3977</f>
        <v>1343.2484284636662</v>
      </c>
      <c r="F916" s="297">
        <f t="shared" si="200"/>
        <v>2.1779886457025683E-3</v>
      </c>
      <c r="G916" s="300">
        <f t="shared" si="199"/>
        <v>926900</v>
      </c>
      <c r="H916" s="297"/>
      <c r="I916" s="308">
        <v>10003</v>
      </c>
      <c r="J916" s="306">
        <f t="shared" si="198"/>
        <v>-0.11265856471214405</v>
      </c>
      <c r="K916" s="272"/>
      <c r="L916" s="271"/>
      <c r="M916" s="273"/>
      <c r="N916" s="272"/>
      <c r="O916" s="273"/>
      <c r="P916" s="273"/>
      <c r="Q916" s="273"/>
    </row>
    <row r="917" spans="2:17" s="404" customFormat="1" ht="9.6" customHeight="1">
      <c r="B917" s="243">
        <v>36952</v>
      </c>
      <c r="C917" s="524">
        <f t="shared" si="197"/>
        <v>5386243</v>
      </c>
      <c r="D917" s="1151">
        <f t="shared" si="191"/>
        <v>8.263418555140966E-3</v>
      </c>
      <c r="E917" s="524">
        <f>C917/3997</f>
        <v>1347.5714285714287</v>
      </c>
      <c r="F917" s="297">
        <f t="shared" si="200"/>
        <v>3.2183176366764057E-3</v>
      </c>
      <c r="G917" s="300">
        <f t="shared" si="199"/>
        <v>1103600</v>
      </c>
      <c r="H917" s="297"/>
      <c r="I917" s="308">
        <v>11312</v>
      </c>
      <c r="J917" s="306">
        <f t="shared" si="198"/>
        <v>0.13086074177746676</v>
      </c>
      <c r="K917" s="272"/>
      <c r="L917" s="271"/>
      <c r="M917" s="273"/>
      <c r="N917" s="272"/>
      <c r="O917" s="273"/>
      <c r="P917" s="273"/>
      <c r="Q917" s="273"/>
    </row>
    <row r="918" spans="2:17" s="404" customFormat="1" ht="9.6" customHeight="1">
      <c r="B918" s="243">
        <v>36982</v>
      </c>
      <c r="C918" s="524">
        <f t="shared" si="197"/>
        <v>5419854</v>
      </c>
      <c r="D918" s="1151">
        <f t="shared" ref="D918:D923" si="201">(C918-C917)/C917</f>
        <v>6.240156636081959E-3</v>
      </c>
      <c r="E918" s="524">
        <f>C918/4018</f>
        <v>1348.8934793429567</v>
      </c>
      <c r="F918" s="297">
        <f t="shared" si="200"/>
        <v>9.8106174077132241E-4</v>
      </c>
      <c r="G918" s="300">
        <f t="shared" si="199"/>
        <v>840275</v>
      </c>
      <c r="H918" s="297"/>
      <c r="I918" s="308">
        <v>9254</v>
      </c>
      <c r="J918" s="306">
        <f t="shared" si="198"/>
        <v>-0.18193069306930693</v>
      </c>
      <c r="K918" s="272"/>
      <c r="L918" s="271"/>
      <c r="M918" s="273"/>
      <c r="N918" s="272"/>
      <c r="O918" s="273"/>
      <c r="P918" s="273"/>
      <c r="Q918" s="273"/>
    </row>
    <row r="919" spans="2:17" s="404" customFormat="1" ht="9.6" customHeight="1">
      <c r="B919" s="243">
        <v>37012</v>
      </c>
      <c r="C919" s="524">
        <f t="shared" si="197"/>
        <v>5444854</v>
      </c>
      <c r="D919" s="1151">
        <f t="shared" si="201"/>
        <v>4.6126703782057594E-3</v>
      </c>
      <c r="E919" s="524">
        <f>C919/4039</f>
        <v>1348.0698192621935</v>
      </c>
      <c r="F919" s="297">
        <f t="shared" si="200"/>
        <v>-6.1061906916797524E-4</v>
      </c>
      <c r="G919" s="300">
        <f t="shared" si="199"/>
        <v>625000</v>
      </c>
      <c r="H919" s="297"/>
      <c r="I919" s="308">
        <v>8240</v>
      </c>
      <c r="J919" s="306">
        <f t="shared" si="198"/>
        <v>-0.10957423816727901</v>
      </c>
      <c r="K919" s="272"/>
      <c r="L919" s="271"/>
      <c r="M919" s="273"/>
      <c r="N919" s="272"/>
      <c r="O919" s="273"/>
      <c r="P919" s="273"/>
      <c r="Q919" s="273"/>
    </row>
    <row r="920" spans="2:17" s="404" customFormat="1" ht="9.6" customHeight="1">
      <c r="B920" s="243">
        <v>37043</v>
      </c>
      <c r="C920" s="524">
        <f t="shared" ref="C920:C950" si="202">C919+C819</f>
        <v>5470279</v>
      </c>
      <c r="D920" s="1151">
        <f t="shared" si="201"/>
        <v>4.6695466949159704E-3</v>
      </c>
      <c r="E920" s="524">
        <f>C920/4059</f>
        <v>1347.691303276669</v>
      </c>
      <c r="F920" s="297">
        <f t="shared" si="200"/>
        <v>-2.8078366573894287E-4</v>
      </c>
      <c r="G920" s="300">
        <f t="shared" si="199"/>
        <v>635625</v>
      </c>
      <c r="H920" s="297"/>
      <c r="I920" s="308">
        <v>9845</v>
      </c>
      <c r="J920" s="306">
        <f t="shared" si="198"/>
        <v>0.19478155339805825</v>
      </c>
      <c r="K920" s="272"/>
      <c r="L920" s="271"/>
      <c r="M920" s="273"/>
      <c r="N920" s="272"/>
      <c r="O920" s="273"/>
      <c r="P920" s="273"/>
      <c r="Q920" s="273"/>
    </row>
    <row r="921" spans="2:17" s="404" customFormat="1" ht="9.6" customHeight="1">
      <c r="B921" s="582">
        <v>37073</v>
      </c>
      <c r="C921" s="564">
        <f t="shared" si="202"/>
        <v>5526209</v>
      </c>
      <c r="D921" s="1152">
        <f t="shared" si="201"/>
        <v>1.0224341390996693E-2</v>
      </c>
      <c r="E921" s="564">
        <f>C921/4081</f>
        <v>1354.1310953197747</v>
      </c>
      <c r="F921" s="424">
        <f t="shared" si="200"/>
        <v>4.77838806813432E-3</v>
      </c>
      <c r="G921" s="565">
        <f t="shared" si="199"/>
        <v>1398250</v>
      </c>
      <c r="H921" s="572"/>
      <c r="I921" s="576">
        <v>11263</v>
      </c>
      <c r="J921" s="568">
        <f t="shared" si="198"/>
        <v>0.14403250380904012</v>
      </c>
      <c r="K921" s="272"/>
      <c r="L921" s="271"/>
      <c r="M921" s="273"/>
      <c r="N921" s="272"/>
      <c r="O921" s="273"/>
      <c r="P921" s="273"/>
      <c r="Q921" s="273"/>
    </row>
    <row r="922" spans="2:17" s="404" customFormat="1" ht="9.6" customHeight="1">
      <c r="B922" s="257">
        <v>37104</v>
      </c>
      <c r="C922" s="564">
        <f t="shared" si="202"/>
        <v>5581484</v>
      </c>
      <c r="D922" s="1152">
        <f t="shared" si="201"/>
        <v>1.0002336140381226E-2</v>
      </c>
      <c r="E922" s="564">
        <f>C922/4103</f>
        <v>1360.3421886424567</v>
      </c>
      <c r="F922" s="424">
        <f t="shared" ref="F922:F927" si="203">(E922-E921)/E921</f>
        <v>4.5867740163040007E-3</v>
      </c>
      <c r="G922" s="565">
        <f t="shared" ref="G922:G927" si="204">C821*25</f>
        <v>1381875</v>
      </c>
      <c r="H922" s="424"/>
      <c r="I922" s="310">
        <v>11980</v>
      </c>
      <c r="J922" s="568">
        <f t="shared" ref="J922:J927" si="205">(I922-I921)/I921</f>
        <v>6.3659770931368195E-2</v>
      </c>
      <c r="K922" s="272"/>
      <c r="L922" s="271"/>
      <c r="M922" s="273"/>
      <c r="N922" s="272"/>
      <c r="O922" s="273"/>
      <c r="P922" s="273"/>
      <c r="Q922" s="273"/>
    </row>
    <row r="923" spans="2:17" s="404" customFormat="1" ht="9.6" customHeight="1">
      <c r="B923" s="257">
        <v>37135</v>
      </c>
      <c r="C923" s="564">
        <f t="shared" si="202"/>
        <v>5622690</v>
      </c>
      <c r="D923" s="1152">
        <f t="shared" si="201"/>
        <v>7.3826244059823519E-3</v>
      </c>
      <c r="E923" s="564">
        <f>C923/4122</f>
        <v>1364.0684133915574</v>
      </c>
      <c r="F923" s="424">
        <f t="shared" si="203"/>
        <v>2.7391819354065051E-3</v>
      </c>
      <c r="G923" s="565">
        <f t="shared" si="204"/>
        <v>1030150</v>
      </c>
      <c r="H923" s="424"/>
      <c r="I923" s="310">
        <v>13453</v>
      </c>
      <c r="J923" s="568">
        <f t="shared" si="205"/>
        <v>0.12295492487479132</v>
      </c>
      <c r="K923" s="272"/>
      <c r="L923" s="271"/>
      <c r="M923" s="273"/>
      <c r="N923" s="272"/>
      <c r="O923" s="273"/>
      <c r="P923" s="273"/>
      <c r="Q923" s="273"/>
    </row>
    <row r="924" spans="2:17" s="404" customFormat="1" ht="9.6" customHeight="1">
      <c r="B924" s="257">
        <v>37165</v>
      </c>
      <c r="C924" s="564">
        <f t="shared" si="202"/>
        <v>5676281</v>
      </c>
      <c r="D924" s="1152">
        <f t="shared" ref="D924:D929" si="206">(C924-C923)/C923</f>
        <v>9.5312030362691164E-3</v>
      </c>
      <c r="E924" s="564">
        <f>C924/4145</f>
        <v>1369.4284680337757</v>
      </c>
      <c r="F924" s="424">
        <f t="shared" si="203"/>
        <v>3.929461740772449E-3</v>
      </c>
      <c r="G924" s="565">
        <f t="shared" si="204"/>
        <v>1339775</v>
      </c>
      <c r="H924" s="424"/>
      <c r="I924" s="310">
        <v>13437</v>
      </c>
      <c r="J924" s="568">
        <f t="shared" si="205"/>
        <v>-1.1893258009365941E-3</v>
      </c>
      <c r="K924" s="272"/>
      <c r="L924" s="271"/>
      <c r="M924" s="273"/>
      <c r="N924" s="272"/>
      <c r="O924" s="273"/>
      <c r="P924" s="273"/>
      <c r="Q924" s="273"/>
    </row>
    <row r="925" spans="2:17" s="404" customFormat="1" ht="9.6" customHeight="1">
      <c r="B925" s="243">
        <v>37196</v>
      </c>
      <c r="C925" s="524">
        <f t="shared" si="202"/>
        <v>5730892</v>
      </c>
      <c r="D925" s="1151">
        <f t="shared" si="206"/>
        <v>9.6209120020661412E-3</v>
      </c>
      <c r="E925" s="524">
        <f>C925/4165</f>
        <v>1375.9644657863146</v>
      </c>
      <c r="F925" s="297">
        <f t="shared" si="203"/>
        <v>4.772792376605996E-3</v>
      </c>
      <c r="G925" s="300">
        <f t="shared" si="204"/>
        <v>1365275</v>
      </c>
      <c r="H925" s="297"/>
      <c r="I925" s="308">
        <v>12720</v>
      </c>
      <c r="J925" s="306">
        <f t="shared" si="205"/>
        <v>-5.3360125027908017E-2</v>
      </c>
      <c r="K925" s="272"/>
      <c r="L925" s="271"/>
      <c r="M925" s="273"/>
      <c r="N925" s="272"/>
      <c r="O925" s="273"/>
      <c r="P925" s="273"/>
      <c r="Q925" s="273"/>
    </row>
    <row r="926" spans="2:17" s="404" customFormat="1" ht="9.6" customHeight="1">
      <c r="B926" s="257">
        <v>37226</v>
      </c>
      <c r="C926" s="564">
        <f t="shared" si="202"/>
        <v>5755096</v>
      </c>
      <c r="D926" s="1152">
        <f t="shared" si="206"/>
        <v>4.2234263008271659E-3</v>
      </c>
      <c r="E926" s="564">
        <f>C926/4182</f>
        <v>1376.1587757054042</v>
      </c>
      <c r="F926" s="424">
        <f t="shared" si="203"/>
        <v>1.4121725082382703E-4</v>
      </c>
      <c r="G926" s="565">
        <f t="shared" si="204"/>
        <v>605100</v>
      </c>
      <c r="H926" s="424"/>
      <c r="I926" s="310">
        <v>10573</v>
      </c>
      <c r="J926" s="568">
        <f t="shared" si="205"/>
        <v>-0.16878930817610063</v>
      </c>
      <c r="K926" s="272"/>
      <c r="L926" s="271"/>
      <c r="M926" s="273"/>
      <c r="N926" s="272"/>
      <c r="O926" s="273"/>
      <c r="P926" s="273"/>
      <c r="Q926" s="273"/>
    </row>
    <row r="927" spans="2:17" s="404" customFormat="1" ht="9.6" customHeight="1">
      <c r="B927" s="257">
        <v>37257</v>
      </c>
      <c r="C927" s="564">
        <f t="shared" si="202"/>
        <v>5822723</v>
      </c>
      <c r="D927" s="1152">
        <f t="shared" si="206"/>
        <v>1.1750803114318163E-2</v>
      </c>
      <c r="E927" s="564">
        <f>C927/4204</f>
        <v>1385.0435299714557</v>
      </c>
      <c r="F927" s="424">
        <f t="shared" si="203"/>
        <v>6.4561985309414824E-3</v>
      </c>
      <c r="G927" s="565">
        <f t="shared" si="204"/>
        <v>1690675</v>
      </c>
      <c r="H927" s="424"/>
      <c r="I927" s="310">
        <v>10586</v>
      </c>
      <c r="J927" s="568">
        <f t="shared" si="205"/>
        <v>1.2295469592357893E-3</v>
      </c>
      <c r="K927" s="272"/>
      <c r="L927" s="271"/>
      <c r="M927" s="273"/>
      <c r="N927" s="272"/>
      <c r="O927" s="273"/>
      <c r="P927" s="273"/>
      <c r="Q927" s="273"/>
    </row>
    <row r="928" spans="2:17" s="404" customFormat="1" ht="9.6" customHeight="1">
      <c r="B928" s="257">
        <v>37288</v>
      </c>
      <c r="C928" s="564">
        <f t="shared" si="202"/>
        <v>5862112</v>
      </c>
      <c r="D928" s="1152">
        <f t="shared" si="206"/>
        <v>6.7647044175036322E-3</v>
      </c>
      <c r="E928" s="564">
        <f>C928/4220</f>
        <v>1389.126066350711</v>
      </c>
      <c r="F928" s="424">
        <f t="shared" ref="F928:F933" si="207">(E928-E927)/E927</f>
        <v>2.9475870547833634E-3</v>
      </c>
      <c r="G928" s="565">
        <f t="shared" ref="G928:G933" si="208">C827*25</f>
        <v>984725</v>
      </c>
      <c r="H928" s="424"/>
      <c r="I928" s="310">
        <v>8876</v>
      </c>
      <c r="J928" s="568">
        <f t="shared" ref="J928:J933" si="209">(I928-I927)/I927</f>
        <v>-0.16153410164368034</v>
      </c>
      <c r="K928" s="272"/>
      <c r="L928" s="271"/>
      <c r="M928" s="273"/>
      <c r="N928" s="272"/>
      <c r="O928" s="273"/>
      <c r="P928" s="273"/>
      <c r="Q928" s="273"/>
    </row>
    <row r="929" spans="2:17" s="404" customFormat="1" ht="9.6" customHeight="1">
      <c r="B929" s="257">
        <v>37316</v>
      </c>
      <c r="C929" s="564">
        <f t="shared" si="202"/>
        <v>5906304</v>
      </c>
      <c r="D929" s="1152">
        <f t="shared" si="206"/>
        <v>7.5385799520718815E-3</v>
      </c>
      <c r="E929" s="564">
        <f>C929/4240</f>
        <v>1392.9962264150943</v>
      </c>
      <c r="F929" s="424">
        <f t="shared" si="207"/>
        <v>2.7860394805997429E-3</v>
      </c>
      <c r="G929" s="565">
        <f t="shared" si="208"/>
        <v>1104800</v>
      </c>
      <c r="H929" s="424"/>
      <c r="I929" s="310">
        <v>10523</v>
      </c>
      <c r="J929" s="568">
        <f t="shared" si="209"/>
        <v>0.1855565570076611</v>
      </c>
      <c r="K929" s="272"/>
      <c r="L929" s="271"/>
      <c r="M929" s="273"/>
      <c r="N929" s="272"/>
      <c r="O929" s="273"/>
      <c r="P929" s="273"/>
      <c r="Q929" s="273"/>
    </row>
    <row r="930" spans="2:17" s="404" customFormat="1" ht="9.6" customHeight="1">
      <c r="B930" s="257">
        <v>37347</v>
      </c>
      <c r="C930" s="564">
        <f t="shared" si="202"/>
        <v>5948554</v>
      </c>
      <c r="D930" s="1152">
        <f t="shared" ref="D930:D935" si="210">(C930-C929)/C929</f>
        <v>7.1533737511648571E-3</v>
      </c>
      <c r="E930" s="564">
        <f>C930/4261</f>
        <v>1396.0464679652664</v>
      </c>
      <c r="F930" s="424">
        <f t="shared" si="207"/>
        <v>2.1896983583523364E-3</v>
      </c>
      <c r="G930" s="565">
        <f t="shared" si="208"/>
        <v>1056250</v>
      </c>
      <c r="H930" s="424"/>
      <c r="I930" s="310">
        <v>11485</v>
      </c>
      <c r="J930" s="568">
        <f t="shared" si="209"/>
        <v>9.1418796921030124E-2</v>
      </c>
      <c r="K930" s="272"/>
      <c r="L930" s="271"/>
      <c r="M930" s="273"/>
      <c r="N930" s="272"/>
      <c r="O930" s="273"/>
      <c r="P930" s="273"/>
      <c r="Q930" s="273"/>
    </row>
    <row r="931" spans="2:17" s="404" customFormat="1" ht="9.6" customHeight="1" ph="1">
      <c r="B931" s="257">
        <v>37377</v>
      </c>
      <c r="C931" s="564">
        <f t="shared" si="202"/>
        <v>6013612</v>
      </c>
      <c r="D931" s="1152">
        <f t="shared" si="210"/>
        <v>1.0936775559236748E-2</v>
      </c>
      <c r="E931" s="564">
        <f>C931/4282</f>
        <v>1404.3932741709482</v>
      </c>
      <c r="F931" s="424">
        <f t="shared" si="207"/>
        <v>5.9788885235655745E-3</v>
      </c>
      <c r="G931" s="565">
        <f t="shared" si="208"/>
        <v>1626450</v>
      </c>
      <c r="H931" s="424"/>
      <c r="I931" s="310">
        <v>13334</v>
      </c>
      <c r="J931" s="568">
        <f t="shared" si="209"/>
        <v>0.16099259904222898</v>
      </c>
      <c r="K931" s="272"/>
      <c r="L931" s="271"/>
      <c r="M931" s="273"/>
      <c r="N931" s="272"/>
      <c r="O931" s="273"/>
      <c r="P931" s="273"/>
      <c r="Q931" s="273"/>
    </row>
    <row r="932" spans="2:17" s="404" customFormat="1" ht="9.6" customHeight="1">
      <c r="B932" s="257">
        <v>37408</v>
      </c>
      <c r="C932" s="564">
        <f t="shared" si="202"/>
        <v>6106806</v>
      </c>
      <c r="D932" s="1152">
        <f t="shared" si="210"/>
        <v>1.5497175408057586E-2</v>
      </c>
      <c r="E932" s="564">
        <f>C932/4302</f>
        <v>1419.5271966527196</v>
      </c>
      <c r="F932" s="424">
        <f t="shared" si="207"/>
        <v>1.0776128567480749E-2</v>
      </c>
      <c r="G932" s="565">
        <f t="shared" si="208"/>
        <v>2329850</v>
      </c>
      <c r="H932" s="424"/>
      <c r="I932" s="310">
        <v>17190</v>
      </c>
      <c r="J932" s="568">
        <f t="shared" si="209"/>
        <v>0.28918554072296387</v>
      </c>
      <c r="K932" s="272"/>
      <c r="L932" s="271"/>
      <c r="M932" s="273"/>
      <c r="N932" s="272"/>
      <c r="O932" s="273"/>
      <c r="P932" s="273"/>
      <c r="Q932" s="273"/>
    </row>
    <row r="933" spans="2:17" s="404" customFormat="1" ht="9.6" customHeight="1">
      <c r="B933" s="257">
        <v>37438</v>
      </c>
      <c r="C933" s="564">
        <f t="shared" si="202"/>
        <v>6209005</v>
      </c>
      <c r="D933" s="1152">
        <f t="shared" si="210"/>
        <v>1.6735262263120852E-2</v>
      </c>
      <c r="E933" s="564">
        <f>C933/4325</f>
        <v>1435.6080924855492</v>
      </c>
      <c r="F933" s="424">
        <f t="shared" si="207"/>
        <v>1.132834641755983E-2</v>
      </c>
      <c r="G933" s="565">
        <f t="shared" si="208"/>
        <v>2554975</v>
      </c>
      <c r="H933" s="424"/>
      <c r="I933" s="310">
        <v>11192</v>
      </c>
      <c r="J933" s="568">
        <f t="shared" si="209"/>
        <v>-0.34892379290285047</v>
      </c>
      <c r="K933" s="272"/>
      <c r="L933" s="271"/>
      <c r="M933" s="273"/>
      <c r="N933" s="272"/>
      <c r="O933" s="273"/>
      <c r="P933" s="273"/>
      <c r="Q933" s="273"/>
    </row>
    <row r="934" spans="2:17" s="404" customFormat="1" ht="9.6" customHeight="1">
      <c r="B934" s="257">
        <v>37469</v>
      </c>
      <c r="C934" s="564">
        <f t="shared" si="202"/>
        <v>6288585</v>
      </c>
      <c r="D934" s="1152">
        <f t="shared" si="210"/>
        <v>1.2816868403230468E-2</v>
      </c>
      <c r="E934" s="564">
        <f>C934/4347</f>
        <v>1446.6494133885437</v>
      </c>
      <c r="F934" s="424">
        <f t="shared" ref="F934:F939" si="211">(E934-E933)/E933</f>
        <v>7.6910411419304024E-3</v>
      </c>
      <c r="G934" s="565">
        <f t="shared" ref="G934:G939" si="212">C833*25</f>
        <v>1989500</v>
      </c>
      <c r="H934" s="424"/>
      <c r="I934" s="310">
        <v>14640</v>
      </c>
      <c r="J934" s="568">
        <f t="shared" ref="J934:J939" si="213">(I934-I933)/I933</f>
        <v>0.30807719799857042</v>
      </c>
      <c r="K934" s="272"/>
      <c r="L934" s="271"/>
      <c r="M934" s="273"/>
      <c r="N934" s="272"/>
      <c r="O934" s="273"/>
      <c r="P934" s="273"/>
      <c r="Q934" s="273"/>
    </row>
    <row r="935" spans="2:17" s="404" customFormat="1" ht="9.6" customHeight="1">
      <c r="B935" s="257">
        <v>37500</v>
      </c>
      <c r="C935" s="564">
        <f t="shared" si="202"/>
        <v>6372073</v>
      </c>
      <c r="D935" s="1152">
        <f t="shared" si="210"/>
        <v>1.3276118554491989E-2</v>
      </c>
      <c r="E935" s="564">
        <f>C935/4368</f>
        <v>1458.8079212454213</v>
      </c>
      <c r="F935" s="424">
        <f t="shared" si="211"/>
        <v>8.4045987537493452E-3</v>
      </c>
      <c r="G935" s="565">
        <f t="shared" si="212"/>
        <v>2087200</v>
      </c>
      <c r="H935" s="424"/>
      <c r="I935" s="310">
        <v>18036</v>
      </c>
      <c r="J935" s="568">
        <f t="shared" si="213"/>
        <v>0.2319672131147541</v>
      </c>
      <c r="K935" s="272"/>
      <c r="L935" s="271"/>
      <c r="M935" s="273"/>
      <c r="N935" s="272"/>
      <c r="O935" s="273"/>
      <c r="P935" s="273"/>
      <c r="Q935" s="273"/>
    </row>
    <row r="936" spans="2:17" s="404" customFormat="1" ht="9.6" customHeight="1">
      <c r="B936" s="257">
        <v>37530</v>
      </c>
      <c r="C936" s="564">
        <f t="shared" si="202"/>
        <v>6476396</v>
      </c>
      <c r="D936" s="1152">
        <f t="shared" ref="D936:D941" si="214">(C936-C935)/C935</f>
        <v>1.6371909110269138E-2</v>
      </c>
      <c r="E936" s="564">
        <f>C936/4391</f>
        <v>1474.9250740150308</v>
      </c>
      <c r="F936" s="424">
        <f t="shared" si="211"/>
        <v>1.1048166475439635E-2</v>
      </c>
      <c r="G936" s="565">
        <f t="shared" si="212"/>
        <v>2608075</v>
      </c>
      <c r="H936" s="424"/>
      <c r="I936" s="310">
        <v>16908</v>
      </c>
      <c r="J936" s="568">
        <f t="shared" si="213"/>
        <v>-6.2541583499667333E-2</v>
      </c>
      <c r="K936" s="272"/>
      <c r="L936" s="271"/>
      <c r="M936" s="273"/>
      <c r="N936" s="272"/>
      <c r="O936" s="273"/>
      <c r="P936" s="273"/>
      <c r="Q936" s="273"/>
    </row>
    <row r="937" spans="2:17" s="404" customFormat="1" ht="9.6" customHeight="1">
      <c r="B937" s="257">
        <v>37561</v>
      </c>
      <c r="C937" s="564">
        <f t="shared" si="202"/>
        <v>6571228</v>
      </c>
      <c r="D937" s="1152">
        <f t="shared" si="214"/>
        <v>1.4642711779823223E-2</v>
      </c>
      <c r="E937" s="564">
        <f>C937/4411</f>
        <v>1489.7365676717297</v>
      </c>
      <c r="F937" s="424">
        <f t="shared" si="211"/>
        <v>1.0042200731172899E-2</v>
      </c>
      <c r="G937" s="565">
        <f t="shared" si="212"/>
        <v>2370800</v>
      </c>
      <c r="H937" s="424"/>
      <c r="I937" s="310">
        <v>20584</v>
      </c>
      <c r="J937" s="568">
        <f t="shared" si="213"/>
        <v>0.21741187603501302</v>
      </c>
      <c r="K937" s="272"/>
      <c r="L937" s="271"/>
      <c r="M937" s="273"/>
      <c r="N937" s="272"/>
      <c r="O937" s="273"/>
      <c r="P937" s="273"/>
      <c r="Q937" s="273"/>
    </row>
    <row r="938" spans="2:17" s="404" customFormat="1" ht="9.6" customHeight="1">
      <c r="B938" s="257">
        <v>37591</v>
      </c>
      <c r="C938" s="564">
        <f t="shared" si="202"/>
        <v>6664169</v>
      </c>
      <c r="D938" s="1152">
        <f t="shared" si="214"/>
        <v>1.4143627340277951E-2</v>
      </c>
      <c r="E938" s="564">
        <f>C938/4430</f>
        <v>1504.3270880361174</v>
      </c>
      <c r="F938" s="424">
        <f t="shared" si="211"/>
        <v>9.7940271327237403E-3</v>
      </c>
      <c r="G938" s="565">
        <f t="shared" si="212"/>
        <v>2323525</v>
      </c>
      <c r="H938" s="424"/>
      <c r="I938" s="310">
        <v>17280</v>
      </c>
      <c r="J938" s="568">
        <f t="shared" si="213"/>
        <v>-0.16051301982122038</v>
      </c>
      <c r="K938" s="272"/>
      <c r="L938" s="271"/>
      <c r="M938" s="273"/>
      <c r="N938" s="272"/>
      <c r="O938" s="273"/>
      <c r="P938" s="273"/>
      <c r="Q938" s="273"/>
    </row>
    <row r="939" spans="2:17" s="404" customFormat="1" ht="9.6" customHeight="1">
      <c r="B939" s="257">
        <v>37622</v>
      </c>
      <c r="C939" s="564">
        <f t="shared" si="202"/>
        <v>6775913</v>
      </c>
      <c r="D939" s="1152">
        <f t="shared" si="214"/>
        <v>1.6767882087023903E-2</v>
      </c>
      <c r="E939" s="564">
        <f>C939/4451</f>
        <v>1522.3349809031679</v>
      </c>
      <c r="F939" s="424">
        <f t="shared" si="211"/>
        <v>1.1970729644016178E-2</v>
      </c>
      <c r="G939" s="565">
        <f t="shared" si="212"/>
        <v>2793600</v>
      </c>
      <c r="H939" s="424"/>
      <c r="I939" s="310">
        <v>19594</v>
      </c>
      <c r="J939" s="568">
        <f t="shared" si="213"/>
        <v>0.13391203703703702</v>
      </c>
      <c r="K939" s="272"/>
      <c r="L939" s="271"/>
      <c r="M939" s="273"/>
      <c r="N939" s="272"/>
      <c r="O939" s="273"/>
      <c r="P939" s="273"/>
      <c r="Q939" s="273"/>
    </row>
    <row r="940" spans="2:17" s="404" customFormat="1" ht="9.6" customHeight="1">
      <c r="B940" s="257">
        <v>37653</v>
      </c>
      <c r="C940" s="564">
        <f t="shared" si="202"/>
        <v>6844133</v>
      </c>
      <c r="D940" s="1152">
        <f t="shared" si="214"/>
        <v>1.0068015926414639E-2</v>
      </c>
      <c r="E940" s="564">
        <f>C940/4468</f>
        <v>1531.8113249776186</v>
      </c>
      <c r="F940" s="424">
        <f t="shared" ref="F940:F945" si="215">(E940-E939)/E939</f>
        <v>6.2248744155038735E-3</v>
      </c>
      <c r="G940" s="565">
        <f t="shared" ref="G940:G945" si="216">C839*25</f>
        <v>1705500</v>
      </c>
      <c r="H940" s="424"/>
      <c r="I940" s="310">
        <v>21143</v>
      </c>
      <c r="J940" s="568">
        <f t="shared" ref="J940:J945" si="217">(I940-I939)/I939</f>
        <v>7.9054812697764626E-2</v>
      </c>
      <c r="K940" s="272"/>
      <c r="L940" s="271"/>
      <c r="M940" s="273"/>
      <c r="N940" s="272"/>
      <c r="O940" s="273"/>
      <c r="P940" s="273"/>
      <c r="Q940" s="273"/>
    </row>
    <row r="941" spans="2:17" s="404" customFormat="1" ht="9.6" customHeight="1">
      <c r="B941" s="257">
        <v>37681</v>
      </c>
      <c r="C941" s="564">
        <f t="shared" si="202"/>
        <v>6983071</v>
      </c>
      <c r="D941" s="1152">
        <f t="shared" si="214"/>
        <v>2.0300306846754733E-2</v>
      </c>
      <c r="E941" s="564">
        <f>C941/4488</f>
        <v>1555.9427361853832</v>
      </c>
      <c r="F941" s="424">
        <f t="shared" si="215"/>
        <v>1.5753514035494659E-2</v>
      </c>
      <c r="G941" s="565">
        <f t="shared" si="216"/>
        <v>3473450</v>
      </c>
      <c r="H941" s="424"/>
      <c r="I941" s="310">
        <v>21499</v>
      </c>
      <c r="J941" s="568">
        <f t="shared" si="217"/>
        <v>1.6837724069431962E-2</v>
      </c>
      <c r="K941" s="272"/>
      <c r="L941" s="271"/>
      <c r="M941" s="273"/>
      <c r="N941" s="272"/>
      <c r="O941" s="273"/>
      <c r="P941" s="273"/>
      <c r="Q941" s="273"/>
    </row>
    <row r="942" spans="2:17" s="404" customFormat="1" ht="9.6" customHeight="1">
      <c r="B942" s="257">
        <v>37712</v>
      </c>
      <c r="C942" s="564">
        <f t="shared" si="202"/>
        <v>7117255</v>
      </c>
      <c r="D942" s="1152">
        <f t="shared" ref="D942:D947" si="218">(C942-C941)/C941</f>
        <v>1.92156144481418E-2</v>
      </c>
      <c r="E942" s="564">
        <f>C942/4510</f>
        <v>1578.1053215077604</v>
      </c>
      <c r="F942" s="424">
        <f t="shared" si="215"/>
        <v>1.424383096302889E-2</v>
      </c>
      <c r="G942" s="565">
        <f t="shared" si="216"/>
        <v>3354600</v>
      </c>
      <c r="H942" s="424"/>
      <c r="I942" s="310">
        <v>26363</v>
      </c>
      <c r="J942" s="568">
        <f t="shared" si="217"/>
        <v>0.2262430810735383</v>
      </c>
      <c r="K942" s="272"/>
      <c r="L942" s="271"/>
      <c r="M942" s="273"/>
      <c r="N942" s="272"/>
      <c r="O942" s="273"/>
      <c r="P942" s="273"/>
      <c r="Q942" s="273"/>
    </row>
    <row r="943" spans="2:17" s="404" customFormat="1" ht="9.6" customHeight="1">
      <c r="B943" s="257">
        <v>37742</v>
      </c>
      <c r="C943" s="564">
        <f t="shared" si="202"/>
        <v>7226480</v>
      </c>
      <c r="D943" s="1152">
        <f t="shared" si="218"/>
        <v>1.5346506483187689E-2</v>
      </c>
      <c r="E943" s="564">
        <f>C943/4529</f>
        <v>1595.6016780746302</v>
      </c>
      <c r="F943" s="424">
        <f t="shared" si="215"/>
        <v>1.1086938449807196E-2</v>
      </c>
      <c r="G943" s="565">
        <f t="shared" si="216"/>
        <v>2730625</v>
      </c>
      <c r="H943" s="424"/>
      <c r="I943" s="310">
        <v>26801</v>
      </c>
      <c r="J943" s="568">
        <f t="shared" si="217"/>
        <v>1.6614194135720517E-2</v>
      </c>
      <c r="K943" s="272"/>
      <c r="L943" s="271"/>
      <c r="M943" s="273"/>
      <c r="N943" s="272"/>
      <c r="O943" s="273"/>
      <c r="P943" s="273"/>
      <c r="Q943" s="273"/>
    </row>
    <row r="944" spans="2:17" s="404" customFormat="1" ht="9.6" customHeight="1">
      <c r="B944" s="257">
        <v>37773</v>
      </c>
      <c r="C944" s="564">
        <f t="shared" si="202"/>
        <v>7343711</v>
      </c>
      <c r="D944" s="1152">
        <f t="shared" si="218"/>
        <v>1.6222420874339928E-2</v>
      </c>
      <c r="E944" s="564">
        <f>C944/4550</f>
        <v>1614.0024175824176</v>
      </c>
      <c r="F944" s="424">
        <f t="shared" si="215"/>
        <v>1.1532163547227589E-2</v>
      </c>
      <c r="G944" s="565">
        <f t="shared" si="216"/>
        <v>2930775</v>
      </c>
      <c r="H944" s="424"/>
      <c r="I944" s="310">
        <v>24159</v>
      </c>
      <c r="J944" s="568">
        <f t="shared" si="217"/>
        <v>-9.8578411253311446E-2</v>
      </c>
      <c r="K944" s="272"/>
      <c r="L944" s="271"/>
      <c r="M944" s="273"/>
      <c r="N944" s="272"/>
      <c r="O944" s="273"/>
      <c r="P944" s="273"/>
      <c r="Q944" s="273"/>
    </row>
    <row r="945" spans="2:17" s="404" customFormat="1" ht="9.6" customHeight="1">
      <c r="B945" s="257">
        <v>37803</v>
      </c>
      <c r="C945" s="564">
        <f t="shared" si="202"/>
        <v>7456501</v>
      </c>
      <c r="D945" s="1152">
        <f t="shared" si="218"/>
        <v>1.5358719862478248E-2</v>
      </c>
      <c r="E945" s="564">
        <f>C945/4573</f>
        <v>1630.5490924994533</v>
      </c>
      <c r="F945" s="424">
        <f t="shared" si="215"/>
        <v>1.0251951754707191E-2</v>
      </c>
      <c r="G945" s="565">
        <f t="shared" si="216"/>
        <v>2819750</v>
      </c>
      <c r="H945" s="424"/>
      <c r="I945" s="310">
        <v>30255</v>
      </c>
      <c r="J945" s="568">
        <f t="shared" si="217"/>
        <v>0.25232832484788276</v>
      </c>
      <c r="K945" s="272"/>
      <c r="L945" s="271"/>
      <c r="M945" s="273"/>
      <c r="N945" s="272"/>
      <c r="O945" s="273"/>
      <c r="P945" s="273"/>
      <c r="Q945" s="273"/>
    </row>
    <row r="946" spans="2:17" s="404" customFormat="1" ht="9.6" customHeight="1">
      <c r="B946" s="257">
        <v>37834</v>
      </c>
      <c r="C946" s="564">
        <f t="shared" si="202"/>
        <v>7573145</v>
      </c>
      <c r="D946" s="1152">
        <f t="shared" si="218"/>
        <v>1.5643262168140257E-2</v>
      </c>
      <c r="E946" s="564">
        <f>C946/4594</f>
        <v>1648.4860687853723</v>
      </c>
      <c r="F946" s="424">
        <f>(E946-E945)/E945</f>
        <v>1.1000574204376468E-2</v>
      </c>
      <c r="G946" s="565">
        <f>C845*25</f>
        <v>2916100</v>
      </c>
      <c r="H946" s="424"/>
      <c r="I946" s="310">
        <v>29567</v>
      </c>
      <c r="J946" s="568">
        <f>(I946-I945)/I945</f>
        <v>-2.2740042968104446E-2</v>
      </c>
      <c r="K946" s="272"/>
      <c r="L946" s="271"/>
      <c r="M946" s="273"/>
      <c r="N946" s="272"/>
      <c r="O946" s="273"/>
      <c r="P946" s="273"/>
      <c r="Q946" s="273"/>
    </row>
    <row r="947" spans="2:17" s="404" customFormat="1" ht="9.6" customHeight="1">
      <c r="B947" s="257">
        <v>37865</v>
      </c>
      <c r="C947" s="564">
        <f t="shared" si="202"/>
        <v>7706350</v>
      </c>
      <c r="D947" s="1152">
        <f t="shared" si="218"/>
        <v>1.7589125785918532E-2</v>
      </c>
      <c r="E947" s="564">
        <f>C947/4615</f>
        <v>1669.8483206933911</v>
      </c>
      <c r="F947" s="424">
        <f>(E947-E946)/E946</f>
        <v>1.2958709395560038E-2</v>
      </c>
      <c r="G947" s="565">
        <f>C846*25</f>
        <v>3330125</v>
      </c>
      <c r="H947" s="424"/>
      <c r="I947" s="310">
        <v>25425</v>
      </c>
      <c r="J947" s="568">
        <f>(I947-I946)/I946</f>
        <v>-0.14008861230425812</v>
      </c>
      <c r="K947" s="272"/>
      <c r="L947" s="271"/>
      <c r="M947" s="273"/>
      <c r="N947" s="272"/>
      <c r="O947" s="273"/>
      <c r="P947" s="273"/>
      <c r="Q947" s="273"/>
    </row>
    <row r="948" spans="2:17" s="404" customFormat="1" ht="9.6" customHeight="1">
      <c r="B948" s="257">
        <v>37895</v>
      </c>
      <c r="C948" s="564">
        <f t="shared" si="202"/>
        <v>7883669</v>
      </c>
      <c r="D948" s="1152">
        <f>(C948-C947)/C947</f>
        <v>2.3009466219416456E-2</v>
      </c>
      <c r="E948" s="564">
        <f>C948/4637</f>
        <v>1700.1658399827475</v>
      </c>
      <c r="F948" s="424">
        <f>(E948-E947)/E947</f>
        <v>1.8155852189477462E-2</v>
      </c>
      <c r="G948" s="565">
        <f>C847*25</f>
        <v>4432975</v>
      </c>
      <c r="H948" s="424"/>
      <c r="I948" s="310">
        <v>25154</v>
      </c>
      <c r="J948" s="568">
        <f>(I948-I947)/I947</f>
        <v>-1.0658800393313668E-2</v>
      </c>
      <c r="K948" s="272"/>
      <c r="L948" s="271"/>
      <c r="M948" s="273"/>
      <c r="N948" s="272"/>
      <c r="O948" s="273"/>
      <c r="P948" s="273"/>
      <c r="Q948" s="273"/>
    </row>
    <row r="949" spans="2:17" s="404" customFormat="1" ht="9.6" customHeight="1">
      <c r="B949" s="257">
        <v>37926</v>
      </c>
      <c r="C949" s="564">
        <f t="shared" si="202"/>
        <v>7997364</v>
      </c>
      <c r="D949" s="1152">
        <f>(C949-C948)/C948</f>
        <v>1.4421584670792242E-2</v>
      </c>
      <c r="E949" s="564">
        <f>C949/4654</f>
        <v>1718.3850451224753</v>
      </c>
      <c r="F949" s="424">
        <f>(E949-E948)/E948</f>
        <v>1.071613410366644E-2</v>
      </c>
      <c r="G949" s="565">
        <f>C848*25</f>
        <v>2842375</v>
      </c>
      <c r="H949" s="424"/>
      <c r="I949" s="310">
        <v>23186</v>
      </c>
      <c r="J949" s="568">
        <f>(I949-I948)/I948</f>
        <v>-7.8238053589886294E-2</v>
      </c>
      <c r="K949" s="272"/>
      <c r="L949" s="271"/>
      <c r="M949" s="273"/>
      <c r="N949" s="272"/>
      <c r="O949" s="273"/>
      <c r="P949" s="273"/>
      <c r="Q949" s="273"/>
    </row>
    <row r="950" spans="2:17" s="404" customFormat="1" ht="9.6" customHeight="1" thickBot="1">
      <c r="B950" s="262">
        <v>37956</v>
      </c>
      <c r="C950" s="525">
        <f t="shared" si="202"/>
        <v>8094128</v>
      </c>
      <c r="D950" s="1155">
        <f>(C950-C949)/C949</f>
        <v>1.2099486780894305E-2</v>
      </c>
      <c r="E950" s="525">
        <f>C950/4676</f>
        <v>1730.9940119760479</v>
      </c>
      <c r="F950" s="311">
        <f>(E950-E949)/E949</f>
        <v>7.3376842340209759E-3</v>
      </c>
      <c r="G950" s="526">
        <f>C849*25</f>
        <v>2419100</v>
      </c>
      <c r="H950" s="311"/>
      <c r="I950" s="315">
        <v>21149</v>
      </c>
      <c r="J950" s="316">
        <f>(I950-I949)/I949</f>
        <v>-8.7854739929267664E-2</v>
      </c>
      <c r="K950" s="272"/>
      <c r="L950" s="271"/>
      <c r="M950" s="273"/>
      <c r="N950" s="272"/>
      <c r="O950" s="273"/>
      <c r="P950" s="273"/>
      <c r="Q950" s="273"/>
    </row>
    <row r="951" spans="2:17" s="404" customFormat="1" ht="9.6" customHeight="1">
      <c r="B951" s="518"/>
      <c r="C951" s="256"/>
      <c r="D951" s="1167"/>
      <c r="E951" s="515"/>
      <c r="F951" s="514"/>
      <c r="G951" s="516"/>
      <c r="H951" s="514"/>
      <c r="I951" s="517"/>
      <c r="J951" s="514"/>
      <c r="K951" s="272"/>
      <c r="L951" s="271"/>
      <c r="M951" s="273"/>
      <c r="N951" s="272"/>
      <c r="O951" s="273"/>
      <c r="P951" s="273"/>
      <c r="Q951" s="273"/>
    </row>
    <row r="952" spans="2:17" s="404" customFormat="1" ht="13.5" thickBot="1">
      <c r="B952" s="47" t="s">
        <v>240</v>
      </c>
      <c r="C952" s="1"/>
      <c r="D952" s="1098"/>
      <c r="E952" s="1"/>
      <c r="F952" s="1"/>
      <c r="G952" s="1"/>
      <c r="H952" s="1"/>
      <c r="I952" s="1"/>
      <c r="J952" s="1"/>
      <c r="K952" s="272"/>
      <c r="L952" s="271"/>
      <c r="M952" s="273"/>
      <c r="N952" s="272"/>
      <c r="O952" s="273"/>
      <c r="P952" s="273"/>
      <c r="Q952" s="273"/>
    </row>
    <row r="953" spans="2:17" s="404" customFormat="1" ht="9.6" customHeight="1">
      <c r="B953" s="203"/>
      <c r="C953" s="204" t="s">
        <v>211</v>
      </c>
      <c r="D953" s="1139"/>
      <c r="E953" s="205"/>
      <c r="F953" s="205"/>
      <c r="G953" s="205"/>
      <c r="H953" s="205"/>
      <c r="I953" s="205"/>
      <c r="J953" s="206"/>
      <c r="K953" s="272"/>
      <c r="L953" s="271"/>
      <c r="M953" s="273"/>
      <c r="N953" s="272"/>
      <c r="O953" s="273"/>
      <c r="P953" s="273"/>
      <c r="Q953" s="273"/>
    </row>
    <row r="954" spans="2:17" s="404" customFormat="1" ht="9.6" customHeight="1">
      <c r="B954" s="207" t="s">
        <v>54</v>
      </c>
      <c r="C954" s="208" t="s">
        <v>55</v>
      </c>
      <c r="D954" s="1140"/>
      <c r="E954" s="210" t="s">
        <v>56</v>
      </c>
      <c r="F954" s="211"/>
      <c r="G954" s="209" t="s">
        <v>57</v>
      </c>
      <c r="H954" s="212"/>
      <c r="I954" s="213" t="s">
        <v>58</v>
      </c>
      <c r="J954" s="214"/>
      <c r="K954" s="272"/>
      <c r="L954" s="271"/>
      <c r="M954" s="273"/>
      <c r="N954" s="272"/>
      <c r="O954" s="273"/>
      <c r="P954" s="273"/>
      <c r="Q954" s="273"/>
    </row>
    <row r="955" spans="2:17" s="404" customFormat="1" ht="9.6" customHeight="1">
      <c r="B955" s="207"/>
      <c r="C955" s="215"/>
      <c r="D955" s="1140"/>
      <c r="E955" s="216" t="s">
        <v>59</v>
      </c>
      <c r="F955" s="217"/>
      <c r="G955" s="218"/>
      <c r="H955" s="209"/>
      <c r="I955" s="216" t="s">
        <v>60</v>
      </c>
      <c r="J955" s="219"/>
      <c r="K955" s="272"/>
      <c r="L955" s="271"/>
      <c r="M955" s="273"/>
      <c r="N955" s="272"/>
      <c r="O955" s="273"/>
      <c r="P955" s="273"/>
      <c r="Q955" s="273"/>
    </row>
    <row r="956" spans="2:17" s="404" customFormat="1" ht="9.6" customHeight="1" thickBot="1">
      <c r="B956" s="220" t="s">
        <v>61</v>
      </c>
      <c r="C956" s="109" t="s">
        <v>62</v>
      </c>
      <c r="D956" s="1141" t="s">
        <v>63</v>
      </c>
      <c r="E956" s="109" t="s">
        <v>62</v>
      </c>
      <c r="F956" s="221" t="s">
        <v>63</v>
      </c>
      <c r="G956" s="109" t="s">
        <v>62</v>
      </c>
      <c r="H956" s="221" t="s">
        <v>63</v>
      </c>
      <c r="I956" s="109" t="s">
        <v>62</v>
      </c>
      <c r="J956" s="222" t="s">
        <v>63</v>
      </c>
      <c r="K956" s="272"/>
      <c r="L956" s="271"/>
      <c r="M956" s="273"/>
      <c r="N956" s="272"/>
      <c r="O956" s="273"/>
      <c r="P956" s="273"/>
      <c r="Q956" s="273"/>
    </row>
    <row r="957" spans="2:17" s="404" customFormat="1" ht="9.6" customHeight="1">
      <c r="B957" s="231">
        <v>35186</v>
      </c>
      <c r="C957" s="232">
        <v>2591</v>
      </c>
      <c r="D957" s="1142" t="s">
        <v>31</v>
      </c>
      <c r="E957" s="234">
        <f>C957/3</f>
        <v>863.66666666666663</v>
      </c>
      <c r="F957" s="458" t="s">
        <v>31</v>
      </c>
      <c r="G957" s="235">
        <f>SUM(C957:C957)</f>
        <v>2591</v>
      </c>
      <c r="H957" s="458" t="s">
        <v>31</v>
      </c>
      <c r="I957" s="240">
        <f>G957/3</f>
        <v>863.66666666666663</v>
      </c>
      <c r="J957" s="238" t="s">
        <v>31</v>
      </c>
      <c r="K957" s="272"/>
      <c r="L957" s="271"/>
      <c r="M957" s="273"/>
      <c r="N957" s="272"/>
      <c r="O957" s="273"/>
      <c r="P957" s="273"/>
      <c r="Q957" s="273"/>
    </row>
    <row r="958" spans="2:17" s="404" customFormat="1" ht="9.6" customHeight="1">
      <c r="B958" s="231">
        <v>35217</v>
      </c>
      <c r="C958" s="232">
        <v>6181</v>
      </c>
      <c r="D958" s="1142">
        <f t="shared" ref="D958:D984" si="219">(C958-C957)/C957</f>
        <v>1.3855654187572366</v>
      </c>
      <c r="E958" s="234">
        <f>C958/20</f>
        <v>309.05</v>
      </c>
      <c r="F958" s="233">
        <f t="shared" ref="F958:F968" si="220">(E958-E957)/E957</f>
        <v>-0.64216518718641447</v>
      </c>
      <c r="G958" s="235">
        <f>SUM(C957:C958)</f>
        <v>8772</v>
      </c>
      <c r="H958" s="239">
        <f t="shared" ref="H958:H964" si="221">(G958-G957)/G957*100</f>
        <v>238.55654187572367</v>
      </c>
      <c r="I958" s="240">
        <f>G958/23</f>
        <v>381.39130434782606</v>
      </c>
      <c r="J958" s="241">
        <f t="shared" ref="J958:J964" si="222">(I958-I957)/I957*100</f>
        <v>-55.84045105968822</v>
      </c>
      <c r="K958" s="272"/>
      <c r="L958" s="271"/>
      <c r="M958" s="273"/>
      <c r="N958" s="272"/>
      <c r="O958" s="273"/>
      <c r="P958" s="273"/>
      <c r="Q958" s="273"/>
    </row>
    <row r="959" spans="2:17" s="404" customFormat="1" ht="9.6" customHeight="1">
      <c r="B959" s="231">
        <v>35247</v>
      </c>
      <c r="C959" s="232">
        <v>5084</v>
      </c>
      <c r="D959" s="1143">
        <f t="shared" si="219"/>
        <v>-0.17747937226985924</v>
      </c>
      <c r="E959" s="234">
        <f>C959/22</f>
        <v>231.09090909090909</v>
      </c>
      <c r="F959" s="233">
        <f t="shared" si="220"/>
        <v>-0.25225397479078115</v>
      </c>
      <c r="G959" s="235">
        <f>SUM(C957:C959)</f>
        <v>13856</v>
      </c>
      <c r="H959" s="239">
        <f t="shared" si="221"/>
        <v>57.957136342909251</v>
      </c>
      <c r="I959" s="240">
        <f>G959/45</f>
        <v>307.9111111111111</v>
      </c>
      <c r="J959" s="241">
        <f t="shared" si="222"/>
        <v>-19.26635253584638</v>
      </c>
      <c r="K959" s="272"/>
      <c r="L959" s="271"/>
      <c r="M959" s="273"/>
      <c r="N959" s="272"/>
      <c r="O959" s="273"/>
      <c r="P959" s="273"/>
      <c r="Q959" s="273"/>
    </row>
    <row r="960" spans="2:17" s="404" customFormat="1" ht="9.6" customHeight="1">
      <c r="B960" s="231">
        <v>35278</v>
      </c>
      <c r="C960" s="242">
        <v>7185</v>
      </c>
      <c r="D960" s="1142">
        <f t="shared" si="219"/>
        <v>0.41325727773406767</v>
      </c>
      <c r="E960" s="234">
        <f>C960/22</f>
        <v>326.59090909090907</v>
      </c>
      <c r="F960" s="233">
        <f t="shared" si="220"/>
        <v>0.41325727773406756</v>
      </c>
      <c r="G960" s="235">
        <f>SUM(C957:C960)</f>
        <v>21041</v>
      </c>
      <c r="H960" s="239">
        <f t="shared" si="221"/>
        <v>51.854792147806009</v>
      </c>
      <c r="I960" s="240">
        <f>G960/67</f>
        <v>314.04477611940297</v>
      </c>
      <c r="J960" s="241">
        <f t="shared" si="222"/>
        <v>1.9920245768846292</v>
      </c>
      <c r="K960" s="272"/>
      <c r="L960" s="271"/>
      <c r="M960" s="273"/>
      <c r="N960" s="272"/>
      <c r="O960" s="273"/>
      <c r="P960" s="273"/>
      <c r="Q960" s="273"/>
    </row>
    <row r="961" spans="2:17" s="404" customFormat="1" ht="9.6" customHeight="1">
      <c r="B961" s="231">
        <v>35309</v>
      </c>
      <c r="C961" s="242">
        <v>2994</v>
      </c>
      <c r="D961" s="1142">
        <f t="shared" si="219"/>
        <v>-0.58329853862212944</v>
      </c>
      <c r="E961" s="234">
        <f>C961/21</f>
        <v>142.57142857142858</v>
      </c>
      <c r="F961" s="233">
        <f t="shared" si="220"/>
        <v>-0.56345561188984983</v>
      </c>
      <c r="G961" s="235">
        <f>SUM(C957:C961)</f>
        <v>24035</v>
      </c>
      <c r="H961" s="239">
        <f t="shared" si="221"/>
        <v>14.2293617223516</v>
      </c>
      <c r="I961" s="240">
        <f>G961/88</f>
        <v>273.125</v>
      </c>
      <c r="J961" s="241">
        <f t="shared" si="222"/>
        <v>-13.029917779573211</v>
      </c>
      <c r="K961" s="272"/>
      <c r="L961" s="271"/>
      <c r="M961" s="273"/>
      <c r="N961" s="272"/>
      <c r="O961" s="273"/>
      <c r="P961" s="273"/>
      <c r="Q961" s="273"/>
    </row>
    <row r="962" spans="2:17" s="404" customFormat="1" ht="9.6" customHeight="1">
      <c r="B962" s="231">
        <v>35339</v>
      </c>
      <c r="C962" s="242">
        <v>7120</v>
      </c>
      <c r="D962" s="1142">
        <f t="shared" si="219"/>
        <v>1.3780895123580494</v>
      </c>
      <c r="E962" s="234">
        <f>C962/23</f>
        <v>309.56521739130437</v>
      </c>
      <c r="F962" s="233">
        <f t="shared" si="220"/>
        <v>1.1712991199790885</v>
      </c>
      <c r="G962" s="235">
        <f>SUM(C957:C962)</f>
        <v>31155</v>
      </c>
      <c r="H962" s="239">
        <f t="shared" si="221"/>
        <v>29.623465779072188</v>
      </c>
      <c r="I962" s="240">
        <f>G962/111</f>
        <v>280.67567567567568</v>
      </c>
      <c r="J962" s="241">
        <f t="shared" si="222"/>
        <v>2.7645494464716438</v>
      </c>
      <c r="K962" s="272"/>
      <c r="L962" s="271"/>
      <c r="M962" s="273"/>
      <c r="N962" s="272"/>
      <c r="O962" s="273"/>
      <c r="P962" s="273"/>
      <c r="Q962" s="273"/>
    </row>
    <row r="963" spans="2:17" s="404" customFormat="1" ht="9.6" customHeight="1" ph="1">
      <c r="B963" s="231">
        <v>35370</v>
      </c>
      <c r="C963" s="242">
        <v>6080</v>
      </c>
      <c r="D963" s="1142">
        <f t="shared" si="219"/>
        <v>-0.14606741573033707</v>
      </c>
      <c r="E963" s="234">
        <f>C963/20</f>
        <v>304</v>
      </c>
      <c r="F963" s="233">
        <f t="shared" si="220"/>
        <v>-1.7977528089887718E-2</v>
      </c>
      <c r="G963" s="235">
        <f>SUM(C957:C963)</f>
        <v>37235</v>
      </c>
      <c r="H963" s="239">
        <f t="shared" si="221"/>
        <v>19.515326592842243</v>
      </c>
      <c r="I963" s="240">
        <f>G963/131</f>
        <v>284.23664122137404</v>
      </c>
      <c r="J963" s="241">
        <f t="shared" si="222"/>
        <v>1.2687118458434237</v>
      </c>
      <c r="K963" s="272"/>
      <c r="L963" s="271"/>
      <c r="M963" s="273"/>
      <c r="N963" s="272"/>
      <c r="O963" s="273"/>
      <c r="P963" s="273"/>
      <c r="Q963" s="273"/>
    </row>
    <row r="964" spans="2:17" s="404" customFormat="1" ht="9.6" customHeight="1">
      <c r="B964" s="231">
        <v>35400</v>
      </c>
      <c r="C964" s="242">
        <v>3698</v>
      </c>
      <c r="D964" s="1142">
        <f t="shared" si="219"/>
        <v>-0.39177631578947369</v>
      </c>
      <c r="E964" s="234">
        <f>C964/19</f>
        <v>194.63157894736841</v>
      </c>
      <c r="F964" s="233">
        <f t="shared" si="220"/>
        <v>-0.35976454293628812</v>
      </c>
      <c r="G964" s="235">
        <f>SUM(C957:C964)</f>
        <v>40933</v>
      </c>
      <c r="H964" s="239">
        <f t="shared" si="221"/>
        <v>9.931516046730227</v>
      </c>
      <c r="I964" s="240">
        <f>G964/150</f>
        <v>272.88666666666666</v>
      </c>
      <c r="J964" s="241">
        <f t="shared" si="222"/>
        <v>-3.9931426525222711</v>
      </c>
      <c r="K964" s="272"/>
      <c r="L964" s="271"/>
      <c r="M964" s="273"/>
      <c r="N964" s="272"/>
      <c r="O964" s="273"/>
      <c r="P964" s="273"/>
      <c r="Q964" s="273"/>
    </row>
    <row r="965" spans="2:17" s="404" customFormat="1" ht="9.6" customHeight="1">
      <c r="B965" s="243">
        <v>35431</v>
      </c>
      <c r="C965" s="244">
        <v>5464</v>
      </c>
      <c r="D965" s="1142">
        <f t="shared" si="219"/>
        <v>0.47755543537047052</v>
      </c>
      <c r="E965" s="234">
        <f>C965/22</f>
        <v>248.36363636363637</v>
      </c>
      <c r="F965" s="233">
        <f t="shared" si="220"/>
        <v>0.27607060327449739</v>
      </c>
      <c r="G965" s="235">
        <f>SUM(C965)</f>
        <v>5464</v>
      </c>
      <c r="H965" s="236" t="s">
        <v>31</v>
      </c>
      <c r="I965" s="245">
        <f>G965/22</f>
        <v>248.36363636363637</v>
      </c>
      <c r="J965" s="238" t="s">
        <v>31</v>
      </c>
      <c r="K965" s="272"/>
      <c r="L965" s="271"/>
      <c r="M965" s="273"/>
      <c r="N965" s="272"/>
      <c r="O965" s="273"/>
      <c r="P965" s="273"/>
      <c r="Q965" s="273"/>
    </row>
    <row r="966" spans="2:17" s="404" customFormat="1" ht="9.6" customHeight="1">
      <c r="B966" s="243">
        <v>35462</v>
      </c>
      <c r="C966" s="246">
        <v>3478</v>
      </c>
      <c r="D966" s="1143">
        <f t="shared" si="219"/>
        <v>-0.36346998535871156</v>
      </c>
      <c r="E966" s="247">
        <f>C966/16</f>
        <v>217.375</v>
      </c>
      <c r="F966" s="233">
        <f t="shared" si="220"/>
        <v>-0.12477122986822844</v>
      </c>
      <c r="G966" s="235">
        <f>SUM(C965:C966)</f>
        <v>8942</v>
      </c>
      <c r="H966" s="248">
        <f t="shared" ref="H966:H976" si="223">(G966-G965)/G965</f>
        <v>0.63653001464128844</v>
      </c>
      <c r="I966" s="240">
        <f>G966/38</f>
        <v>235.31578947368422</v>
      </c>
      <c r="J966" s="249">
        <f t="shared" ref="J966:J976" si="224">(I966-I965)/I965</f>
        <v>-5.2535254681359334E-2</v>
      </c>
      <c r="K966" s="272"/>
      <c r="L966" s="271"/>
      <c r="M966" s="273"/>
      <c r="N966" s="272"/>
      <c r="O966" s="273"/>
      <c r="P966" s="273"/>
      <c r="Q966" s="273"/>
    </row>
    <row r="967" spans="2:17" s="404" customFormat="1" ht="9.6" customHeight="1">
      <c r="B967" s="243">
        <v>35490</v>
      </c>
      <c r="C967" s="244">
        <v>8406</v>
      </c>
      <c r="D967" s="1142">
        <f t="shared" si="219"/>
        <v>1.4169062679700977</v>
      </c>
      <c r="E967" s="234">
        <f>C967/21</f>
        <v>400.28571428571428</v>
      </c>
      <c r="F967" s="233">
        <f t="shared" si="220"/>
        <v>0.84145239464388399</v>
      </c>
      <c r="G967" s="235">
        <f>SUM(C965:C967)</f>
        <v>17348</v>
      </c>
      <c r="H967" s="250">
        <f t="shared" si="223"/>
        <v>0.94005815253858194</v>
      </c>
      <c r="I967" s="245">
        <f>G967/59</f>
        <v>294.03389830508473</v>
      </c>
      <c r="J967" s="251">
        <f t="shared" si="224"/>
        <v>0.2495289796011205</v>
      </c>
      <c r="K967" s="272"/>
      <c r="L967" s="271"/>
      <c r="M967" s="273"/>
      <c r="N967" s="272"/>
      <c r="O967" s="273"/>
      <c r="P967" s="273"/>
      <c r="Q967" s="273"/>
    </row>
    <row r="968" spans="2:17" s="404" customFormat="1" ht="9.6" customHeight="1">
      <c r="B968" s="243">
        <v>35521</v>
      </c>
      <c r="C968" s="244">
        <v>5052</v>
      </c>
      <c r="D968" s="1142">
        <f t="shared" si="219"/>
        <v>-0.39900071377587437</v>
      </c>
      <c r="E968" s="252">
        <f>C968/21</f>
        <v>240.57142857142858</v>
      </c>
      <c r="F968" s="233">
        <f t="shared" si="220"/>
        <v>-0.39900071377587432</v>
      </c>
      <c r="G968" s="235">
        <f>SUM(C965:C968)</f>
        <v>22400</v>
      </c>
      <c r="H968" s="250">
        <f t="shared" si="223"/>
        <v>0.29121512566290064</v>
      </c>
      <c r="I968" s="245">
        <f>G968/80</f>
        <v>280</v>
      </c>
      <c r="J968" s="251">
        <f t="shared" si="224"/>
        <v>-4.7728844823610748E-2</v>
      </c>
      <c r="K968" s="272"/>
      <c r="L968" s="271"/>
      <c r="M968" s="273"/>
      <c r="N968" s="272"/>
      <c r="O968" s="273"/>
      <c r="P968" s="273"/>
      <c r="Q968" s="273"/>
    </row>
    <row r="969" spans="2:17" s="404" customFormat="1" ht="9.6" customHeight="1">
      <c r="B969" s="243">
        <v>35551</v>
      </c>
      <c r="C969" s="253">
        <v>7263</v>
      </c>
      <c r="D969" s="1142">
        <f t="shared" si="219"/>
        <v>0.43764845605700714</v>
      </c>
      <c r="E969" s="252">
        <f>C969/19</f>
        <v>382.26315789473682</v>
      </c>
      <c r="F969" s="233">
        <f>(E969-E968)/E968</f>
        <v>0.58897987248406036</v>
      </c>
      <c r="G969" s="235">
        <f>SUM(C965:C969)</f>
        <v>29663</v>
      </c>
      <c r="H969" s="250">
        <f t="shared" si="223"/>
        <v>0.32424107142857145</v>
      </c>
      <c r="I969" s="245">
        <f>G969/99</f>
        <v>299.62626262626264</v>
      </c>
      <c r="J969" s="251">
        <f t="shared" si="224"/>
        <v>7.0093795093795153E-2</v>
      </c>
      <c r="K969" s="272"/>
      <c r="L969" s="271"/>
      <c r="M969" s="273"/>
      <c r="N969" s="272"/>
      <c r="O969" s="273"/>
      <c r="P969" s="273"/>
      <c r="Q969" s="273"/>
    </row>
    <row r="970" spans="2:17" s="404" customFormat="1" ht="9.6" customHeight="1">
      <c r="B970" s="243">
        <v>35582</v>
      </c>
      <c r="C970" s="254">
        <v>10520</v>
      </c>
      <c r="D970" s="1142">
        <f t="shared" si="219"/>
        <v>0.44843728486851164</v>
      </c>
      <c r="E970" s="252">
        <f>C970/21</f>
        <v>500.95238095238096</v>
      </c>
      <c r="F970" s="233">
        <f>(E970-E969)/E969</f>
        <v>0.31049087678579634</v>
      </c>
      <c r="G970" s="235">
        <f>SUM(C965:C970)</f>
        <v>40183</v>
      </c>
      <c r="H970" s="233">
        <f t="shared" si="223"/>
        <v>0.35465057479014261</v>
      </c>
      <c r="I970" s="245">
        <f>G970/120</f>
        <v>334.85833333333335</v>
      </c>
      <c r="J970" s="255">
        <f t="shared" si="224"/>
        <v>0.11758672420186764</v>
      </c>
      <c r="K970" s="272"/>
      <c r="L970" s="271"/>
      <c r="M970" s="273"/>
      <c r="N970" s="272"/>
      <c r="O970" s="273"/>
      <c r="P970" s="273"/>
      <c r="Q970" s="273"/>
    </row>
    <row r="971" spans="2:17" s="404" customFormat="1" ht="9.6" customHeight="1">
      <c r="B971" s="243">
        <v>35612</v>
      </c>
      <c r="C971" s="244">
        <v>13893</v>
      </c>
      <c r="D971" s="1142">
        <f t="shared" si="219"/>
        <v>0.32062737642585554</v>
      </c>
      <c r="E971" s="252">
        <f>C971/22</f>
        <v>631.5</v>
      </c>
      <c r="F971" s="233">
        <f>(E971-E970)/E970</f>
        <v>0.26059885931558935</v>
      </c>
      <c r="G971" s="235">
        <f>SUM(C965:C971)</f>
        <v>54076</v>
      </c>
      <c r="H971" s="250">
        <f t="shared" si="223"/>
        <v>0.34574322474678348</v>
      </c>
      <c r="I971" s="245">
        <f>G971/142</f>
        <v>380.81690140845069</v>
      </c>
      <c r="J971" s="251">
        <f t="shared" si="224"/>
        <v>0.13724779556066199</v>
      </c>
      <c r="K971" s="272"/>
      <c r="L971" s="271"/>
      <c r="M971" s="273"/>
      <c r="N971" s="272"/>
      <c r="O971" s="273"/>
      <c r="P971" s="273"/>
      <c r="Q971" s="273"/>
    </row>
    <row r="972" spans="2:17" s="404" customFormat="1" ht="9.6" customHeight="1">
      <c r="B972" s="243">
        <v>35643</v>
      </c>
      <c r="C972" s="256">
        <v>7505</v>
      </c>
      <c r="D972" s="1142">
        <f t="shared" si="219"/>
        <v>-0.45979989922982795</v>
      </c>
      <c r="E972" s="252">
        <f>C972/21</f>
        <v>357.38095238095241</v>
      </c>
      <c r="F972" s="233">
        <f>(E972-E971)/E971</f>
        <v>-0.43407608490743876</v>
      </c>
      <c r="G972" s="235">
        <f>SUM(C965:C972)</f>
        <v>61581</v>
      </c>
      <c r="H972" s="250">
        <f t="shared" si="223"/>
        <v>0.13878615282195428</v>
      </c>
      <c r="I972" s="245">
        <f>G972/163</f>
        <v>377.79754601226995</v>
      </c>
      <c r="J972" s="251">
        <f t="shared" si="224"/>
        <v>-7.9286276029600089E-3</v>
      </c>
      <c r="K972" s="272"/>
      <c r="L972" s="271"/>
      <c r="M972" s="273"/>
      <c r="N972" s="272"/>
      <c r="O972" s="273"/>
      <c r="P972" s="273"/>
      <c r="Q972" s="273"/>
    </row>
    <row r="973" spans="2:17" s="404" customFormat="1" ht="9.6" customHeight="1">
      <c r="B973" s="243">
        <v>35674</v>
      </c>
      <c r="C973" s="244">
        <v>5637</v>
      </c>
      <c r="D973" s="1142">
        <f t="shared" si="219"/>
        <v>-0.24890073284477016</v>
      </c>
      <c r="E973" s="252">
        <f>C973/21</f>
        <v>268.42857142857144</v>
      </c>
      <c r="F973" s="233">
        <f>(E973-E972)/E972</f>
        <v>-0.24890073284477016</v>
      </c>
      <c r="G973" s="235">
        <f>SUM(C965:C973)</f>
        <v>67218</v>
      </c>
      <c r="H973" s="250">
        <f t="shared" si="223"/>
        <v>9.1537974375213133E-2</v>
      </c>
      <c r="I973" s="245">
        <f>G973/184</f>
        <v>365.31521739130437</v>
      </c>
      <c r="J973" s="251">
        <f t="shared" si="224"/>
        <v>-3.3039729221957886E-2</v>
      </c>
      <c r="K973" s="272"/>
      <c r="L973" s="271"/>
      <c r="M973" s="273"/>
      <c r="N973" s="272"/>
      <c r="O973" s="273"/>
      <c r="P973" s="273"/>
      <c r="Q973" s="273"/>
    </row>
    <row r="974" spans="2:17" s="404" customFormat="1" ht="9.6" customHeight="1">
      <c r="B974" s="257">
        <v>35704</v>
      </c>
      <c r="C974" s="258">
        <v>5218</v>
      </c>
      <c r="D974" s="1142">
        <f t="shared" si="219"/>
        <v>-7.4330317544793328E-2</v>
      </c>
      <c r="E974" s="252">
        <f>C974/22</f>
        <v>237.18181818181819</v>
      </c>
      <c r="F974" s="259">
        <v>-0.1986999625888515</v>
      </c>
      <c r="G974" s="235">
        <f>SUM(C965:C974)</f>
        <v>72436</v>
      </c>
      <c r="H974" s="233">
        <f t="shared" si="223"/>
        <v>7.7628016305156353E-2</v>
      </c>
      <c r="I974" s="245">
        <f>G974/206</f>
        <v>351.63106796116506</v>
      </c>
      <c r="J974" s="251">
        <f t="shared" si="224"/>
        <v>-3.745847087306426E-2</v>
      </c>
      <c r="K974" s="272"/>
      <c r="L974" s="271"/>
      <c r="M974" s="273"/>
      <c r="N974" s="272"/>
      <c r="O974" s="273"/>
      <c r="P974" s="273"/>
      <c r="Q974" s="273"/>
    </row>
    <row r="975" spans="2:17" s="404" customFormat="1" ht="9.6" customHeight="1">
      <c r="B975" s="243">
        <v>35735</v>
      </c>
      <c r="C975" s="244">
        <v>2752</v>
      </c>
      <c r="D975" s="1142">
        <f t="shared" si="219"/>
        <v>-0.47259486393254119</v>
      </c>
      <c r="E975" s="252">
        <f>C975/20</f>
        <v>137.6</v>
      </c>
      <c r="F975" s="233">
        <f>(E975-E974)/E974</f>
        <v>-0.41985435032579538</v>
      </c>
      <c r="G975" s="235">
        <f>SUM(C965:C975)</f>
        <v>75188</v>
      </c>
      <c r="H975" s="250">
        <f t="shared" si="223"/>
        <v>3.7992158595173672E-2</v>
      </c>
      <c r="I975" s="245">
        <f>G975/226</f>
        <v>332.69026548672565</v>
      </c>
      <c r="J975" s="251">
        <f t="shared" si="224"/>
        <v>-5.3865554554841766E-2</v>
      </c>
      <c r="K975" s="272"/>
      <c r="L975" s="271"/>
      <c r="M975" s="273"/>
      <c r="N975" s="272"/>
      <c r="O975" s="273"/>
      <c r="P975" s="273"/>
      <c r="Q975" s="273"/>
    </row>
    <row r="976" spans="2:17" s="404" customFormat="1" ht="9.6" customHeight="1">
      <c r="B976" s="257">
        <v>35765</v>
      </c>
      <c r="C976" s="258">
        <v>1196</v>
      </c>
      <c r="D976" s="1144">
        <f t="shared" si="219"/>
        <v>-0.56540697674418605</v>
      </c>
      <c r="E976" s="519">
        <f>C976/21</f>
        <v>56.952380952380949</v>
      </c>
      <c r="F976" s="259">
        <f>(E976-E975)/E975</f>
        <v>-0.58610188261351048</v>
      </c>
      <c r="G976" s="681">
        <f>SUM(C965:C976)</f>
        <v>76384</v>
      </c>
      <c r="H976" s="406">
        <f t="shared" si="223"/>
        <v>1.5906793637282545E-2</v>
      </c>
      <c r="I976" s="520">
        <f>G976/247</f>
        <v>309.24696356275302</v>
      </c>
      <c r="J976" s="521">
        <f t="shared" si="224"/>
        <v>-7.0465848736737433E-2</v>
      </c>
      <c r="K976" s="272"/>
      <c r="L976" s="271"/>
      <c r="M976" s="273"/>
      <c r="N976" s="272"/>
      <c r="O976" s="273"/>
      <c r="P976" s="273"/>
      <c r="Q976" s="273"/>
    </row>
    <row r="977" spans="2:17" s="404" customFormat="1" ht="9.6" customHeight="1">
      <c r="B977" s="243">
        <v>35796</v>
      </c>
      <c r="C977" s="244">
        <v>2482</v>
      </c>
      <c r="D977" s="1142">
        <f t="shared" si="219"/>
        <v>1.0752508361204014</v>
      </c>
      <c r="E977" s="252">
        <f>C977/17</f>
        <v>146</v>
      </c>
      <c r="F977" s="233">
        <v>0.19556397018428101</v>
      </c>
      <c r="G977" s="245">
        <f>C977</f>
        <v>2482</v>
      </c>
      <c r="H977" s="260" t="s">
        <v>31</v>
      </c>
      <c r="I977" s="245">
        <f>G977/17</f>
        <v>146</v>
      </c>
      <c r="J977" s="261" t="s">
        <v>31</v>
      </c>
      <c r="K977" s="272"/>
      <c r="L977" s="271"/>
      <c r="M977" s="273"/>
      <c r="N977" s="272"/>
      <c r="O977" s="273"/>
      <c r="P977" s="273"/>
      <c r="Q977" s="273"/>
    </row>
    <row r="978" spans="2:17" s="404" customFormat="1" ht="9.6" customHeight="1">
      <c r="B978" s="243">
        <v>35827</v>
      </c>
      <c r="C978" s="244">
        <v>2741</v>
      </c>
      <c r="D978" s="1142">
        <f t="shared" si="219"/>
        <v>0.10435132957292506</v>
      </c>
      <c r="E978" s="252">
        <f>C978/19</f>
        <v>144.26315789473685</v>
      </c>
      <c r="F978" s="233">
        <f t="shared" ref="F978:F988" si="225">(E978-E977)/E977</f>
        <v>-1.1896178803172263E-2</v>
      </c>
      <c r="G978" s="245">
        <f>SUM(C977:C978)</f>
        <v>5223</v>
      </c>
      <c r="H978" s="250">
        <f t="shared" ref="H978:H987" si="226">(G978-G977)/G977</f>
        <v>1.104351329572925</v>
      </c>
      <c r="I978" s="245">
        <f>G978/36</f>
        <v>145.08333333333334</v>
      </c>
      <c r="J978" s="251">
        <f t="shared" ref="J978:J988" si="227">(I978-I977)/I977</f>
        <v>-6.2785388127853236E-3</v>
      </c>
      <c r="K978" s="272"/>
      <c r="L978" s="271"/>
      <c r="M978" s="273"/>
      <c r="N978" s="272"/>
      <c r="O978" s="273"/>
      <c r="P978" s="273"/>
      <c r="Q978" s="273"/>
    </row>
    <row r="979" spans="2:17" s="404" customFormat="1" ht="9.6" customHeight="1">
      <c r="B979" s="243">
        <v>35855</v>
      </c>
      <c r="C979" s="244">
        <v>2873</v>
      </c>
      <c r="D979" s="1142">
        <f t="shared" si="219"/>
        <v>4.8157606712878512E-2</v>
      </c>
      <c r="E979" s="252">
        <f>C979/22</f>
        <v>130.59090909090909</v>
      </c>
      <c r="F979" s="233">
        <f t="shared" si="225"/>
        <v>-9.4772976020695857E-2</v>
      </c>
      <c r="G979" s="245">
        <f>SUM(C977:C979)</f>
        <v>8096</v>
      </c>
      <c r="H979" s="250">
        <f t="shared" si="226"/>
        <v>0.55006701129618996</v>
      </c>
      <c r="I979" s="245">
        <f>G979/58</f>
        <v>139.58620689655172</v>
      </c>
      <c r="J979" s="251">
        <f t="shared" si="227"/>
        <v>-3.7889441264433964E-2</v>
      </c>
      <c r="K979" s="272"/>
      <c r="L979" s="271"/>
      <c r="M979" s="273"/>
      <c r="N979" s="272"/>
      <c r="O979" s="273"/>
      <c r="P979" s="273"/>
      <c r="Q979" s="273"/>
    </row>
    <row r="980" spans="2:17" s="404" customFormat="1" ht="9.6" customHeight="1">
      <c r="B980" s="243">
        <v>35886</v>
      </c>
      <c r="C980" s="244">
        <v>1783</v>
      </c>
      <c r="D980" s="1142">
        <f t="shared" si="219"/>
        <v>-0.3793943612948138</v>
      </c>
      <c r="E980" s="252">
        <f>C980/20</f>
        <v>89.15</v>
      </c>
      <c r="F980" s="233">
        <f t="shared" si="225"/>
        <v>-0.31733379742429513</v>
      </c>
      <c r="G980" s="245">
        <f>SUM(C977:C980)</f>
        <v>9879</v>
      </c>
      <c r="H980" s="250">
        <f t="shared" si="226"/>
        <v>0.22023221343873517</v>
      </c>
      <c r="I980" s="245">
        <f>G980/78</f>
        <v>126.65384615384616</v>
      </c>
      <c r="J980" s="251">
        <f t="shared" si="227"/>
        <v>-9.2647841289145536E-2</v>
      </c>
      <c r="K980" s="272"/>
      <c r="L980" s="271"/>
      <c r="M980" s="273"/>
      <c r="N980" s="272"/>
      <c r="O980" s="273"/>
      <c r="P980" s="273"/>
      <c r="Q980" s="273"/>
    </row>
    <row r="981" spans="2:17" s="404" customFormat="1" ht="9.6" customHeight="1">
      <c r="B981" s="243">
        <v>35916</v>
      </c>
      <c r="C981" s="244">
        <v>1944</v>
      </c>
      <c r="D981" s="1142">
        <f t="shared" si="219"/>
        <v>9.0297251822770611E-2</v>
      </c>
      <c r="E981" s="252">
        <f>C981/19</f>
        <v>102.31578947368421</v>
      </c>
      <c r="F981" s="233">
        <f t="shared" si="225"/>
        <v>0.14768131770817947</v>
      </c>
      <c r="G981" s="245">
        <f>SUM(C977:C981)</f>
        <v>11823</v>
      </c>
      <c r="H981" s="250">
        <f t="shared" si="226"/>
        <v>0.19678105071363497</v>
      </c>
      <c r="I981" s="245">
        <f>G981/97</f>
        <v>121.88659793814433</v>
      </c>
      <c r="J981" s="251">
        <f t="shared" si="227"/>
        <v>-3.763997983852034E-2</v>
      </c>
      <c r="K981" s="272"/>
      <c r="L981" s="271"/>
      <c r="M981" s="273"/>
      <c r="N981" s="272"/>
      <c r="O981" s="273"/>
      <c r="P981" s="273"/>
      <c r="Q981" s="273"/>
    </row>
    <row r="982" spans="2:17" s="404" customFormat="1" ht="9.6" customHeight="1">
      <c r="B982" s="243">
        <v>35947</v>
      </c>
      <c r="C982" s="244">
        <v>3123</v>
      </c>
      <c r="D982" s="1142">
        <f t="shared" si="219"/>
        <v>0.60648148148148151</v>
      </c>
      <c r="E982" s="252">
        <f>C982/20</f>
        <v>156.15</v>
      </c>
      <c r="F982" s="233">
        <f t="shared" si="225"/>
        <v>0.52615740740740757</v>
      </c>
      <c r="G982" s="245">
        <f>SUM(C977:C982)</f>
        <v>14946</v>
      </c>
      <c r="H982" s="250">
        <f t="shared" si="226"/>
        <v>0.26414615579802081</v>
      </c>
      <c r="I982" s="245">
        <f>G982/119</f>
        <v>125.59663865546219</v>
      </c>
      <c r="J982" s="251">
        <f t="shared" si="227"/>
        <v>3.0438463129479124E-2</v>
      </c>
      <c r="K982" s="272"/>
      <c r="L982" s="271"/>
      <c r="M982" s="273"/>
      <c r="N982" s="272"/>
      <c r="O982" s="273"/>
      <c r="P982" s="273"/>
      <c r="Q982" s="273"/>
    </row>
    <row r="983" spans="2:17" s="404" customFormat="1" ht="9.6" customHeight="1">
      <c r="B983" s="243">
        <v>35977</v>
      </c>
      <c r="C983" s="244">
        <v>2028</v>
      </c>
      <c r="D983" s="1142">
        <f t="shared" si="219"/>
        <v>-0.35062439961575409</v>
      </c>
      <c r="E983" s="252">
        <f>C983/22</f>
        <v>92.181818181818187</v>
      </c>
      <c r="F983" s="233">
        <f t="shared" si="225"/>
        <v>-0.40965854510523098</v>
      </c>
      <c r="G983" s="245">
        <f>SUM(C977:C983)</f>
        <v>16974</v>
      </c>
      <c r="H983" s="250">
        <f t="shared" si="226"/>
        <v>0.13568847852268165</v>
      </c>
      <c r="I983" s="245">
        <f>G983/139</f>
        <v>122.11510791366906</v>
      </c>
      <c r="J983" s="251">
        <f t="shared" si="227"/>
        <v>-2.771993565324378E-2</v>
      </c>
      <c r="K983" s="272"/>
      <c r="L983" s="271"/>
      <c r="M983" s="273"/>
      <c r="N983" s="272"/>
      <c r="O983" s="273"/>
      <c r="P983" s="273"/>
      <c r="Q983" s="273"/>
    </row>
    <row r="984" spans="2:17" s="404" customFormat="1" ht="9.6" customHeight="1">
      <c r="B984" s="243">
        <v>36008</v>
      </c>
      <c r="C984" s="244">
        <v>2458</v>
      </c>
      <c r="D984" s="1142">
        <f t="shared" si="219"/>
        <v>0.21203155818540434</v>
      </c>
      <c r="E984" s="252">
        <f>C984/20</f>
        <v>122.9</v>
      </c>
      <c r="F984" s="233">
        <f t="shared" si="225"/>
        <v>0.33323471400394478</v>
      </c>
      <c r="G984" s="245">
        <f>SUM(C977:C984)</f>
        <v>19432</v>
      </c>
      <c r="H984" s="250">
        <f t="shared" si="226"/>
        <v>0.14480970896665488</v>
      </c>
      <c r="I984" s="245">
        <f>G984/159</f>
        <v>122.21383647798743</v>
      </c>
      <c r="J984" s="251">
        <f t="shared" si="227"/>
        <v>8.0848771298766293E-4</v>
      </c>
      <c r="K984" s="272"/>
      <c r="L984" s="271"/>
      <c r="M984" s="273"/>
      <c r="N984" s="272"/>
      <c r="O984" s="273"/>
      <c r="P984" s="273"/>
      <c r="Q984" s="273"/>
    </row>
    <row r="985" spans="2:17" s="404" customFormat="1" ht="9.6" customHeight="1">
      <c r="B985" s="243">
        <v>36039</v>
      </c>
      <c r="C985" s="244">
        <v>2392</v>
      </c>
      <c r="D985" s="1142">
        <f>(C985-C984)/C984</f>
        <v>-2.6851098454027666E-2</v>
      </c>
      <c r="E985" s="252">
        <f>C985/21</f>
        <v>113.9047619047619</v>
      </c>
      <c r="F985" s="233">
        <f t="shared" si="225"/>
        <v>-7.3191522337169301E-2</v>
      </c>
      <c r="G985" s="245">
        <f>SUM(C977:C985)</f>
        <v>21824</v>
      </c>
      <c r="H985" s="250">
        <f t="shared" si="226"/>
        <v>0.123095924248662</v>
      </c>
      <c r="I985" s="245">
        <f>G985/180</f>
        <v>121.24444444444444</v>
      </c>
      <c r="J985" s="251">
        <f t="shared" si="227"/>
        <v>-7.9319335803486567E-3</v>
      </c>
      <c r="K985" s="272"/>
      <c r="L985" s="271"/>
      <c r="M985" s="273"/>
      <c r="N985" s="272"/>
      <c r="O985" s="273"/>
      <c r="P985" s="273"/>
      <c r="Q985" s="273"/>
    </row>
    <row r="986" spans="2:17" s="404" customFormat="1" ht="9.6" customHeight="1">
      <c r="B986" s="257">
        <v>36069</v>
      </c>
      <c r="C986" s="258">
        <v>872</v>
      </c>
      <c r="D986" s="1142">
        <f>(C986-C985)/C985</f>
        <v>-0.63545150501672243</v>
      </c>
      <c r="E986" s="252">
        <f>C986/21</f>
        <v>41.523809523809526</v>
      </c>
      <c r="F986" s="233">
        <f t="shared" si="225"/>
        <v>-0.63545150501672243</v>
      </c>
      <c r="G986" s="245">
        <f>SUM(C977:C986)</f>
        <v>22696</v>
      </c>
      <c r="H986" s="250">
        <f t="shared" si="226"/>
        <v>3.9956011730205278E-2</v>
      </c>
      <c r="I986" s="245">
        <f>G986/201</f>
        <v>112.91542288557214</v>
      </c>
      <c r="J986" s="251">
        <f t="shared" si="227"/>
        <v>-6.8696108898323574E-2</v>
      </c>
      <c r="K986" s="272"/>
      <c r="L986" s="271"/>
      <c r="M986" s="273"/>
      <c r="N986" s="272"/>
      <c r="O986" s="273"/>
      <c r="P986" s="273"/>
      <c r="Q986" s="273"/>
    </row>
    <row r="987" spans="2:17" s="404" customFormat="1" ht="9.6" customHeight="1">
      <c r="B987" s="257">
        <v>36100</v>
      </c>
      <c r="C987" s="258">
        <v>1290</v>
      </c>
      <c r="D987" s="1142">
        <f>(C987-C986)/C986</f>
        <v>0.47935779816513763</v>
      </c>
      <c r="E987" s="252">
        <f>C987/21</f>
        <v>61.428571428571431</v>
      </c>
      <c r="F987" s="233">
        <f t="shared" si="225"/>
        <v>0.47935779816513763</v>
      </c>
      <c r="G987" s="245">
        <f>SUM(C977:C987)</f>
        <v>23986</v>
      </c>
      <c r="H987" s="250">
        <f t="shared" si="226"/>
        <v>5.6838209376101519E-2</v>
      </c>
      <c r="I987" s="245">
        <f>G987/222</f>
        <v>108.04504504504504</v>
      </c>
      <c r="J987" s="251">
        <f t="shared" si="227"/>
        <v>-4.3132972591908118E-2</v>
      </c>
      <c r="K987" s="272"/>
      <c r="L987" s="271"/>
      <c r="M987" s="273"/>
      <c r="N987" s="272"/>
      <c r="O987" s="273"/>
      <c r="P987" s="273"/>
      <c r="Q987" s="273"/>
    </row>
    <row r="988" spans="2:17" s="404" customFormat="1" ht="9.6" customHeight="1">
      <c r="B988" s="243">
        <v>36130</v>
      </c>
      <c r="C988" s="244">
        <v>752</v>
      </c>
      <c r="D988" s="1142">
        <f>(C988-C987)/C987</f>
        <v>-0.41705426356589148</v>
      </c>
      <c r="E988" s="252">
        <f>C988/21</f>
        <v>35.80952380952381</v>
      </c>
      <c r="F988" s="233">
        <f t="shared" si="225"/>
        <v>-0.41705426356589148</v>
      </c>
      <c r="G988" s="245">
        <f>SUM(C977:C988)</f>
        <v>24738</v>
      </c>
      <c r="H988" s="250">
        <f>(G988-G987)/G987</f>
        <v>3.13516217793713E-2</v>
      </c>
      <c r="I988" s="245">
        <f>G988/243</f>
        <v>101.80246913580247</v>
      </c>
      <c r="J988" s="251">
        <f t="shared" si="227"/>
        <v>-5.777753072008053E-2</v>
      </c>
      <c r="K988" s="272"/>
      <c r="L988" s="271"/>
      <c r="M988" s="273"/>
      <c r="N988" s="272"/>
      <c r="O988" s="273"/>
      <c r="P988" s="273"/>
      <c r="Q988" s="273"/>
    </row>
    <row r="989" spans="2:17" s="404" customFormat="1" ht="9.6" customHeight="1">
      <c r="B989" s="522">
        <v>36161</v>
      </c>
      <c r="C989" s="407">
        <v>1229</v>
      </c>
      <c r="D989" s="1145">
        <v>-0.13931159420289854</v>
      </c>
      <c r="E989" s="409">
        <f>C989/17</f>
        <v>72.294117647058826</v>
      </c>
      <c r="F989" s="408">
        <v>0.11383205456095478</v>
      </c>
      <c r="G989" s="410">
        <f>SUM(C989)</f>
        <v>1229</v>
      </c>
      <c r="H989" s="569" t="s">
        <v>31</v>
      </c>
      <c r="I989" s="410">
        <f>G989/17</f>
        <v>72.294117647058826</v>
      </c>
      <c r="J989" s="261" t="s">
        <v>31</v>
      </c>
      <c r="K989" s="272"/>
      <c r="L989" s="271"/>
      <c r="M989" s="273"/>
      <c r="N989" s="272"/>
      <c r="O989" s="273"/>
      <c r="P989" s="273"/>
      <c r="Q989" s="273"/>
    </row>
    <row r="990" spans="2:17" s="404" customFormat="1" ht="9.6" customHeight="1">
      <c r="B990" s="243">
        <v>36192</v>
      </c>
      <c r="C990" s="244">
        <v>412</v>
      </c>
      <c r="D990" s="1142">
        <f>(C990-C989)/C989</f>
        <v>-0.66476810414971521</v>
      </c>
      <c r="E990" s="252">
        <f>C990/16</f>
        <v>25.75</v>
      </c>
      <c r="F990" s="233">
        <f>(E990-E989)/E989</f>
        <v>-0.6438161106590724</v>
      </c>
      <c r="G990" s="245">
        <f>SUM(C989:C990)</f>
        <v>1641</v>
      </c>
      <c r="H990" s="250">
        <f>(G990-G989)/G989</f>
        <v>0.33523189585028479</v>
      </c>
      <c r="I990" s="245">
        <f>G990/33</f>
        <v>49.727272727272727</v>
      </c>
      <c r="J990" s="251">
        <f t="shared" ref="J990:J1014" si="228">(I990-I989)/I989</f>
        <v>-0.31215326577409575</v>
      </c>
      <c r="K990" s="272"/>
      <c r="L990" s="271"/>
      <c r="M990" s="273"/>
      <c r="N990" s="272"/>
      <c r="O990" s="273"/>
      <c r="P990" s="273"/>
      <c r="Q990" s="273"/>
    </row>
    <row r="991" spans="2:17" s="404" customFormat="1" ht="9.6" customHeight="1">
      <c r="B991" s="243">
        <v>36220</v>
      </c>
      <c r="C991" s="244">
        <v>2928</v>
      </c>
      <c r="D991" s="1142">
        <f>(C991-C990)/C990</f>
        <v>6.1067961165048548</v>
      </c>
      <c r="E991" s="252">
        <f>C991/22</f>
        <v>133.09090909090909</v>
      </c>
      <c r="F991" s="233">
        <f>(E991-E990)/E990</f>
        <v>4.1685789938217122</v>
      </c>
      <c r="G991" s="245">
        <f>SUM(C989:C991)</f>
        <v>4569</v>
      </c>
      <c r="H991" s="250">
        <f>(G991-G990)/G990</f>
        <v>1.7842778793418648</v>
      </c>
      <c r="I991" s="245">
        <f>G991/55</f>
        <v>83.072727272727278</v>
      </c>
      <c r="J991" s="251">
        <f t="shared" si="228"/>
        <v>0.67056672760511893</v>
      </c>
      <c r="K991" s="272"/>
      <c r="L991" s="271"/>
      <c r="M991" s="273"/>
      <c r="N991" s="272"/>
      <c r="O991" s="273"/>
      <c r="P991" s="273"/>
      <c r="Q991" s="273"/>
    </row>
    <row r="992" spans="2:17" s="404" customFormat="1" ht="9.6" customHeight="1">
      <c r="B992" s="243">
        <v>36251</v>
      </c>
      <c r="C992" s="244">
        <v>4644</v>
      </c>
      <c r="D992" s="1142">
        <f>(C992-C991)/C991</f>
        <v>0.58606557377049184</v>
      </c>
      <c r="E992" s="252">
        <f>C992/22</f>
        <v>211.09090909090909</v>
      </c>
      <c r="F992" s="233">
        <f>(E992-E991)/E991</f>
        <v>0.58606557377049184</v>
      </c>
      <c r="G992" s="245">
        <f>SUM(C989:C992)</f>
        <v>9213</v>
      </c>
      <c r="H992" s="250">
        <f>(G992-G991)/G991</f>
        <v>1.0164149704530532</v>
      </c>
      <c r="I992" s="245">
        <f>G992/77</f>
        <v>119.64935064935065</v>
      </c>
      <c r="J992" s="251">
        <f t="shared" si="228"/>
        <v>0.44029640746646648</v>
      </c>
      <c r="K992" s="272"/>
      <c r="L992" s="271"/>
      <c r="M992" s="273"/>
      <c r="N992" s="272"/>
      <c r="O992" s="273"/>
      <c r="P992" s="273"/>
      <c r="Q992" s="273"/>
    </row>
    <row r="993" spans="2:17" s="404" customFormat="1" ht="9.6" customHeight="1">
      <c r="B993" s="243">
        <v>36281</v>
      </c>
      <c r="C993" s="244">
        <v>2145</v>
      </c>
      <c r="D993" s="1142">
        <f>(C993-C992)/C992</f>
        <v>-0.53811369509043927</v>
      </c>
      <c r="E993" s="252">
        <f>C993/21</f>
        <v>102.14285714285714</v>
      </c>
      <c r="F993" s="233">
        <f>(E993-E992)/E992</f>
        <v>-0.51611910914236503</v>
      </c>
      <c r="G993" s="245">
        <f>SUM(C989:C993)</f>
        <v>11358</v>
      </c>
      <c r="H993" s="250">
        <f>(G993-G992)/G992</f>
        <v>0.23282318463041354</v>
      </c>
      <c r="I993" s="245">
        <f>G993/98</f>
        <v>115.89795918367346</v>
      </c>
      <c r="J993" s="251">
        <f t="shared" si="228"/>
        <v>-3.1353212076103705E-2</v>
      </c>
      <c r="K993" s="272"/>
      <c r="L993" s="271"/>
      <c r="M993" s="273"/>
      <c r="N993" s="272"/>
      <c r="O993" s="273"/>
      <c r="P993" s="273"/>
      <c r="Q993" s="273"/>
    </row>
    <row r="994" spans="2:17" s="404" customFormat="1" ht="9.6" customHeight="1">
      <c r="B994" s="257">
        <v>36312</v>
      </c>
      <c r="C994" s="258">
        <v>1614</v>
      </c>
      <c r="D994" s="1144">
        <v>-0.19536469217856042</v>
      </c>
      <c r="E994" s="252">
        <f>C994/22</f>
        <v>73.36363636363636</v>
      </c>
      <c r="F994" s="259">
        <v>-0.23193902435226227</v>
      </c>
      <c r="G994" s="245">
        <f>SUM(C989:C994)</f>
        <v>12972</v>
      </c>
      <c r="H994" s="406">
        <v>0.2244698034043448</v>
      </c>
      <c r="I994" s="245">
        <f>G994/120</f>
        <v>108.1</v>
      </c>
      <c r="J994" s="251">
        <f t="shared" si="228"/>
        <v>-6.7282972354287734E-2</v>
      </c>
      <c r="K994" s="272"/>
      <c r="L994" s="271"/>
      <c r="M994" s="273"/>
      <c r="N994" s="272"/>
      <c r="O994" s="273"/>
      <c r="P994" s="273"/>
      <c r="Q994" s="273"/>
    </row>
    <row r="995" spans="2:17" s="404" customFormat="1" ht="9.6" customHeight="1" ph="1">
      <c r="B995" s="243">
        <v>36342</v>
      </c>
      <c r="C995" s="244">
        <v>1710</v>
      </c>
      <c r="D995" s="1142">
        <f t="shared" ref="D995:D1016" si="229">(C995-C994)/C994</f>
        <v>5.9479553903345722E-2</v>
      </c>
      <c r="E995" s="252">
        <f>C995/22</f>
        <v>77.727272727272734</v>
      </c>
      <c r="F995" s="233">
        <f t="shared" ref="F995:F1016" si="230">(E995-E994)/E994</f>
        <v>5.9479553903345868E-2</v>
      </c>
      <c r="G995" s="245">
        <f>SUM(C989:C995)</f>
        <v>14682</v>
      </c>
      <c r="H995" s="250">
        <f t="shared" ref="H995:H1000" si="231">(G995-G994)/G994</f>
        <v>0.13182238667900092</v>
      </c>
      <c r="I995" s="245">
        <f>G995/142</f>
        <v>103.3943661971831</v>
      </c>
      <c r="J995" s="251">
        <f t="shared" si="228"/>
        <v>-4.3530377454365318E-2</v>
      </c>
      <c r="K995" s="272"/>
      <c r="L995" s="271"/>
      <c r="M995" s="273"/>
      <c r="N995" s="272"/>
      <c r="O995" s="273"/>
      <c r="P995" s="273"/>
      <c r="Q995" s="273"/>
    </row>
    <row r="996" spans="2:17" s="404" customFormat="1" ht="9.6" customHeight="1">
      <c r="B996" s="243">
        <v>36373</v>
      </c>
      <c r="C996" s="244">
        <v>2752</v>
      </c>
      <c r="D996" s="1142">
        <f t="shared" si="229"/>
        <v>0.60935672514619887</v>
      </c>
      <c r="E996" s="252">
        <f>C996/21</f>
        <v>131.04761904761904</v>
      </c>
      <c r="F996" s="233">
        <f t="shared" si="230"/>
        <v>0.68599275967696993</v>
      </c>
      <c r="G996" s="245">
        <f>SUM(C990:C996)</f>
        <v>16205</v>
      </c>
      <c r="H996" s="250">
        <f t="shared" si="231"/>
        <v>0.10373246151750443</v>
      </c>
      <c r="I996" s="245">
        <f>G996/163</f>
        <v>99.417177914110425</v>
      </c>
      <c r="J996" s="251">
        <f t="shared" si="228"/>
        <v>-3.8466199168799911E-2</v>
      </c>
      <c r="K996" s="272"/>
      <c r="L996" s="271"/>
      <c r="M996" s="273"/>
      <c r="N996" s="272"/>
      <c r="O996" s="273"/>
      <c r="P996" s="273"/>
      <c r="Q996" s="273"/>
    </row>
    <row r="997" spans="2:17" s="404" customFormat="1" ht="9.6" customHeight="1">
      <c r="B997" s="243">
        <v>36404</v>
      </c>
      <c r="C997" s="244">
        <v>2473</v>
      </c>
      <c r="D997" s="1142">
        <f t="shared" si="229"/>
        <v>-0.10138081395348837</v>
      </c>
      <c r="E997" s="252">
        <f>C997/22</f>
        <v>112.40909090909091</v>
      </c>
      <c r="F997" s="233">
        <f t="shared" si="230"/>
        <v>-0.14222714059196612</v>
      </c>
      <c r="G997" s="245">
        <f>SUM(C989:C997)</f>
        <v>19907</v>
      </c>
      <c r="H997" s="250">
        <f t="shared" si="231"/>
        <v>0.22844800987349584</v>
      </c>
      <c r="I997" s="245">
        <f>G997/185</f>
        <v>107.60540540540541</v>
      </c>
      <c r="J997" s="251">
        <f t="shared" si="228"/>
        <v>8.2362300591242332E-2</v>
      </c>
      <c r="K997" s="272"/>
      <c r="L997" s="271"/>
      <c r="M997" s="273"/>
      <c r="N997" s="272"/>
      <c r="O997" s="273"/>
      <c r="P997" s="273"/>
      <c r="Q997" s="273"/>
    </row>
    <row r="998" spans="2:17" s="404" customFormat="1" ht="9.6" customHeight="1">
      <c r="B998" s="243">
        <v>36434</v>
      </c>
      <c r="C998" s="244">
        <v>3175</v>
      </c>
      <c r="D998" s="1142">
        <f t="shared" si="229"/>
        <v>0.28386575010109177</v>
      </c>
      <c r="E998" s="252">
        <f>C998/21</f>
        <v>151.1904761904762</v>
      </c>
      <c r="F998" s="233">
        <f t="shared" si="230"/>
        <v>0.3450022143916201</v>
      </c>
      <c r="G998" s="245">
        <f>SUM(C989:C998)</f>
        <v>23082</v>
      </c>
      <c r="H998" s="250">
        <f t="shared" si="231"/>
        <v>0.15949163610790174</v>
      </c>
      <c r="I998" s="245">
        <f>G998/206</f>
        <v>112.04854368932038</v>
      </c>
      <c r="J998" s="251">
        <f t="shared" si="228"/>
        <v>4.1291032426999073E-2</v>
      </c>
      <c r="K998" s="272"/>
      <c r="L998" s="271"/>
      <c r="M998" s="273"/>
      <c r="N998" s="272"/>
      <c r="O998" s="273"/>
      <c r="P998" s="273"/>
      <c r="Q998" s="273"/>
    </row>
    <row r="999" spans="2:17" s="404" customFormat="1" ht="9.6" customHeight="1">
      <c r="B999" s="243">
        <v>36465</v>
      </c>
      <c r="C999" s="244">
        <v>2863</v>
      </c>
      <c r="D999" s="1142">
        <f t="shared" si="229"/>
        <v>-9.8267716535433064E-2</v>
      </c>
      <c r="E999" s="252">
        <f>C999/20</f>
        <v>143.15</v>
      </c>
      <c r="F999" s="233">
        <f t="shared" si="230"/>
        <v>-5.3181102362204774E-2</v>
      </c>
      <c r="G999" s="245">
        <f>SUM(C989:C999)</f>
        <v>25945</v>
      </c>
      <c r="H999" s="250">
        <f t="shared" si="231"/>
        <v>0.12403604540334459</v>
      </c>
      <c r="I999" s="245">
        <f>G999/226</f>
        <v>114.80088495575221</v>
      </c>
      <c r="J999" s="251">
        <f t="shared" si="228"/>
        <v>2.4563828995968998E-2</v>
      </c>
      <c r="K999" s="272"/>
      <c r="L999" s="271"/>
      <c r="M999" s="273"/>
      <c r="N999" s="272"/>
      <c r="O999" s="273"/>
      <c r="P999" s="273"/>
      <c r="Q999" s="273"/>
    </row>
    <row r="1000" spans="2:17" s="404" customFormat="1" ht="9.6" customHeight="1">
      <c r="B1000" s="243">
        <v>36495</v>
      </c>
      <c r="C1000" s="244">
        <v>3049</v>
      </c>
      <c r="D1000" s="1142">
        <f t="shared" si="229"/>
        <v>6.4966818023052736E-2</v>
      </c>
      <c r="E1000" s="252">
        <f>C1000/22</f>
        <v>138.59090909090909</v>
      </c>
      <c r="F1000" s="233">
        <f t="shared" si="230"/>
        <v>-3.1848347251770256E-2</v>
      </c>
      <c r="G1000" s="245">
        <f>SUM(C989:C1000)</f>
        <v>28994</v>
      </c>
      <c r="H1000" s="250">
        <f t="shared" si="231"/>
        <v>0.11751782617074581</v>
      </c>
      <c r="I1000" s="245">
        <f>G1000/248</f>
        <v>116.91129032258064</v>
      </c>
      <c r="J1000" s="251">
        <f t="shared" si="228"/>
        <v>1.8383180300760277E-2</v>
      </c>
      <c r="K1000" s="272"/>
      <c r="L1000" s="271"/>
      <c r="M1000" s="273"/>
      <c r="N1000" s="272"/>
      <c r="O1000" s="273"/>
      <c r="P1000" s="273"/>
      <c r="Q1000" s="273"/>
    </row>
    <row r="1001" spans="2:17" s="404" customFormat="1" ht="9.6" customHeight="1">
      <c r="B1001" s="243">
        <v>36526</v>
      </c>
      <c r="C1001" s="244">
        <v>4287</v>
      </c>
      <c r="D1001" s="1142">
        <f t="shared" si="229"/>
        <v>0.40603476549688422</v>
      </c>
      <c r="E1001" s="252">
        <f>C1001/19</f>
        <v>225.63157894736841</v>
      </c>
      <c r="F1001" s="233">
        <f t="shared" si="230"/>
        <v>0.62804025478586589</v>
      </c>
      <c r="G1001" s="245">
        <f>SUM(C1001)</f>
        <v>4287</v>
      </c>
      <c r="H1001" s="260" t="s">
        <v>31</v>
      </c>
      <c r="I1001" s="245">
        <f>G1001/19</f>
        <v>225.63157894736841</v>
      </c>
      <c r="J1001" s="261" t="s">
        <v>31</v>
      </c>
      <c r="K1001" s="272"/>
      <c r="L1001" s="271"/>
      <c r="M1001" s="273"/>
      <c r="N1001" s="272"/>
      <c r="O1001" s="273"/>
      <c r="P1001" s="273"/>
      <c r="Q1001" s="273"/>
    </row>
    <row r="1002" spans="2:17" s="404" customFormat="1" ht="9.6" customHeight="1">
      <c r="B1002" s="243">
        <v>36557</v>
      </c>
      <c r="C1002" s="244">
        <v>2114</v>
      </c>
      <c r="D1002" s="1142">
        <f t="shared" si="229"/>
        <v>-0.50688126895264751</v>
      </c>
      <c r="E1002" s="252">
        <f>C1002/18</f>
        <v>117.44444444444444</v>
      </c>
      <c r="F1002" s="233">
        <f t="shared" si="230"/>
        <v>-0.47948578389446128</v>
      </c>
      <c r="G1002" s="245">
        <f>SUM(C1001:C1002)</f>
        <v>6401</v>
      </c>
      <c r="H1002" s="233">
        <f t="shared" ref="H1002:H1010" si="232">(G1002-G1001)/G1001</f>
        <v>0.49311873104735249</v>
      </c>
      <c r="I1002" s="245">
        <f>G1002/37</f>
        <v>173</v>
      </c>
      <c r="J1002" s="251">
        <f t="shared" si="228"/>
        <v>-0.23326335432703518</v>
      </c>
      <c r="K1002" s="272"/>
      <c r="L1002" s="271"/>
      <c r="M1002" s="273"/>
      <c r="N1002" s="272"/>
      <c r="O1002" s="273"/>
      <c r="P1002" s="273"/>
      <c r="Q1002" s="273"/>
    </row>
    <row r="1003" spans="2:17" s="404" customFormat="1" ht="9.6" customHeight="1">
      <c r="B1003" s="243">
        <v>36586</v>
      </c>
      <c r="C1003" s="244">
        <v>3068</v>
      </c>
      <c r="D1003" s="1142">
        <f t="shared" si="229"/>
        <v>0.45127719962157048</v>
      </c>
      <c r="E1003" s="252">
        <f>C1003/22</f>
        <v>139.45454545454547</v>
      </c>
      <c r="F1003" s="233">
        <f t="shared" si="230"/>
        <v>0.18740861787219415</v>
      </c>
      <c r="G1003" s="245">
        <f>SUM(C1001:C1003)</f>
        <v>9469</v>
      </c>
      <c r="H1003" s="233">
        <f t="shared" si="232"/>
        <v>0.47930010935791284</v>
      </c>
      <c r="I1003" s="245">
        <f>G1003/59</f>
        <v>160.4915254237288</v>
      </c>
      <c r="J1003" s="251">
        <f t="shared" si="228"/>
        <v>-7.2303321250122524E-2</v>
      </c>
      <c r="K1003" s="272"/>
      <c r="L1003" s="271"/>
      <c r="M1003" s="273"/>
      <c r="N1003" s="272"/>
      <c r="O1003" s="273"/>
      <c r="P1003" s="273"/>
      <c r="Q1003" s="273"/>
    </row>
    <row r="1004" spans="2:17" s="404" customFormat="1" ht="9.6" customHeight="1">
      <c r="B1004" s="522">
        <v>36617</v>
      </c>
      <c r="C1004" s="407">
        <v>1775</v>
      </c>
      <c r="D1004" s="1145">
        <f t="shared" si="229"/>
        <v>-0.42144719687092569</v>
      </c>
      <c r="E1004" s="409">
        <f>C1004/19</f>
        <v>93.421052631578945</v>
      </c>
      <c r="F1004" s="408">
        <f t="shared" si="230"/>
        <v>-0.33009675427159824</v>
      </c>
      <c r="G1004" s="245">
        <f>SUM(C1001:C1004)</f>
        <v>11244</v>
      </c>
      <c r="H1004" s="408">
        <f t="shared" si="232"/>
        <v>0.18745379659942971</v>
      </c>
      <c r="I1004" s="410">
        <f>G1004/78</f>
        <v>144.15384615384616</v>
      </c>
      <c r="J1004" s="249">
        <f t="shared" si="228"/>
        <v>-0.1017977692388928</v>
      </c>
      <c r="K1004" s="272"/>
      <c r="L1004" s="271"/>
      <c r="M1004" s="273"/>
      <c r="N1004" s="272"/>
      <c r="O1004" s="273"/>
      <c r="P1004" s="273"/>
      <c r="Q1004" s="273"/>
    </row>
    <row r="1005" spans="2:17" s="404" customFormat="1" ht="9.6" customHeight="1">
      <c r="B1005" s="243">
        <v>36647</v>
      </c>
      <c r="C1005" s="244">
        <v>3003</v>
      </c>
      <c r="D1005" s="1142">
        <f t="shared" si="229"/>
        <v>0.69183098591549297</v>
      </c>
      <c r="E1005" s="252">
        <f>C1005/21</f>
        <v>143</v>
      </c>
      <c r="F1005" s="233">
        <f t="shared" si="230"/>
        <v>0.5307042253521127</v>
      </c>
      <c r="G1005" s="245">
        <f>SUM(C1001:C1005)</f>
        <v>14247</v>
      </c>
      <c r="H1005" s="233">
        <f t="shared" si="232"/>
        <v>0.26707577374599789</v>
      </c>
      <c r="I1005" s="245">
        <f>G1005/99</f>
        <v>143.90909090909091</v>
      </c>
      <c r="J1005" s="251">
        <f t="shared" si="228"/>
        <v>-1.6978752304259875E-3</v>
      </c>
      <c r="K1005" s="272"/>
      <c r="L1005" s="271"/>
      <c r="M1005" s="273"/>
      <c r="N1005" s="272"/>
      <c r="O1005" s="273"/>
      <c r="P1005" s="273"/>
      <c r="Q1005" s="273"/>
    </row>
    <row r="1006" spans="2:17" s="404" customFormat="1" ht="9.6" customHeight="1">
      <c r="B1006" s="243">
        <v>36678</v>
      </c>
      <c r="C1006" s="244">
        <v>3192</v>
      </c>
      <c r="D1006" s="1142">
        <f t="shared" si="229"/>
        <v>6.2937062937062943E-2</v>
      </c>
      <c r="E1006" s="252">
        <f>C1006/21</f>
        <v>152</v>
      </c>
      <c r="F1006" s="233">
        <f t="shared" si="230"/>
        <v>6.2937062937062943E-2</v>
      </c>
      <c r="G1006" s="245">
        <f>SUM(C1001:C1006)</f>
        <v>17439</v>
      </c>
      <c r="H1006" s="233">
        <f t="shared" si="232"/>
        <v>0.22404716782480522</v>
      </c>
      <c r="I1006" s="245">
        <f>G1006/120</f>
        <v>145.32499999999999</v>
      </c>
      <c r="J1006" s="251">
        <f t="shared" si="228"/>
        <v>9.8389134554642474E-3</v>
      </c>
      <c r="K1006" s="272"/>
      <c r="L1006" s="271"/>
      <c r="M1006" s="273"/>
      <c r="N1006" s="272"/>
      <c r="O1006" s="273"/>
      <c r="P1006" s="273"/>
      <c r="Q1006" s="273"/>
    </row>
    <row r="1007" spans="2:17" s="404" customFormat="1" ht="9.6" customHeight="1">
      <c r="B1007" s="243">
        <v>36708</v>
      </c>
      <c r="C1007" s="244">
        <v>6296</v>
      </c>
      <c r="D1007" s="1142">
        <f t="shared" si="229"/>
        <v>0.97243107769423553</v>
      </c>
      <c r="E1007" s="252">
        <f>C1007/21</f>
        <v>299.8095238095238</v>
      </c>
      <c r="F1007" s="233">
        <f t="shared" si="230"/>
        <v>0.97243107769423553</v>
      </c>
      <c r="G1007" s="245">
        <f>SUM(C1001:C1007)</f>
        <v>23735</v>
      </c>
      <c r="H1007" s="233">
        <f t="shared" si="232"/>
        <v>0.36102987556625954</v>
      </c>
      <c r="I1007" s="245">
        <f>G1007/141</f>
        <v>168.33333333333334</v>
      </c>
      <c r="J1007" s="251">
        <f t="shared" si="228"/>
        <v>0.15832329835426359</v>
      </c>
      <c r="K1007" s="272"/>
      <c r="L1007" s="271"/>
      <c r="M1007" s="273"/>
      <c r="N1007" s="272"/>
      <c r="O1007" s="273"/>
      <c r="P1007" s="273"/>
      <c r="Q1007" s="273"/>
    </row>
    <row r="1008" spans="2:17" s="404" customFormat="1" ht="9.6" customHeight="1">
      <c r="B1008" s="243">
        <v>36739</v>
      </c>
      <c r="C1008" s="244">
        <v>7687</v>
      </c>
      <c r="D1008" s="1142">
        <f t="shared" si="229"/>
        <v>0.22093392630241424</v>
      </c>
      <c r="E1008" s="252">
        <f>C1008/22</f>
        <v>349.40909090909093</v>
      </c>
      <c r="F1008" s="233">
        <f t="shared" si="230"/>
        <v>0.16543692965230464</v>
      </c>
      <c r="G1008" s="245">
        <f>SUM(C1001:C1008)</f>
        <v>31422</v>
      </c>
      <c r="H1008" s="233">
        <f t="shared" si="232"/>
        <v>0.32386770591952813</v>
      </c>
      <c r="I1008" s="245">
        <f>G1008/163</f>
        <v>192.77300613496934</v>
      </c>
      <c r="J1008" s="251">
        <f t="shared" si="228"/>
        <v>0.14518617505922371</v>
      </c>
      <c r="K1008" s="272"/>
      <c r="L1008" s="271"/>
      <c r="M1008" s="273"/>
      <c r="N1008" s="272"/>
      <c r="O1008" s="273"/>
      <c r="P1008" s="273"/>
      <c r="Q1008" s="273"/>
    </row>
    <row r="1009" spans="2:17" s="404" customFormat="1" ht="9.6" customHeight="1">
      <c r="B1009" s="243">
        <v>36770</v>
      </c>
      <c r="C1009" s="244">
        <v>4011</v>
      </c>
      <c r="D1009" s="1142">
        <f t="shared" si="229"/>
        <v>-0.47820996487576428</v>
      </c>
      <c r="E1009" s="252">
        <f>C1009/21</f>
        <v>191</v>
      </c>
      <c r="F1009" s="233">
        <f t="shared" si="230"/>
        <v>-0.45336282034603881</v>
      </c>
      <c r="G1009" s="245">
        <f>SUM(C1001:C1009)</f>
        <v>35433</v>
      </c>
      <c r="H1009" s="233">
        <f t="shared" si="232"/>
        <v>0.12764941760549933</v>
      </c>
      <c r="I1009" s="245">
        <f>G1009/184</f>
        <v>192.57065217391303</v>
      </c>
      <c r="J1009" s="251">
        <f t="shared" si="228"/>
        <v>-1.0497007081719004E-3</v>
      </c>
      <c r="K1009" s="272"/>
      <c r="L1009" s="271"/>
      <c r="M1009" s="273"/>
      <c r="N1009" s="272"/>
      <c r="O1009" s="273"/>
      <c r="P1009" s="273"/>
      <c r="Q1009" s="273"/>
    </row>
    <row r="1010" spans="2:17" s="404" customFormat="1" ht="9.6" customHeight="1">
      <c r="B1010" s="243">
        <v>36800</v>
      </c>
      <c r="C1010" s="244">
        <v>5552</v>
      </c>
      <c r="D1010" s="1142">
        <f t="shared" si="229"/>
        <v>0.3841934679631015</v>
      </c>
      <c r="E1010" s="252">
        <f>C1010/21</f>
        <v>264.38095238095241</v>
      </c>
      <c r="F1010" s="233">
        <f t="shared" si="230"/>
        <v>0.38419346796310161</v>
      </c>
      <c r="G1010" s="245">
        <f>SUM(C1001:C1010)</f>
        <v>40985</v>
      </c>
      <c r="H1010" s="233">
        <f t="shared" si="232"/>
        <v>0.15669009115796009</v>
      </c>
      <c r="I1010" s="245">
        <f>G1010/205</f>
        <v>199.92682926829269</v>
      </c>
      <c r="J1010" s="251">
        <f t="shared" si="228"/>
        <v>3.8199886697876488E-2</v>
      </c>
      <c r="K1010" s="272"/>
      <c r="L1010" s="271"/>
      <c r="M1010" s="273"/>
      <c r="N1010" s="272"/>
      <c r="O1010" s="273"/>
      <c r="P1010" s="273"/>
      <c r="Q1010" s="273"/>
    </row>
    <row r="1011" spans="2:17" s="404" customFormat="1" ht="9.6" customHeight="1">
      <c r="B1011" s="243">
        <v>36831</v>
      </c>
      <c r="C1011" s="244">
        <v>2669</v>
      </c>
      <c r="D1011" s="1142">
        <f t="shared" si="229"/>
        <v>-0.51927233429394815</v>
      </c>
      <c r="E1011" s="252">
        <f>C1011/22</f>
        <v>121.31818181818181</v>
      </c>
      <c r="F1011" s="233">
        <f t="shared" si="230"/>
        <v>-0.54112359182604142</v>
      </c>
      <c r="G1011" s="245">
        <f>SUM(C1001:C1011)</f>
        <v>43654</v>
      </c>
      <c r="H1011" s="233">
        <f>(G1011-G1010)/G1010</f>
        <v>6.5121385872880327E-2</v>
      </c>
      <c r="I1011" s="245">
        <f>G1011/227</f>
        <v>192.30837004405285</v>
      </c>
      <c r="J1011" s="251">
        <f t="shared" si="228"/>
        <v>-3.810623742757515E-2</v>
      </c>
      <c r="K1011" s="272"/>
      <c r="L1011" s="271"/>
      <c r="M1011" s="273"/>
      <c r="N1011" s="272"/>
      <c r="O1011" s="273"/>
      <c r="P1011" s="273"/>
      <c r="Q1011" s="273"/>
    </row>
    <row r="1012" spans="2:17" s="404" customFormat="1" ht="9.6" customHeight="1">
      <c r="B1012" s="243">
        <v>36861</v>
      </c>
      <c r="C1012" s="244">
        <v>1158</v>
      </c>
      <c r="D1012" s="1142">
        <f t="shared" si="229"/>
        <v>-0.56612963656800297</v>
      </c>
      <c r="E1012" s="252">
        <f>C1012/16</f>
        <v>72.375</v>
      </c>
      <c r="F1012" s="233">
        <f t="shared" si="230"/>
        <v>-0.4034282502810041</v>
      </c>
      <c r="G1012" s="245">
        <f>SUM(C1001:C1012)</f>
        <v>44812</v>
      </c>
      <c r="H1012" s="233">
        <f t="shared" ref="H1012:H1019" si="233">(G1012-G1011)/G1011</f>
        <v>2.6526778760251064E-2</v>
      </c>
      <c r="I1012" s="245">
        <f>G1012/243</f>
        <v>184.41152263374485</v>
      </c>
      <c r="J1012" s="251">
        <f t="shared" si="228"/>
        <v>-4.1063461816555548E-2</v>
      </c>
      <c r="K1012" s="272"/>
      <c r="L1012" s="271"/>
      <c r="M1012" s="273"/>
      <c r="N1012" s="272"/>
      <c r="O1012" s="273"/>
      <c r="P1012" s="273"/>
      <c r="Q1012" s="273"/>
    </row>
    <row r="1013" spans="2:17" s="404" customFormat="1" ht="9.6" customHeight="1">
      <c r="B1013" s="243">
        <v>36892</v>
      </c>
      <c r="C1013" s="244">
        <v>6075</v>
      </c>
      <c r="D1013" s="1142">
        <f t="shared" si="229"/>
        <v>4.2461139896373057</v>
      </c>
      <c r="E1013" s="252">
        <f>C1013/19</f>
        <v>319.73684210526318</v>
      </c>
      <c r="F1013" s="233">
        <f t="shared" si="230"/>
        <v>3.4177802017998369</v>
      </c>
      <c r="G1013" s="245">
        <f>SUM(C1013)</f>
        <v>6075</v>
      </c>
      <c r="H1013" s="260" t="s">
        <v>31</v>
      </c>
      <c r="I1013" s="245">
        <f>G1013/19</f>
        <v>319.73684210526318</v>
      </c>
      <c r="J1013" s="261" t="s">
        <v>31</v>
      </c>
      <c r="K1013" s="272"/>
      <c r="L1013" s="271"/>
      <c r="M1013" s="273"/>
      <c r="N1013" s="272"/>
      <c r="O1013" s="273"/>
      <c r="P1013" s="273"/>
      <c r="Q1013" s="273"/>
    </row>
    <row r="1014" spans="2:17" s="404" customFormat="1" ht="9.6" customHeight="1">
      <c r="B1014" s="243">
        <v>36923</v>
      </c>
      <c r="C1014" s="244">
        <v>6356</v>
      </c>
      <c r="D1014" s="1142">
        <f t="shared" si="229"/>
        <v>4.6255144032921809E-2</v>
      </c>
      <c r="E1014" s="252">
        <f>C1014/19</f>
        <v>334.5263157894737</v>
      </c>
      <c r="F1014" s="233">
        <f t="shared" si="230"/>
        <v>4.6255144032921788E-2</v>
      </c>
      <c r="G1014" s="245">
        <f>SUM(C1013:C1014)</f>
        <v>12431</v>
      </c>
      <c r="H1014" s="233">
        <f t="shared" si="233"/>
        <v>1.0462551440329217</v>
      </c>
      <c r="I1014" s="245">
        <f>G1014/38</f>
        <v>327.13157894736844</v>
      </c>
      <c r="J1014" s="251">
        <f t="shared" si="228"/>
        <v>2.3127572016460894E-2</v>
      </c>
      <c r="K1014" s="272"/>
      <c r="L1014" s="271"/>
      <c r="M1014" s="273"/>
      <c r="N1014" s="272"/>
      <c r="O1014" s="273"/>
      <c r="P1014" s="273"/>
      <c r="Q1014" s="273"/>
    </row>
    <row r="1015" spans="2:17" s="404" customFormat="1" ht="9.6" customHeight="1">
      <c r="B1015" s="243">
        <v>36951</v>
      </c>
      <c r="C1015" s="244">
        <v>4210</v>
      </c>
      <c r="D1015" s="1142">
        <f t="shared" si="229"/>
        <v>-0.33763373190685964</v>
      </c>
      <c r="E1015" s="252">
        <f>C1015/20</f>
        <v>210.5</v>
      </c>
      <c r="F1015" s="233">
        <f t="shared" si="230"/>
        <v>-0.37075204531151673</v>
      </c>
      <c r="G1015" s="245">
        <f>SUM(C1013:C1015)</f>
        <v>16641</v>
      </c>
      <c r="H1015" s="233">
        <f t="shared" si="233"/>
        <v>0.33866945539377363</v>
      </c>
      <c r="I1015" s="245">
        <f>G1015/58</f>
        <v>286.91379310344826</v>
      </c>
      <c r="J1015" s="251">
        <f t="shared" ref="J1015:J1020" si="234">(I1015-I1014)/I1014</f>
        <v>-0.12294070163856222</v>
      </c>
      <c r="K1015" s="272"/>
      <c r="L1015" s="271"/>
      <c r="M1015" s="273"/>
      <c r="N1015" s="272"/>
      <c r="O1015" s="273"/>
      <c r="P1015" s="273"/>
      <c r="Q1015" s="273"/>
    </row>
    <row r="1016" spans="2:17" s="404" customFormat="1" ht="9.6" customHeight="1">
      <c r="B1016" s="243">
        <v>36982</v>
      </c>
      <c r="C1016" s="244">
        <v>4775</v>
      </c>
      <c r="D1016" s="1142">
        <f t="shared" si="229"/>
        <v>0.13420427553444181</v>
      </c>
      <c r="E1016" s="252">
        <f>C1016/21</f>
        <v>227.38095238095238</v>
      </c>
      <c r="F1016" s="233">
        <f t="shared" si="230"/>
        <v>8.0194548128039805E-2</v>
      </c>
      <c r="G1016" s="245">
        <f>SUM(C1013:C1016)</f>
        <v>21416</v>
      </c>
      <c r="H1016" s="233">
        <f t="shared" si="233"/>
        <v>0.28694189051138752</v>
      </c>
      <c r="I1016" s="245">
        <f>G1016/79</f>
        <v>271.08860759493672</v>
      </c>
      <c r="J1016" s="251">
        <f t="shared" si="234"/>
        <v>-5.5156586713158422E-2</v>
      </c>
      <c r="K1016" s="272"/>
      <c r="L1016" s="271"/>
      <c r="M1016" s="273"/>
      <c r="N1016" s="272"/>
      <c r="O1016" s="273"/>
      <c r="P1016" s="273"/>
      <c r="Q1016" s="273"/>
    </row>
    <row r="1017" spans="2:17" s="404" customFormat="1" ht="9.6" customHeight="1">
      <c r="B1017" s="243">
        <v>37012</v>
      </c>
      <c r="C1017" s="244">
        <v>3413</v>
      </c>
      <c r="D1017" s="1142">
        <f t="shared" ref="D1017:D1022" si="235">(C1017-C1016)/C1016</f>
        <v>-0.28523560209424081</v>
      </c>
      <c r="E1017" s="252">
        <f>C1017/21</f>
        <v>162.52380952380952</v>
      </c>
      <c r="F1017" s="233">
        <f t="shared" ref="F1017:F1022" si="236">(E1017-E1016)/E1016</f>
        <v>-0.28523560209424087</v>
      </c>
      <c r="G1017" s="245">
        <f>SUM(C1013:C1017)</f>
        <v>24829</v>
      </c>
      <c r="H1017" s="233">
        <f t="shared" si="233"/>
        <v>0.15936682853940978</v>
      </c>
      <c r="I1017" s="245">
        <f>G1017/100</f>
        <v>248.29</v>
      </c>
      <c r="J1017" s="251">
        <f t="shared" si="234"/>
        <v>-8.4100205453866331E-2</v>
      </c>
      <c r="K1017" s="272"/>
      <c r="L1017" s="271"/>
      <c r="M1017" s="273"/>
      <c r="N1017" s="272"/>
      <c r="O1017" s="273"/>
      <c r="P1017" s="273"/>
      <c r="Q1017" s="273"/>
    </row>
    <row r="1018" spans="2:17" s="404" customFormat="1" ht="9.6" customHeight="1">
      <c r="B1018" s="243">
        <v>37043</v>
      </c>
      <c r="C1018" s="244">
        <v>6202</v>
      </c>
      <c r="D1018" s="1142">
        <f t="shared" si="235"/>
        <v>0.81716964547319071</v>
      </c>
      <c r="E1018" s="252">
        <f>C1018/20</f>
        <v>310.10000000000002</v>
      </c>
      <c r="F1018" s="233">
        <f t="shared" si="236"/>
        <v>0.90802812774685049</v>
      </c>
      <c r="G1018" s="245">
        <f>SUM(C1013:C1018)</f>
        <v>31031</v>
      </c>
      <c r="H1018" s="233">
        <f t="shared" si="233"/>
        <v>0.24978855370735834</v>
      </c>
      <c r="I1018" s="245">
        <f>G1018/120</f>
        <v>258.59166666666664</v>
      </c>
      <c r="J1018" s="251">
        <f t="shared" si="234"/>
        <v>4.1490461422798539E-2</v>
      </c>
      <c r="K1018" s="272"/>
      <c r="L1018" s="271"/>
      <c r="M1018" s="273"/>
      <c r="N1018" s="272"/>
      <c r="O1018" s="273"/>
      <c r="P1018" s="273"/>
      <c r="Q1018" s="273"/>
    </row>
    <row r="1019" spans="2:17" s="404" customFormat="1" ht="9.6" customHeight="1">
      <c r="B1019" s="582">
        <v>37073</v>
      </c>
      <c r="C1019" s="578">
        <v>4626</v>
      </c>
      <c r="D1019" s="1159">
        <f t="shared" si="235"/>
        <v>-0.25411157691067399</v>
      </c>
      <c r="E1019" s="519">
        <f>C1019/22</f>
        <v>210.27272727272728</v>
      </c>
      <c r="F1019" s="259">
        <f t="shared" si="236"/>
        <v>-0.32191961537334002</v>
      </c>
      <c r="G1019" s="534">
        <f>SUM(C1013:C1019)</f>
        <v>35657</v>
      </c>
      <c r="H1019" s="579">
        <f t="shared" si="233"/>
        <v>0.14907672972189101</v>
      </c>
      <c r="I1019" s="534">
        <f>G1019/142</f>
        <v>251.1056338028169</v>
      </c>
      <c r="J1019" s="580">
        <f t="shared" si="234"/>
        <v>-2.8949242488542727E-2</v>
      </c>
      <c r="K1019" s="272"/>
      <c r="L1019" s="271"/>
      <c r="M1019" s="273"/>
      <c r="N1019" s="272"/>
      <c r="O1019" s="273"/>
      <c r="P1019" s="273"/>
      <c r="Q1019" s="273"/>
    </row>
    <row r="1020" spans="2:17" s="404" customFormat="1" ht="9.6" customHeight="1">
      <c r="B1020" s="257">
        <v>37104</v>
      </c>
      <c r="C1020" s="258">
        <v>3860</v>
      </c>
      <c r="D1020" s="1144">
        <f t="shared" si="235"/>
        <v>-0.16558581928231733</v>
      </c>
      <c r="E1020" s="519">
        <f>C1020/22</f>
        <v>175.45454545454547</v>
      </c>
      <c r="F1020" s="259">
        <f t="shared" si="236"/>
        <v>-0.1655858192823173</v>
      </c>
      <c r="G1020" s="520">
        <f>SUM(C1013:C1020)</f>
        <v>39517</v>
      </c>
      <c r="H1020" s="259">
        <f>(G1020-G1019)/G1019</f>
        <v>0.10825363883669406</v>
      </c>
      <c r="I1020" s="520">
        <f>G1020/164</f>
        <v>240.95731707317074</v>
      </c>
      <c r="J1020" s="521">
        <f t="shared" si="234"/>
        <v>-4.0414532226764839E-2</v>
      </c>
      <c r="K1020" s="272"/>
      <c r="L1020" s="271"/>
      <c r="M1020" s="273"/>
      <c r="N1020" s="272"/>
      <c r="O1020" s="273"/>
      <c r="P1020" s="273"/>
      <c r="Q1020" s="273"/>
    </row>
    <row r="1021" spans="2:17" s="404" customFormat="1" ht="9.6" customHeight="1">
      <c r="B1021" s="257">
        <v>37135</v>
      </c>
      <c r="C1021" s="258">
        <v>3627</v>
      </c>
      <c r="D1021" s="1144">
        <f t="shared" si="235"/>
        <v>-6.0362694300518133E-2</v>
      </c>
      <c r="E1021" s="519">
        <f>C1021/19</f>
        <v>190.89473684210526</v>
      </c>
      <c r="F1021" s="259">
        <f t="shared" si="236"/>
        <v>8.8001090809926269E-2</v>
      </c>
      <c r="G1021" s="520">
        <f>SUM(C1013:C1021)</f>
        <v>43144</v>
      </c>
      <c r="H1021" s="259">
        <f>(G1021-G1020)/G1020</f>
        <v>9.1783283143963362E-2</v>
      </c>
      <c r="I1021" s="520">
        <f>G1021/183</f>
        <v>235.75956284153006</v>
      </c>
      <c r="J1021" s="521">
        <f>(I1021-I1020)/I1020</f>
        <v>-2.1571265379180419E-2</v>
      </c>
      <c r="K1021" s="272"/>
      <c r="L1021" s="271"/>
      <c r="M1021" s="273"/>
      <c r="N1021" s="272"/>
      <c r="O1021" s="273"/>
      <c r="P1021" s="273"/>
      <c r="Q1021" s="273"/>
    </row>
    <row r="1022" spans="2:17" s="404" customFormat="1" ht="9.6" customHeight="1">
      <c r="B1022" s="257">
        <v>37165</v>
      </c>
      <c r="C1022" s="258">
        <v>6991</v>
      </c>
      <c r="D1022" s="1144">
        <f t="shared" si="235"/>
        <v>0.92748828232699199</v>
      </c>
      <c r="E1022" s="519">
        <f>C1022/23</f>
        <v>303.95652173913044</v>
      </c>
      <c r="F1022" s="259">
        <f t="shared" si="236"/>
        <v>0.59227292887881955</v>
      </c>
      <c r="G1022" s="520">
        <f>SUM(C1013:C1022)</f>
        <v>50135</v>
      </c>
      <c r="H1022" s="259">
        <f>(G1022-G1021)/G1021</f>
        <v>0.16203875394029296</v>
      </c>
      <c r="I1022" s="520">
        <f>G1022/206</f>
        <v>243.373786407767</v>
      </c>
      <c r="J1022" s="521">
        <f>(I1022-I1021)/I1021</f>
        <v>3.2296562966376806E-2</v>
      </c>
      <c r="K1022" s="272"/>
      <c r="L1022" s="271"/>
      <c r="M1022" s="273"/>
      <c r="N1022" s="272"/>
      <c r="O1022" s="273"/>
      <c r="P1022" s="273"/>
      <c r="Q1022" s="273"/>
    </row>
    <row r="1023" spans="2:17" s="404" customFormat="1" ht="9.6" customHeight="1">
      <c r="B1023" s="243">
        <v>37196</v>
      </c>
      <c r="C1023" s="244">
        <v>2814</v>
      </c>
      <c r="D1023" s="1142">
        <f t="shared" ref="D1023:D1028" si="237">(C1023-C1022)/C1022</f>
        <v>-0.59748247747103422</v>
      </c>
      <c r="E1023" s="252">
        <f>C1023/20</f>
        <v>140.69999999999999</v>
      </c>
      <c r="F1023" s="233">
        <f t="shared" ref="F1023:F1028" si="238">(E1023-E1022)/E1022</f>
        <v>-0.53710484909168932</v>
      </c>
      <c r="G1023" s="245">
        <f>SUM(C1013:C1023)</f>
        <v>52949</v>
      </c>
      <c r="H1023" s="233">
        <f>(G1023-G1022)/G1022</f>
        <v>5.6128453176423655E-2</v>
      </c>
      <c r="I1023" s="245">
        <f>G1023/226</f>
        <v>234.28761061946904</v>
      </c>
      <c r="J1023" s="251">
        <f>(I1023-I1022)/I1022</f>
        <v>-3.733424179494127E-2</v>
      </c>
      <c r="K1023" s="272"/>
      <c r="L1023" s="271"/>
      <c r="M1023" s="273"/>
      <c r="N1023" s="272"/>
      <c r="O1023" s="273"/>
      <c r="P1023" s="273"/>
      <c r="Q1023" s="273"/>
    </row>
    <row r="1024" spans="2:17" s="404" customFormat="1" ht="9.6" customHeight="1">
      <c r="B1024" s="257">
        <v>37226</v>
      </c>
      <c r="C1024" s="258">
        <v>1965</v>
      </c>
      <c r="D1024" s="1144">
        <f t="shared" si="237"/>
        <v>-0.30170575692963753</v>
      </c>
      <c r="E1024" s="519">
        <f>C1024/17</f>
        <v>115.58823529411765</v>
      </c>
      <c r="F1024" s="259">
        <f t="shared" si="238"/>
        <v>-0.17847736109369111</v>
      </c>
      <c r="G1024" s="520">
        <f>SUM(C1013:C1024)</f>
        <v>54914</v>
      </c>
      <c r="H1024" s="259">
        <f>(G1024-G1023)/G1023</f>
        <v>3.7111182458592233E-2</v>
      </c>
      <c r="I1024" s="520">
        <f>G1024/243</f>
        <v>225.98353909465021</v>
      </c>
      <c r="J1024" s="521">
        <f>(I1024-I1023)/I1023</f>
        <v>-3.5443920840980074E-2</v>
      </c>
      <c r="K1024" s="272"/>
      <c r="L1024" s="271"/>
      <c r="M1024" s="273"/>
      <c r="N1024" s="272"/>
      <c r="O1024" s="273"/>
      <c r="P1024" s="273"/>
      <c r="Q1024" s="273"/>
    </row>
    <row r="1025" spans="2:17" s="404" customFormat="1" ht="9.6" customHeight="1">
      <c r="B1025" s="257">
        <v>37257</v>
      </c>
      <c r="C1025" s="258">
        <v>7772</v>
      </c>
      <c r="D1025" s="1144">
        <f t="shared" si="237"/>
        <v>2.9552162849872774</v>
      </c>
      <c r="E1025" s="519">
        <f>C1025/22</f>
        <v>353.27272727272725</v>
      </c>
      <c r="F1025" s="259">
        <f t="shared" si="238"/>
        <v>2.0563034929447142</v>
      </c>
      <c r="G1025" s="520">
        <f>SUM(C1025)</f>
        <v>7772</v>
      </c>
      <c r="H1025" s="585" t="s">
        <v>31</v>
      </c>
      <c r="I1025" s="685">
        <f>G1025/22</f>
        <v>353.27272727272725</v>
      </c>
      <c r="J1025" s="684" t="s">
        <v>31</v>
      </c>
      <c r="K1025" s="272"/>
      <c r="L1025" s="271"/>
      <c r="M1025" s="273"/>
      <c r="N1025" s="272"/>
      <c r="O1025" s="273"/>
      <c r="P1025" s="273"/>
      <c r="Q1025" s="273"/>
    </row>
    <row r="1026" spans="2:17" s="404" customFormat="1" ht="9.6" customHeight="1">
      <c r="B1026" s="257">
        <v>37288</v>
      </c>
      <c r="C1026" s="258">
        <v>2774</v>
      </c>
      <c r="D1026" s="1144">
        <f t="shared" si="237"/>
        <v>-0.6430777148739063</v>
      </c>
      <c r="E1026" s="519">
        <f>C1026/16</f>
        <v>173.375</v>
      </c>
      <c r="F1026" s="259">
        <f t="shared" si="238"/>
        <v>-0.50923185795162118</v>
      </c>
      <c r="G1026" s="520">
        <f>SUM(C$1025:C1026)</f>
        <v>10546</v>
      </c>
      <c r="H1026" s="259">
        <f t="shared" ref="H1026:H1031" si="239">(G1026-G1025)/G1025</f>
        <v>0.3569222851260937</v>
      </c>
      <c r="I1026" s="685">
        <f>G1026/38</f>
        <v>277.5263157894737</v>
      </c>
      <c r="J1026" s="521">
        <f t="shared" ref="J1026:J1031" si="240">(I1026-I1025)/I1025</f>
        <v>-0.21441341387436674</v>
      </c>
      <c r="K1026" s="272"/>
      <c r="L1026" s="271"/>
      <c r="M1026" s="273"/>
      <c r="N1026" s="272"/>
      <c r="O1026" s="273"/>
      <c r="P1026" s="273"/>
      <c r="Q1026" s="273"/>
    </row>
    <row r="1027" spans="2:17" s="404" customFormat="1" ht="9.6" customHeight="1" ph="1">
      <c r="B1027" s="257">
        <v>37316</v>
      </c>
      <c r="C1027" s="258">
        <v>4510</v>
      </c>
      <c r="D1027" s="1144">
        <f t="shared" si="237"/>
        <v>0.62581110310021626</v>
      </c>
      <c r="E1027" s="519">
        <f>C1027/20</f>
        <v>225.5</v>
      </c>
      <c r="F1027" s="259">
        <f t="shared" si="238"/>
        <v>0.30064888248017302</v>
      </c>
      <c r="G1027" s="520">
        <f>SUM(C$1025:C1027)</f>
        <v>15056</v>
      </c>
      <c r="H1027" s="259">
        <f t="shared" si="239"/>
        <v>0.4276502939503129</v>
      </c>
      <c r="I1027" s="685">
        <f>G1027/58</f>
        <v>259.58620689655174</v>
      </c>
      <c r="J1027" s="521">
        <f t="shared" si="240"/>
        <v>-6.4642910860139791E-2</v>
      </c>
      <c r="K1027" s="272"/>
      <c r="L1027" s="271"/>
      <c r="M1027" s="273"/>
      <c r="N1027" s="272"/>
      <c r="O1027" s="273"/>
      <c r="P1027" s="273"/>
      <c r="Q1027" s="273"/>
    </row>
    <row r="1028" spans="2:17" s="404" customFormat="1" ht="9.6" customHeight="1">
      <c r="B1028" s="257">
        <v>37347</v>
      </c>
      <c r="C1028" s="258">
        <v>7448</v>
      </c>
      <c r="D1028" s="1144">
        <f t="shared" si="237"/>
        <v>0.65144124168514417</v>
      </c>
      <c r="E1028" s="519">
        <f>C1028/21</f>
        <v>354.66666666666669</v>
      </c>
      <c r="F1028" s="259">
        <f t="shared" si="238"/>
        <v>0.57280118255728019</v>
      </c>
      <c r="G1028" s="520">
        <f>SUM(C$1025:C1028)</f>
        <v>22504</v>
      </c>
      <c r="H1028" s="259">
        <f t="shared" si="239"/>
        <v>0.49468650371944739</v>
      </c>
      <c r="I1028" s="685">
        <f>G1028/79</f>
        <v>284.86075949367091</v>
      </c>
      <c r="J1028" s="521">
        <f t="shared" si="240"/>
        <v>9.7364774882632288E-2</v>
      </c>
      <c r="K1028" s="272"/>
      <c r="L1028" s="271"/>
      <c r="M1028" s="273"/>
      <c r="N1028" s="272"/>
      <c r="O1028" s="273"/>
      <c r="P1028" s="273"/>
      <c r="Q1028" s="273"/>
    </row>
    <row r="1029" spans="2:17" s="404" customFormat="1" ht="9.6" customHeight="1">
      <c r="B1029" s="257">
        <v>37377</v>
      </c>
      <c r="C1029" s="258">
        <v>6229</v>
      </c>
      <c r="D1029" s="1144">
        <f t="shared" ref="D1029:D1034" si="241">(C1029-C1028)/C1028</f>
        <v>-0.16366809881847477</v>
      </c>
      <c r="E1029" s="519">
        <f>C1029/21</f>
        <v>296.61904761904759</v>
      </c>
      <c r="F1029" s="259">
        <f t="shared" ref="F1029:F1034" si="242">(E1029-E1028)/E1028</f>
        <v>-0.16366809881847488</v>
      </c>
      <c r="G1029" s="520">
        <f>SUM(C$1025:C1029)</f>
        <v>28733</v>
      </c>
      <c r="H1029" s="259">
        <f t="shared" si="239"/>
        <v>0.27679523640241732</v>
      </c>
      <c r="I1029" s="685">
        <f>G1029/100</f>
        <v>287.33</v>
      </c>
      <c r="J1029" s="521">
        <f t="shared" si="240"/>
        <v>8.6682367579095573E-3</v>
      </c>
      <c r="K1029" s="272"/>
      <c r="L1029" s="271"/>
      <c r="M1029" s="273"/>
      <c r="N1029" s="272"/>
      <c r="O1029" s="273"/>
      <c r="P1029" s="273"/>
      <c r="Q1029" s="273"/>
    </row>
    <row r="1030" spans="2:17" s="404" customFormat="1" ht="9.6" customHeight="1">
      <c r="B1030" s="257">
        <v>37408</v>
      </c>
      <c r="C1030" s="258">
        <v>5337</v>
      </c>
      <c r="D1030" s="1144">
        <f t="shared" si="241"/>
        <v>-0.14320115588376947</v>
      </c>
      <c r="E1030" s="519">
        <f>C1030/20</f>
        <v>266.85000000000002</v>
      </c>
      <c r="F1030" s="259">
        <f t="shared" si="242"/>
        <v>-0.10036121367795778</v>
      </c>
      <c r="G1030" s="520">
        <f>SUM(C$1025:C1030)</f>
        <v>34070</v>
      </c>
      <c r="H1030" s="259">
        <f t="shared" si="239"/>
        <v>0.18574461420666133</v>
      </c>
      <c r="I1030" s="685">
        <f>G1030/120</f>
        <v>283.91666666666669</v>
      </c>
      <c r="J1030" s="521">
        <f t="shared" si="240"/>
        <v>-1.1879488161115438E-2</v>
      </c>
      <c r="K1030" s="272"/>
      <c r="L1030" s="271"/>
      <c r="M1030" s="273"/>
      <c r="N1030" s="272"/>
      <c r="O1030" s="273"/>
      <c r="P1030" s="273"/>
      <c r="Q1030" s="273"/>
    </row>
    <row r="1031" spans="2:17" s="404" customFormat="1" ht="9.6" customHeight="1">
      <c r="B1031" s="257">
        <v>37438</v>
      </c>
      <c r="C1031" s="258">
        <v>6888</v>
      </c>
      <c r="D1031" s="1144">
        <f t="shared" si="241"/>
        <v>0.29061270376616077</v>
      </c>
      <c r="E1031" s="519">
        <f>C1031/23</f>
        <v>299.47826086956519</v>
      </c>
      <c r="F1031" s="259">
        <f t="shared" si="242"/>
        <v>0.12227191631840047</v>
      </c>
      <c r="G1031" s="520">
        <f>SUM(C$1025:C1031)</f>
        <v>40958</v>
      </c>
      <c r="H1031" s="259">
        <f t="shared" si="239"/>
        <v>0.20217199882594658</v>
      </c>
      <c r="I1031" s="685">
        <f>G1031/143</f>
        <v>286.41958041958043</v>
      </c>
      <c r="J1031" s="521">
        <f t="shared" si="240"/>
        <v>8.8156633504446417E-3</v>
      </c>
      <c r="K1031" s="272"/>
      <c r="L1031" s="271"/>
      <c r="M1031" s="273"/>
      <c r="N1031" s="272"/>
      <c r="O1031" s="273"/>
      <c r="P1031" s="273"/>
      <c r="Q1031" s="273"/>
    </row>
    <row r="1032" spans="2:17" s="404" customFormat="1" ht="9.6" customHeight="1">
      <c r="B1032" s="257">
        <v>37469</v>
      </c>
      <c r="C1032" s="258">
        <v>3245</v>
      </c>
      <c r="D1032" s="1144">
        <f t="shared" si="241"/>
        <v>-0.5288908246225319</v>
      </c>
      <c r="E1032" s="519">
        <f>C1032/22</f>
        <v>147.5</v>
      </c>
      <c r="F1032" s="259">
        <f t="shared" si="242"/>
        <v>-0.50747677119628332</v>
      </c>
      <c r="G1032" s="520">
        <f>SUM(C$1025:C1032)</f>
        <v>44203</v>
      </c>
      <c r="H1032" s="259">
        <f>(G1032-G1031)/G1031</f>
        <v>7.9227501342838999E-2</v>
      </c>
      <c r="I1032" s="685">
        <f>G1032/165</f>
        <v>267.89696969696968</v>
      </c>
      <c r="J1032" s="521">
        <f>(I1032-I1031)/I1031</f>
        <v>-6.4669498836206291E-2</v>
      </c>
      <c r="K1032" s="272"/>
      <c r="L1032" s="271"/>
      <c r="M1032" s="273"/>
      <c r="N1032" s="272"/>
      <c r="O1032" s="273"/>
      <c r="P1032" s="273"/>
      <c r="Q1032" s="273"/>
    </row>
    <row r="1033" spans="2:17" s="404" customFormat="1" ht="9.6" customHeight="1">
      <c r="B1033" s="257">
        <v>37500</v>
      </c>
      <c r="C1033" s="258">
        <v>3569</v>
      </c>
      <c r="D1033" s="1144">
        <f t="shared" si="241"/>
        <v>9.9845916795069337E-2</v>
      </c>
      <c r="E1033" s="519">
        <f>C1033/21</f>
        <v>169.95238095238096</v>
      </c>
      <c r="F1033" s="259">
        <f t="shared" si="242"/>
        <v>0.1522195318805489</v>
      </c>
      <c r="G1033" s="520">
        <f>SUM(C$1025:C1033)</f>
        <v>47772</v>
      </c>
      <c r="H1033" s="259">
        <f>(G1033-G1032)/G1032</f>
        <v>8.0741126167907157E-2</v>
      </c>
      <c r="I1033" s="685">
        <f>G1033/186</f>
        <v>256.83870967741933</v>
      </c>
      <c r="J1033" s="521">
        <f>(I1033-I1032)/I1032</f>
        <v>-4.1278033238146897E-2</v>
      </c>
      <c r="K1033" s="272"/>
      <c r="L1033" s="271"/>
      <c r="M1033" s="273"/>
      <c r="N1033" s="272"/>
      <c r="O1033" s="273"/>
      <c r="P1033" s="273"/>
      <c r="Q1033" s="273"/>
    </row>
    <row r="1034" spans="2:17" s="404" customFormat="1" ht="9.6" customHeight="1">
      <c r="B1034" s="257">
        <v>37530</v>
      </c>
      <c r="C1034" s="258">
        <v>10907</v>
      </c>
      <c r="D1034" s="1144">
        <f t="shared" si="241"/>
        <v>2.0560381059120201</v>
      </c>
      <c r="E1034" s="519">
        <f>C1034/23</f>
        <v>474.21739130434781</v>
      </c>
      <c r="F1034" s="259">
        <f t="shared" si="242"/>
        <v>1.7902956619196704</v>
      </c>
      <c r="G1034" s="520">
        <f>SUM(C$1025:C1034)</f>
        <v>58679</v>
      </c>
      <c r="H1034" s="259">
        <f>(G1034-G1033)/G1033</f>
        <v>0.22831365653520891</v>
      </c>
      <c r="I1034" s="685">
        <f>G1034/209</f>
        <v>280.76076555023923</v>
      </c>
      <c r="J1034" s="521">
        <f>(I1034-I1033)/I1033</f>
        <v>9.3140383327985035E-2</v>
      </c>
      <c r="K1034" s="272"/>
      <c r="L1034" s="271"/>
      <c r="M1034" s="273"/>
      <c r="N1034" s="272"/>
      <c r="O1034" s="273"/>
      <c r="P1034" s="273"/>
      <c r="Q1034" s="273"/>
    </row>
    <row r="1035" spans="2:17" s="404" customFormat="1" ht="9.6" customHeight="1">
      <c r="B1035" s="257">
        <v>37561</v>
      </c>
      <c r="C1035" s="258">
        <v>4807</v>
      </c>
      <c r="D1035" s="1144">
        <f t="shared" ref="D1035:D1040" si="243">(C1035-C1034)/C1034</f>
        <v>-0.55927386082332442</v>
      </c>
      <c r="E1035" s="519">
        <f>C1035/20</f>
        <v>240.35</v>
      </c>
      <c r="F1035" s="259">
        <f t="shared" ref="F1035:F1040" si="244">(E1035-E1034)/E1034</f>
        <v>-0.49316493994682314</v>
      </c>
      <c r="G1035" s="520">
        <f>SUM(C$1025:C1035)</f>
        <v>63486</v>
      </c>
      <c r="H1035" s="259">
        <f>(G1035-G1034)/G1034</f>
        <v>8.1920278123349066E-2</v>
      </c>
      <c r="I1035" s="685">
        <f>G1035/229</f>
        <v>277.23144104803492</v>
      </c>
      <c r="J1035" s="521">
        <f>(I1035-I1034)/I1034</f>
        <v>-1.2570575861222916E-2</v>
      </c>
      <c r="K1035" s="272"/>
      <c r="L1035" s="271"/>
      <c r="M1035" s="273"/>
      <c r="N1035" s="272"/>
      <c r="O1035" s="273"/>
      <c r="P1035" s="273"/>
      <c r="Q1035" s="273"/>
    </row>
    <row r="1036" spans="2:17" s="404" customFormat="1" ht="9.6" customHeight="1">
      <c r="B1036" s="257">
        <v>37591</v>
      </c>
      <c r="C1036" s="258">
        <v>821</v>
      </c>
      <c r="D1036" s="1144">
        <f t="shared" si="243"/>
        <v>-0.82920740586644481</v>
      </c>
      <c r="E1036" s="519">
        <f>C1036/19</f>
        <v>43.210526315789473</v>
      </c>
      <c r="F1036" s="259">
        <f t="shared" si="244"/>
        <v>-0.8202183219646787</v>
      </c>
      <c r="G1036" s="520">
        <f>SUM(C$1025:C1036)</f>
        <v>64307</v>
      </c>
      <c r="H1036" s="259">
        <f>(G1036-G1035)/G1035</f>
        <v>1.2931985004567936E-2</v>
      </c>
      <c r="I1036" s="685">
        <f>G1036/248</f>
        <v>259.30241935483872</v>
      </c>
      <c r="J1036" s="521">
        <f>(I1036-I1035)/I1035</f>
        <v>-6.4671675136910994E-2</v>
      </c>
      <c r="K1036" s="272"/>
      <c r="L1036" s="271"/>
      <c r="M1036" s="273"/>
      <c r="N1036" s="272"/>
      <c r="O1036" s="273"/>
      <c r="P1036" s="273"/>
      <c r="Q1036" s="273"/>
    </row>
    <row r="1037" spans="2:17" s="404" customFormat="1" ht="9.6" customHeight="1">
      <c r="B1037" s="257">
        <v>37622</v>
      </c>
      <c r="C1037" s="258">
        <v>7643</v>
      </c>
      <c r="D1037" s="1144">
        <f t="shared" si="243"/>
        <v>8.3093788063337399</v>
      </c>
      <c r="E1037" s="519">
        <f>C1037/21</f>
        <v>363.95238095238096</v>
      </c>
      <c r="F1037" s="259">
        <f t="shared" si="244"/>
        <v>7.4227713009686216</v>
      </c>
      <c r="G1037" s="520">
        <f>SUM(C$1037:C1037)</f>
        <v>7643</v>
      </c>
      <c r="H1037" s="675" t="s">
        <v>31</v>
      </c>
      <c r="I1037" s="685">
        <f>G1037/21</f>
        <v>363.95238095238096</v>
      </c>
      <c r="J1037" s="521" t="s">
        <v>31</v>
      </c>
      <c r="K1037" s="272"/>
      <c r="L1037" s="271"/>
      <c r="M1037" s="273"/>
      <c r="N1037" s="272"/>
      <c r="O1037" s="273"/>
      <c r="P1037" s="273"/>
      <c r="Q1037" s="273"/>
    </row>
    <row r="1038" spans="2:17" s="404" customFormat="1" ht="9.6" customHeight="1">
      <c r="B1038" s="257">
        <v>37653</v>
      </c>
      <c r="C1038" s="258">
        <v>5857</v>
      </c>
      <c r="D1038" s="1144">
        <f t="shared" si="243"/>
        <v>-0.23367787517990318</v>
      </c>
      <c r="E1038" s="519">
        <f>C1038/17</f>
        <v>344.52941176470586</v>
      </c>
      <c r="F1038" s="259">
        <f t="shared" si="244"/>
        <v>-5.3366786986939321E-2</v>
      </c>
      <c r="G1038" s="520">
        <f>SUM(C$1037:C1038)</f>
        <v>13500</v>
      </c>
      <c r="H1038" s="259">
        <f t="shared" ref="H1038:H1043" si="245">(G1038-G1037)/G1037</f>
        <v>0.76632212482009687</v>
      </c>
      <c r="I1038" s="685">
        <f>G1038/38</f>
        <v>355.26315789473682</v>
      </c>
      <c r="J1038" s="521">
        <f t="shared" ref="J1038:J1043" si="246">(I1038-I1037)/I1037</f>
        <v>-2.3874615230999211E-2</v>
      </c>
      <c r="K1038" s="272"/>
      <c r="L1038" s="271"/>
      <c r="M1038" s="273"/>
      <c r="N1038" s="272"/>
      <c r="O1038" s="273"/>
      <c r="P1038" s="273"/>
      <c r="Q1038" s="273"/>
    </row>
    <row r="1039" spans="2:17" s="404" customFormat="1" ht="9.6" customHeight="1">
      <c r="B1039" s="257">
        <v>37681</v>
      </c>
      <c r="C1039" s="258">
        <v>16553</v>
      </c>
      <c r="D1039" s="1144">
        <f t="shared" si="243"/>
        <v>1.8261908827044562</v>
      </c>
      <c r="E1039" s="519">
        <f>C1039/20</f>
        <v>827.65</v>
      </c>
      <c r="F1039" s="259">
        <f t="shared" si="244"/>
        <v>1.4022622502987878</v>
      </c>
      <c r="G1039" s="520">
        <f>SUM(C$1037:C1039)</f>
        <v>30053</v>
      </c>
      <c r="H1039" s="259">
        <f t="shared" si="245"/>
        <v>1.2261481481481482</v>
      </c>
      <c r="I1039" s="685">
        <f>G1039/58</f>
        <v>518.15517241379314</v>
      </c>
      <c r="J1039" s="521">
        <f t="shared" si="246"/>
        <v>0.45851085568326966</v>
      </c>
      <c r="K1039" s="272"/>
      <c r="L1039" s="271"/>
      <c r="M1039" s="273"/>
      <c r="N1039" s="272"/>
      <c r="O1039" s="273"/>
      <c r="P1039" s="273"/>
      <c r="Q1039" s="273"/>
    </row>
    <row r="1040" spans="2:17" s="404" customFormat="1" ht="9.6" customHeight="1">
      <c r="B1040" s="257">
        <v>37712</v>
      </c>
      <c r="C1040" s="258">
        <v>9923</v>
      </c>
      <c r="D1040" s="1144">
        <f t="shared" si="243"/>
        <v>-0.40053162568718659</v>
      </c>
      <c r="E1040" s="519">
        <f>C1040/22</f>
        <v>451.04545454545456</v>
      </c>
      <c r="F1040" s="259">
        <f t="shared" si="244"/>
        <v>-0.45502875062471509</v>
      </c>
      <c r="G1040" s="520">
        <f>SUM(C$1037:C1040)</f>
        <v>39976</v>
      </c>
      <c r="H1040" s="259">
        <f t="shared" si="245"/>
        <v>0.33018334276112205</v>
      </c>
      <c r="I1040" s="685">
        <f>G1040/80</f>
        <v>499.7</v>
      </c>
      <c r="J1040" s="521">
        <f t="shared" si="246"/>
        <v>-3.5617076498186621E-2</v>
      </c>
      <c r="K1040" s="272"/>
      <c r="L1040" s="271"/>
      <c r="M1040" s="273"/>
      <c r="N1040" s="272"/>
      <c r="O1040" s="273"/>
      <c r="P1040" s="273"/>
      <c r="Q1040" s="273"/>
    </row>
    <row r="1041" spans="2:17" s="404" customFormat="1" ht="9.6" customHeight="1">
      <c r="B1041" s="257">
        <v>37742</v>
      </c>
      <c r="C1041" s="258">
        <v>3157</v>
      </c>
      <c r="D1041" s="1144">
        <f t="shared" ref="D1041:D1046" si="247">(C1041-C1040)/C1040</f>
        <v>-0.68185024690113882</v>
      </c>
      <c r="E1041" s="519">
        <f>C1041/19</f>
        <v>166.15789473684211</v>
      </c>
      <c r="F1041" s="259">
        <f t="shared" ref="F1041:F1046" si="248">(E1041-E1040)/E1040</f>
        <v>-0.63161607535921327</v>
      </c>
      <c r="G1041" s="520">
        <f>SUM(C$1037:C1041)</f>
        <v>43133</v>
      </c>
      <c r="H1041" s="259">
        <f t="shared" si="245"/>
        <v>7.8972383430058038E-2</v>
      </c>
      <c r="I1041" s="685">
        <f>G1041/99</f>
        <v>435.68686868686871</v>
      </c>
      <c r="J1041" s="521">
        <f t="shared" si="246"/>
        <v>-0.12810312450096314</v>
      </c>
      <c r="K1041" s="272"/>
      <c r="L1041" s="271"/>
      <c r="M1041" s="273"/>
      <c r="N1041" s="272"/>
      <c r="O1041" s="273"/>
      <c r="P1041" s="273"/>
      <c r="Q1041" s="273"/>
    </row>
    <row r="1042" spans="2:17" s="404" customFormat="1" ht="9.6" customHeight="1">
      <c r="B1042" s="257">
        <v>37773</v>
      </c>
      <c r="C1042" s="258">
        <v>5393</v>
      </c>
      <c r="D1042" s="1144">
        <f t="shared" si="247"/>
        <v>0.70826734241368383</v>
      </c>
      <c r="E1042" s="519">
        <f>C1042/21</f>
        <v>256.8095238095238</v>
      </c>
      <c r="F1042" s="259">
        <f t="shared" si="248"/>
        <v>0.54557521456476143</v>
      </c>
      <c r="G1042" s="520">
        <f>SUM(C$1037:C1042)</f>
        <v>48526</v>
      </c>
      <c r="H1042" s="259">
        <f t="shared" si="245"/>
        <v>0.12503187814434424</v>
      </c>
      <c r="I1042" s="685">
        <f>G1042/120</f>
        <v>404.38333333333333</v>
      </c>
      <c r="J1042" s="521">
        <f t="shared" si="246"/>
        <v>-7.1848700530916063E-2</v>
      </c>
      <c r="K1042" s="272"/>
      <c r="L1042" s="271"/>
      <c r="M1042" s="273"/>
      <c r="N1042" s="272"/>
      <c r="O1042" s="273"/>
      <c r="P1042" s="273"/>
      <c r="Q1042" s="273"/>
    </row>
    <row r="1043" spans="2:17" s="404" customFormat="1" ht="9.6" customHeight="1">
      <c r="B1043" s="257">
        <v>37803</v>
      </c>
      <c r="C1043" s="258">
        <v>24267</v>
      </c>
      <c r="D1043" s="1144">
        <f t="shared" si="247"/>
        <v>3.4997218616725383</v>
      </c>
      <c r="E1043" s="519">
        <f>C1043/23</f>
        <v>1055.0869565217392</v>
      </c>
      <c r="F1043" s="259">
        <f t="shared" si="248"/>
        <v>3.1084416997879702</v>
      </c>
      <c r="G1043" s="520">
        <f>SUM(C$1037:C1043)</f>
        <v>72793</v>
      </c>
      <c r="H1043" s="259">
        <f t="shared" si="245"/>
        <v>0.50008243003750563</v>
      </c>
      <c r="I1043" s="685">
        <f>G1043/143</f>
        <v>509.04195804195803</v>
      </c>
      <c r="J1043" s="521">
        <f t="shared" si="246"/>
        <v>0.25881043080070404</v>
      </c>
      <c r="K1043" s="272"/>
      <c r="L1043" s="271"/>
      <c r="M1043" s="273"/>
      <c r="N1043" s="272"/>
      <c r="O1043" s="273"/>
      <c r="P1043" s="273"/>
      <c r="Q1043" s="273"/>
    </row>
    <row r="1044" spans="2:17" s="404" customFormat="1" ht="9.6" customHeight="1">
      <c r="B1044" s="257">
        <v>37834</v>
      </c>
      <c r="C1044" s="258">
        <v>10594</v>
      </c>
      <c r="D1044" s="1144">
        <f t="shared" si="247"/>
        <v>-0.56344006263650226</v>
      </c>
      <c r="E1044" s="519">
        <f>C1044/21</f>
        <v>504.47619047619048</v>
      </c>
      <c r="F1044" s="259">
        <f t="shared" si="248"/>
        <v>-0.52186292574474058</v>
      </c>
      <c r="G1044" s="520">
        <f>SUM(C$1037:C1044)</f>
        <v>83387</v>
      </c>
      <c r="H1044" s="259">
        <f>(G1044-G1043)/G1043</f>
        <v>0.14553597186542663</v>
      </c>
      <c r="I1044" s="685">
        <f>G1044/164</f>
        <v>508.45731707317071</v>
      </c>
      <c r="J1044" s="521">
        <f>(I1044-I1043)/I1043</f>
        <v>-1.1485123368536207E-3</v>
      </c>
      <c r="K1044" s="272"/>
      <c r="L1044" s="271"/>
      <c r="M1044" s="273"/>
      <c r="N1044" s="272"/>
      <c r="O1044" s="273"/>
      <c r="P1044" s="273"/>
      <c r="Q1044" s="273"/>
    </row>
    <row r="1045" spans="2:17" s="404" customFormat="1" ht="9.6" customHeight="1">
      <c r="B1045" s="257">
        <v>37865</v>
      </c>
      <c r="C1045" s="258">
        <v>9615</v>
      </c>
      <c r="D1045" s="1144">
        <f t="shared" si="247"/>
        <v>-9.2410798565225605E-2</v>
      </c>
      <c r="E1045" s="519">
        <f>C1045/21</f>
        <v>457.85714285714283</v>
      </c>
      <c r="F1045" s="259">
        <f t="shared" si="248"/>
        <v>-9.241079856522566E-2</v>
      </c>
      <c r="G1045" s="520">
        <f>SUM(C$1037:C1045)</f>
        <v>93002</v>
      </c>
      <c r="H1045" s="259">
        <f>(G1045-G1044)/G1044</f>
        <v>0.11530574310144268</v>
      </c>
      <c r="I1045" s="685">
        <f>G1045/185</f>
        <v>502.71351351351353</v>
      </c>
      <c r="J1045" s="521">
        <f>(I1045-I1044)/I1044</f>
        <v>-1.12965304398021E-2</v>
      </c>
      <c r="K1045" s="272"/>
      <c r="L1045" s="271"/>
      <c r="M1045" s="273"/>
      <c r="N1045" s="272"/>
      <c r="O1045" s="273"/>
      <c r="P1045" s="273"/>
      <c r="Q1045" s="273"/>
    </row>
    <row r="1046" spans="2:17" s="404" customFormat="1" ht="9.6" customHeight="1">
      <c r="B1046" s="257">
        <v>37895</v>
      </c>
      <c r="C1046" s="258">
        <v>8377</v>
      </c>
      <c r="D1046" s="1144">
        <f t="shared" si="247"/>
        <v>-0.12875715028601145</v>
      </c>
      <c r="E1046" s="519">
        <f>C1046/22</f>
        <v>380.77272727272725</v>
      </c>
      <c r="F1046" s="259">
        <f t="shared" si="248"/>
        <v>-0.16835909800028365</v>
      </c>
      <c r="G1046" s="520">
        <f>SUM(C$1037:C1046)</f>
        <v>101379</v>
      </c>
      <c r="H1046" s="259">
        <f>(G1046-G1045)/G1045</f>
        <v>9.0073331756306316E-2</v>
      </c>
      <c r="I1046" s="685">
        <f>G1046/207</f>
        <v>489.75362318840581</v>
      </c>
      <c r="J1046" s="521">
        <f>(I1046-I1045)/I1045</f>
        <v>-2.5779872584943641E-2</v>
      </c>
      <c r="K1046" s="272"/>
      <c r="L1046" s="271"/>
      <c r="M1046" s="273"/>
      <c r="N1046" s="272"/>
      <c r="O1046" s="273"/>
      <c r="P1046" s="273"/>
      <c r="Q1046" s="273"/>
    </row>
    <row r="1047" spans="2:17" s="404" customFormat="1" ht="9.6" customHeight="1">
      <c r="B1047" s="257">
        <v>37926</v>
      </c>
      <c r="C1047" s="258">
        <v>8792</v>
      </c>
      <c r="D1047" s="1144">
        <f>(C1047-C1046)/C1046</f>
        <v>4.9540408260713861E-2</v>
      </c>
      <c r="E1047" s="519">
        <f>C1047/17</f>
        <v>517.17647058823525</v>
      </c>
      <c r="F1047" s="259">
        <f>(E1047-E1046)/E1046</f>
        <v>0.35822876363151201</v>
      </c>
      <c r="G1047" s="520">
        <f>SUM(C$1037:C1047)</f>
        <v>110171</v>
      </c>
      <c r="H1047" s="259">
        <f>(G1047-G1046)/G1046</f>
        <v>8.672407500567178E-2</v>
      </c>
      <c r="I1047" s="685">
        <f>G1047/224</f>
        <v>491.83482142857144</v>
      </c>
      <c r="J1047" s="521">
        <f>(I1047-I1046)/I1046</f>
        <v>4.2494800275627714E-3</v>
      </c>
      <c r="K1047" s="272"/>
      <c r="L1047" s="271"/>
      <c r="M1047" s="273"/>
      <c r="N1047" s="272"/>
      <c r="O1047" s="273"/>
      <c r="P1047" s="273"/>
      <c r="Q1047" s="273"/>
    </row>
    <row r="1048" spans="2:17" s="404" customFormat="1" ht="9.6" customHeight="1" thickBot="1">
      <c r="B1048" s="262">
        <v>37956</v>
      </c>
      <c r="C1048" s="263">
        <v>9488</v>
      </c>
      <c r="D1048" s="1146">
        <f>(C1048-C1047)/C1047</f>
        <v>7.9162875341219296E-2</v>
      </c>
      <c r="E1048" s="265">
        <f>C1048/22</f>
        <v>431.27272727272725</v>
      </c>
      <c r="F1048" s="264">
        <f>(E1048-E1047)/E1047</f>
        <v>-0.1661014145090578</v>
      </c>
      <c r="G1048" s="266">
        <f>SUM(C$1037:C1048)</f>
        <v>119659</v>
      </c>
      <c r="H1048" s="264">
        <f>(G1048-G1047)/G1047</f>
        <v>8.6120666963175427E-2</v>
      </c>
      <c r="I1048" s="682">
        <f>G1048/246</f>
        <v>486.41869918699189</v>
      </c>
      <c r="J1048" s="268">
        <f>(I1048-I1047)/I1047</f>
        <v>-1.1012075610767089E-2</v>
      </c>
      <c r="K1048" s="272"/>
      <c r="L1048" s="271"/>
      <c r="M1048" s="273"/>
      <c r="N1048" s="272"/>
      <c r="O1048" s="273"/>
      <c r="P1048" s="273"/>
      <c r="Q1048" s="273"/>
    </row>
    <row r="1049" spans="2:17" s="404" customFormat="1" ht="9.6" customHeight="1" thickBot="1">
      <c r="B1049" s="269" t="s">
        <v>65</v>
      </c>
      <c r="C1049" s="256"/>
      <c r="D1049" s="1167"/>
      <c r="E1049" s="515"/>
      <c r="F1049" s="514"/>
      <c r="G1049" s="516"/>
      <c r="H1049" s="514"/>
      <c r="I1049" s="517"/>
      <c r="J1049" s="514"/>
      <c r="K1049" s="272"/>
      <c r="L1049" s="271"/>
      <c r="M1049" s="273"/>
      <c r="N1049" s="272"/>
      <c r="O1049" s="273"/>
      <c r="P1049" s="273"/>
      <c r="Q1049" s="273"/>
    </row>
    <row r="1050" spans="2:17" s="404" customFormat="1" ht="9.6" customHeight="1">
      <c r="B1050" s="412"/>
      <c r="C1050" s="413" t="s">
        <v>66</v>
      </c>
      <c r="D1050" s="1160"/>
      <c r="E1050" s="413" t="s">
        <v>67</v>
      </c>
      <c r="F1050" s="414"/>
      <c r="G1050" s="415"/>
      <c r="H1050" s="414"/>
      <c r="I1050" s="416" t="s">
        <v>76</v>
      </c>
      <c r="J1050" s="417"/>
      <c r="K1050" s="272"/>
      <c r="L1050" s="271"/>
      <c r="M1050" s="273"/>
      <c r="N1050" s="272"/>
      <c r="O1050" s="273"/>
      <c r="P1050" s="273"/>
      <c r="Q1050" s="273"/>
    </row>
    <row r="1051" spans="2:17" s="404" customFormat="1" ht="9.6" customHeight="1">
      <c r="B1051" s="418" t="s">
        <v>54</v>
      </c>
      <c r="C1051" s="419" t="s">
        <v>70</v>
      </c>
      <c r="D1051" s="1161"/>
      <c r="E1051" s="216" t="s">
        <v>71</v>
      </c>
      <c r="F1051" s="420"/>
      <c r="G1051" s="421" t="s">
        <v>77</v>
      </c>
      <c r="H1051" s="420"/>
      <c r="I1051" s="422" t="s">
        <v>78</v>
      </c>
      <c r="J1051" s="423"/>
      <c r="K1051" s="272"/>
      <c r="L1051" s="271"/>
      <c r="M1051" s="273"/>
      <c r="N1051" s="272"/>
      <c r="O1051" s="273"/>
      <c r="P1051" s="273"/>
      <c r="Q1051" s="273"/>
    </row>
    <row r="1052" spans="2:17" s="404" customFormat="1" ht="9.6" customHeight="1" thickBot="1">
      <c r="B1052" s="405" t="s">
        <v>61</v>
      </c>
      <c r="C1052" s="530" t="s">
        <v>62</v>
      </c>
      <c r="D1052" s="1141" t="s">
        <v>63</v>
      </c>
      <c r="E1052" s="530" t="s">
        <v>62</v>
      </c>
      <c r="F1052" s="221" t="s">
        <v>63</v>
      </c>
      <c r="G1052" s="544" t="s">
        <v>152</v>
      </c>
      <c r="H1052" s="543"/>
      <c r="I1052" s="533"/>
      <c r="J1052" s="222" t="s">
        <v>63</v>
      </c>
      <c r="K1052" s="272"/>
      <c r="L1052" s="271"/>
      <c r="M1052" s="273"/>
      <c r="N1052" s="272"/>
      <c r="O1052" s="273"/>
      <c r="P1052" s="273"/>
      <c r="Q1052" s="273"/>
    </row>
    <row r="1053" spans="2:17" s="404" customFormat="1" ht="9.6" customHeight="1">
      <c r="B1053" s="231">
        <v>35186</v>
      </c>
      <c r="C1053" s="524">
        <v>2591</v>
      </c>
      <c r="D1053" s="1151" t="s">
        <v>31</v>
      </c>
      <c r="E1053" s="524">
        <f>C1053/3</f>
        <v>863.66666666666663</v>
      </c>
      <c r="F1053" s="297" t="s">
        <v>31</v>
      </c>
      <c r="G1053" s="300">
        <f>C957*1000</f>
        <v>2591000</v>
      </c>
      <c r="H1053" s="523"/>
      <c r="I1053" s="536">
        <v>1096</v>
      </c>
      <c r="J1053" s="306" t="s">
        <v>31</v>
      </c>
      <c r="K1053" s="272"/>
      <c r="L1053" s="271"/>
      <c r="M1053" s="273"/>
      <c r="N1053" s="272"/>
      <c r="O1053" s="273"/>
      <c r="P1053" s="273"/>
      <c r="Q1053" s="273"/>
    </row>
    <row r="1054" spans="2:17" s="404" customFormat="1" ht="9.6" customHeight="1">
      <c r="B1054" s="231">
        <v>35217</v>
      </c>
      <c r="C1054" s="524">
        <f t="shared" ref="C1054:C1085" si="249">C1053+C958</f>
        <v>8772</v>
      </c>
      <c r="D1054" s="1151">
        <f t="shared" ref="D1054:D1112" si="250">(C1054-C1053)/C1053</f>
        <v>2.3855654187572366</v>
      </c>
      <c r="E1054" s="524">
        <f>C1054/23</f>
        <v>381.39130434782606</v>
      </c>
      <c r="F1054" s="297">
        <f t="shared" ref="F1054:F1112" si="251">(E1054-E1053)/E1053</f>
        <v>-0.55840451059688223</v>
      </c>
      <c r="G1054" s="300">
        <f t="shared" ref="G1054:G1115" si="252">C958*1000</f>
        <v>6181000</v>
      </c>
      <c r="H1054" s="523"/>
      <c r="I1054" s="536">
        <v>1413</v>
      </c>
      <c r="J1054" s="306">
        <f t="shared" ref="J1054:J1112" si="253">(I1054-I1053)/I1053</f>
        <v>0.28923357664233579</v>
      </c>
      <c r="K1054" s="272"/>
      <c r="L1054" s="271"/>
      <c r="M1054" s="273"/>
      <c r="N1054" s="272"/>
      <c r="O1054" s="273"/>
      <c r="P1054" s="273"/>
      <c r="Q1054" s="273"/>
    </row>
    <row r="1055" spans="2:17" s="404" customFormat="1" ht="9.6" customHeight="1">
      <c r="B1055" s="231">
        <v>35247</v>
      </c>
      <c r="C1055" s="524">
        <f t="shared" si="249"/>
        <v>13856</v>
      </c>
      <c r="D1055" s="1151">
        <f t="shared" si="250"/>
        <v>0.57957136342909255</v>
      </c>
      <c r="E1055" s="524">
        <f>C1055/45</f>
        <v>307.9111111111111</v>
      </c>
      <c r="F1055" s="297">
        <f t="shared" si="251"/>
        <v>-0.19266352535846379</v>
      </c>
      <c r="G1055" s="300">
        <f t="shared" si="252"/>
        <v>5084000</v>
      </c>
      <c r="H1055" s="523"/>
      <c r="I1055" s="536">
        <v>1838</v>
      </c>
      <c r="J1055" s="306">
        <f t="shared" si="253"/>
        <v>0.30077848549186131</v>
      </c>
      <c r="K1055" s="272"/>
      <c r="L1055" s="271"/>
      <c r="M1055" s="273"/>
      <c r="N1055" s="272"/>
      <c r="O1055" s="273"/>
      <c r="P1055" s="273"/>
      <c r="Q1055" s="273"/>
    </row>
    <row r="1056" spans="2:17" s="404" customFormat="1" ht="9.6" customHeight="1">
      <c r="B1056" s="231">
        <v>35278</v>
      </c>
      <c r="C1056" s="524">
        <f t="shared" si="249"/>
        <v>21041</v>
      </c>
      <c r="D1056" s="1151">
        <f t="shared" si="250"/>
        <v>0.51854792147806006</v>
      </c>
      <c r="E1056" s="524">
        <f>C1056/67</f>
        <v>314.04477611940297</v>
      </c>
      <c r="F1056" s="297">
        <f t="shared" si="251"/>
        <v>1.9920245768846292E-2</v>
      </c>
      <c r="G1056" s="300">
        <f t="shared" si="252"/>
        <v>7185000</v>
      </c>
      <c r="H1056" s="523"/>
      <c r="I1056" s="536">
        <v>2193</v>
      </c>
      <c r="J1056" s="306">
        <f t="shared" si="253"/>
        <v>0.19314472252448314</v>
      </c>
      <c r="K1056" s="272"/>
      <c r="L1056" s="271"/>
      <c r="M1056" s="273"/>
      <c r="N1056" s="272"/>
      <c r="O1056" s="273"/>
      <c r="P1056" s="273"/>
      <c r="Q1056" s="273"/>
    </row>
    <row r="1057" spans="2:17" s="404" customFormat="1" ht="9.6" customHeight="1">
      <c r="B1057" s="231">
        <v>35309</v>
      </c>
      <c r="C1057" s="524">
        <f t="shared" si="249"/>
        <v>24035</v>
      </c>
      <c r="D1057" s="1151">
        <f t="shared" si="250"/>
        <v>0.14229361722351599</v>
      </c>
      <c r="E1057" s="524">
        <f>C1057/88</f>
        <v>273.125</v>
      </c>
      <c r="F1057" s="297">
        <f t="shared" si="251"/>
        <v>-0.13029917779573211</v>
      </c>
      <c r="G1057" s="300">
        <f t="shared" si="252"/>
        <v>2994000</v>
      </c>
      <c r="H1057" s="523"/>
      <c r="I1057" s="536">
        <v>2235</v>
      </c>
      <c r="J1057" s="306">
        <f t="shared" si="253"/>
        <v>1.9151846785225718E-2</v>
      </c>
      <c r="K1057" s="272"/>
      <c r="L1057" s="271"/>
      <c r="M1057" s="273"/>
      <c r="N1057" s="272"/>
      <c r="O1057" s="273"/>
      <c r="P1057" s="273"/>
      <c r="Q1057" s="273"/>
    </row>
    <row r="1058" spans="2:17" s="404" customFormat="1" ht="9.6" customHeight="1">
      <c r="B1058" s="231">
        <v>35339</v>
      </c>
      <c r="C1058" s="524">
        <f t="shared" si="249"/>
        <v>31155</v>
      </c>
      <c r="D1058" s="1151">
        <f t="shared" si="250"/>
        <v>0.29623465779072189</v>
      </c>
      <c r="E1058" s="524">
        <f>C1058/111</f>
        <v>280.67567567567568</v>
      </c>
      <c r="F1058" s="297">
        <f t="shared" si="251"/>
        <v>2.7645494464716439E-2</v>
      </c>
      <c r="G1058" s="300">
        <f t="shared" si="252"/>
        <v>7120000</v>
      </c>
      <c r="H1058" s="523"/>
      <c r="I1058" s="536">
        <v>3439</v>
      </c>
      <c r="J1058" s="306">
        <f t="shared" si="253"/>
        <v>0.53870246085011186</v>
      </c>
      <c r="K1058" s="272"/>
      <c r="L1058" s="271"/>
      <c r="M1058" s="273"/>
      <c r="N1058" s="272"/>
      <c r="O1058" s="273"/>
      <c r="P1058" s="273"/>
      <c r="Q1058" s="273"/>
    </row>
    <row r="1059" spans="2:17" s="404" customFormat="1" ht="9.6" customHeight="1" ph="1">
      <c r="B1059" s="231">
        <v>35370</v>
      </c>
      <c r="C1059" s="524">
        <f t="shared" si="249"/>
        <v>37235</v>
      </c>
      <c r="D1059" s="1151">
        <f t="shared" si="250"/>
        <v>0.19515326592842241</v>
      </c>
      <c r="E1059" s="524">
        <f>C1059/131</f>
        <v>284.23664122137404</v>
      </c>
      <c r="F1059" s="297">
        <f t="shared" si="251"/>
        <v>1.2687118458434236E-2</v>
      </c>
      <c r="G1059" s="300">
        <f t="shared" si="252"/>
        <v>6080000</v>
      </c>
      <c r="H1059" s="523"/>
      <c r="I1059" s="536">
        <v>3622</v>
      </c>
      <c r="J1059" s="306">
        <f t="shared" si="253"/>
        <v>5.3213143355626637E-2</v>
      </c>
      <c r="K1059" s="272"/>
      <c r="L1059" s="271"/>
      <c r="M1059" s="273"/>
      <c r="N1059" s="272"/>
      <c r="O1059" s="273"/>
      <c r="P1059" s="273"/>
      <c r="Q1059" s="273"/>
    </row>
    <row r="1060" spans="2:17" s="404" customFormat="1" ht="9.6" customHeight="1">
      <c r="B1060" s="231">
        <v>35400</v>
      </c>
      <c r="C1060" s="524">
        <f t="shared" si="249"/>
        <v>40933</v>
      </c>
      <c r="D1060" s="1151">
        <f t="shared" si="250"/>
        <v>9.9315160467302266E-2</v>
      </c>
      <c r="E1060" s="524">
        <f>C1060/150</f>
        <v>272.88666666666666</v>
      </c>
      <c r="F1060" s="297">
        <f t="shared" si="251"/>
        <v>-3.9931426525222712E-2</v>
      </c>
      <c r="G1060" s="300">
        <f t="shared" si="252"/>
        <v>3698000</v>
      </c>
      <c r="H1060" s="523"/>
      <c r="I1060" s="536">
        <v>3162</v>
      </c>
      <c r="J1060" s="306">
        <f t="shared" si="253"/>
        <v>-0.12700165654334622</v>
      </c>
      <c r="K1060" s="272"/>
      <c r="L1060" s="271"/>
      <c r="M1060" s="273"/>
      <c r="N1060" s="272"/>
      <c r="O1060" s="273"/>
      <c r="P1060" s="273"/>
      <c r="Q1060" s="273"/>
    </row>
    <row r="1061" spans="2:17" s="404" customFormat="1" ht="9.6" customHeight="1">
      <c r="B1061" s="243">
        <v>35431</v>
      </c>
      <c r="C1061" s="524">
        <f t="shared" si="249"/>
        <v>46397</v>
      </c>
      <c r="D1061" s="1151">
        <f t="shared" si="250"/>
        <v>0.13348642904258179</v>
      </c>
      <c r="E1061" s="524">
        <f>C1061/172</f>
        <v>269.75</v>
      </c>
      <c r="F1061" s="297">
        <f t="shared" si="251"/>
        <v>-1.1494393276818176E-2</v>
      </c>
      <c r="G1061" s="300">
        <f t="shared" si="252"/>
        <v>5464000</v>
      </c>
      <c r="H1061" s="523"/>
      <c r="I1061" s="536">
        <v>3379</v>
      </c>
      <c r="J1061" s="306">
        <f t="shared" si="253"/>
        <v>6.8627450980392163E-2</v>
      </c>
      <c r="K1061" s="272"/>
      <c r="L1061" s="271"/>
      <c r="M1061" s="273"/>
      <c r="N1061" s="272"/>
      <c r="O1061" s="273"/>
      <c r="P1061" s="273"/>
      <c r="Q1061" s="273"/>
    </row>
    <row r="1062" spans="2:17" s="404" customFormat="1" ht="9.6" customHeight="1">
      <c r="B1062" s="243">
        <v>35462</v>
      </c>
      <c r="C1062" s="524">
        <f t="shared" si="249"/>
        <v>49875</v>
      </c>
      <c r="D1062" s="1151">
        <f t="shared" si="250"/>
        <v>7.4961743216156215E-2</v>
      </c>
      <c r="E1062" s="524">
        <f>C1062/188</f>
        <v>265.29255319148939</v>
      </c>
      <c r="F1062" s="297">
        <f t="shared" si="251"/>
        <v>-1.6524362589473995E-2</v>
      </c>
      <c r="G1062" s="300">
        <f t="shared" si="252"/>
        <v>3478000</v>
      </c>
      <c r="H1062" s="523"/>
      <c r="I1062" s="536">
        <v>3584</v>
      </c>
      <c r="J1062" s="306">
        <f t="shared" si="253"/>
        <v>6.0668836934004142E-2</v>
      </c>
      <c r="K1062" s="272"/>
      <c r="L1062" s="271"/>
      <c r="M1062" s="273"/>
      <c r="N1062" s="272"/>
      <c r="O1062" s="273"/>
      <c r="P1062" s="273"/>
      <c r="Q1062" s="273"/>
    </row>
    <row r="1063" spans="2:17" s="404" customFormat="1" ht="9.6" customHeight="1">
      <c r="B1063" s="243">
        <v>35490</v>
      </c>
      <c r="C1063" s="524">
        <f t="shared" si="249"/>
        <v>58281</v>
      </c>
      <c r="D1063" s="1151">
        <f t="shared" si="250"/>
        <v>0.16854135338345866</v>
      </c>
      <c r="E1063" s="524">
        <f>C1063/209</f>
        <v>278.85645933014354</v>
      </c>
      <c r="F1063" s="297">
        <f t="shared" si="251"/>
        <v>5.1128107349713875E-2</v>
      </c>
      <c r="G1063" s="300">
        <f t="shared" si="252"/>
        <v>8406000</v>
      </c>
      <c r="H1063" s="523"/>
      <c r="I1063" s="536">
        <v>2828</v>
      </c>
      <c r="J1063" s="306">
        <f t="shared" si="253"/>
        <v>-0.2109375</v>
      </c>
      <c r="K1063" s="272"/>
      <c r="L1063" s="271"/>
      <c r="M1063" s="273"/>
      <c r="N1063" s="272"/>
      <c r="O1063" s="273"/>
      <c r="P1063" s="273"/>
      <c r="Q1063" s="273"/>
    </row>
    <row r="1064" spans="2:17" s="404" customFormat="1" ht="9.6" customHeight="1">
      <c r="B1064" s="243">
        <v>35521</v>
      </c>
      <c r="C1064" s="524">
        <f t="shared" si="249"/>
        <v>63333</v>
      </c>
      <c r="D1064" s="1151">
        <f t="shared" si="250"/>
        <v>8.6683481752200545E-2</v>
      </c>
      <c r="E1064" s="524">
        <f>C1064/230</f>
        <v>275.3608695652174</v>
      </c>
      <c r="F1064" s="297">
        <f t="shared" si="251"/>
        <v>-1.2535444842565548E-2</v>
      </c>
      <c r="G1064" s="300">
        <f t="shared" si="252"/>
        <v>5052000</v>
      </c>
      <c r="H1064" s="523"/>
      <c r="I1064" s="536">
        <v>3361</v>
      </c>
      <c r="J1064" s="306">
        <f t="shared" si="253"/>
        <v>0.18847241867043849</v>
      </c>
      <c r="K1064" s="272"/>
      <c r="L1064" s="271"/>
      <c r="M1064" s="273"/>
      <c r="N1064" s="272"/>
      <c r="O1064" s="273"/>
      <c r="P1064" s="273"/>
      <c r="Q1064" s="273"/>
    </row>
    <row r="1065" spans="2:17" s="404" customFormat="1" ht="9.6" customHeight="1">
      <c r="B1065" s="243">
        <v>35551</v>
      </c>
      <c r="C1065" s="524">
        <f t="shared" si="249"/>
        <v>70596</v>
      </c>
      <c r="D1065" s="1151">
        <f t="shared" si="250"/>
        <v>0.11467955094500497</v>
      </c>
      <c r="E1065" s="524">
        <f>C1065/249</f>
        <v>283.51807228915663</v>
      </c>
      <c r="F1065" s="297">
        <f t="shared" si="251"/>
        <v>2.9623681595787727E-2</v>
      </c>
      <c r="G1065" s="300">
        <f t="shared" si="252"/>
        <v>7263000</v>
      </c>
      <c r="H1065" s="523"/>
      <c r="I1065" s="536">
        <v>3353</v>
      </c>
      <c r="J1065" s="306">
        <f t="shared" si="253"/>
        <v>-2.3802439750074383E-3</v>
      </c>
      <c r="K1065" s="272"/>
      <c r="L1065" s="271"/>
      <c r="M1065" s="273"/>
      <c r="N1065" s="272"/>
      <c r="O1065" s="273"/>
      <c r="P1065" s="273"/>
      <c r="Q1065" s="273"/>
    </row>
    <row r="1066" spans="2:17" s="404" customFormat="1" ht="9.6" customHeight="1">
      <c r="B1066" s="243">
        <v>35582</v>
      </c>
      <c r="C1066" s="524">
        <f t="shared" si="249"/>
        <v>81116</v>
      </c>
      <c r="D1066" s="1151">
        <f t="shared" si="250"/>
        <v>0.14901694146977165</v>
      </c>
      <c r="E1066" s="524">
        <f>C1066/270</f>
        <v>300.42962962962963</v>
      </c>
      <c r="F1066" s="297">
        <f t="shared" si="251"/>
        <v>5.9648957133233836E-2</v>
      </c>
      <c r="G1066" s="300">
        <f t="shared" si="252"/>
        <v>10520000</v>
      </c>
      <c r="H1066" s="523"/>
      <c r="I1066" s="536">
        <v>2687</v>
      </c>
      <c r="J1066" s="306">
        <f t="shared" si="253"/>
        <v>-0.19862809424396063</v>
      </c>
      <c r="K1066" s="272"/>
      <c r="L1066" s="271"/>
      <c r="M1066" s="273"/>
      <c r="N1066" s="272"/>
      <c r="O1066" s="273"/>
      <c r="P1066" s="273"/>
      <c r="Q1066" s="273"/>
    </row>
    <row r="1067" spans="2:17" s="404" customFormat="1" ht="9.6" customHeight="1">
      <c r="B1067" s="243">
        <v>35612</v>
      </c>
      <c r="C1067" s="524">
        <f t="shared" si="249"/>
        <v>95009</v>
      </c>
      <c r="D1067" s="1151">
        <f t="shared" si="250"/>
        <v>0.1712732383253612</v>
      </c>
      <c r="E1067" s="524">
        <f>C1067/292</f>
        <v>325.3732876712329</v>
      </c>
      <c r="F1067" s="297">
        <f t="shared" si="251"/>
        <v>8.3026624478929972E-2</v>
      </c>
      <c r="G1067" s="300">
        <f t="shared" si="252"/>
        <v>13893000</v>
      </c>
      <c r="H1067" s="523"/>
      <c r="I1067" s="536">
        <v>3830</v>
      </c>
      <c r="J1067" s="306">
        <f t="shared" si="253"/>
        <v>0.42538146631931523</v>
      </c>
      <c r="K1067" s="272"/>
      <c r="L1067" s="271"/>
      <c r="M1067" s="273"/>
      <c r="N1067" s="272"/>
      <c r="O1067" s="273"/>
      <c r="P1067" s="273"/>
      <c r="Q1067" s="273"/>
    </row>
    <row r="1068" spans="2:17" s="404" customFormat="1" ht="9.6" customHeight="1">
      <c r="B1068" s="243">
        <v>35643</v>
      </c>
      <c r="C1068" s="524">
        <f t="shared" si="249"/>
        <v>102514</v>
      </c>
      <c r="D1068" s="1151">
        <f t="shared" si="250"/>
        <v>7.8992516498436985E-2</v>
      </c>
      <c r="E1068" s="524">
        <f>C1068/313</f>
        <v>327.52076677316296</v>
      </c>
      <c r="F1068" s="297">
        <f t="shared" si="251"/>
        <v>6.6000473403948819E-3</v>
      </c>
      <c r="G1068" s="300">
        <f t="shared" si="252"/>
        <v>7505000</v>
      </c>
      <c r="H1068" s="523"/>
      <c r="I1068" s="536">
        <v>3892</v>
      </c>
      <c r="J1068" s="306">
        <f t="shared" si="253"/>
        <v>1.6187989556135769E-2</v>
      </c>
      <c r="K1068" s="272"/>
      <c r="L1068" s="271"/>
      <c r="M1068" s="273"/>
      <c r="N1068" s="272"/>
      <c r="O1068" s="273"/>
      <c r="P1068" s="273"/>
      <c r="Q1068" s="273"/>
    </row>
    <row r="1069" spans="2:17" s="404" customFormat="1" ht="9.6" customHeight="1">
      <c r="B1069" s="243">
        <v>35674</v>
      </c>
      <c r="C1069" s="524">
        <f t="shared" si="249"/>
        <v>108151</v>
      </c>
      <c r="D1069" s="1151">
        <f t="shared" si="250"/>
        <v>5.498761144819244E-2</v>
      </c>
      <c r="E1069" s="524">
        <f>C1069/334</f>
        <v>323.80538922155688</v>
      </c>
      <c r="F1069" s="297">
        <f t="shared" si="251"/>
        <v>-1.1343944960226931E-2</v>
      </c>
      <c r="G1069" s="300">
        <f t="shared" si="252"/>
        <v>5637000</v>
      </c>
      <c r="H1069" s="523"/>
      <c r="I1069" s="536">
        <v>2370</v>
      </c>
      <c r="J1069" s="306">
        <f t="shared" si="253"/>
        <v>-0.39105858170606372</v>
      </c>
      <c r="K1069" s="272"/>
      <c r="L1069" s="271"/>
      <c r="M1069" s="273"/>
      <c r="N1069" s="272"/>
      <c r="O1069" s="273"/>
      <c r="P1069" s="273"/>
      <c r="Q1069" s="273"/>
    </row>
    <row r="1070" spans="2:17" s="404" customFormat="1" ht="9.6" customHeight="1">
      <c r="B1070" s="257">
        <v>35704</v>
      </c>
      <c r="C1070" s="524">
        <f t="shared" si="249"/>
        <v>113369</v>
      </c>
      <c r="D1070" s="1151">
        <f t="shared" si="250"/>
        <v>4.8247357860768739E-2</v>
      </c>
      <c r="E1070" s="524">
        <f>C1070/356</f>
        <v>318.45224719101122</v>
      </c>
      <c r="F1070" s="297">
        <f t="shared" si="251"/>
        <v>-1.6531973242986647E-2</v>
      </c>
      <c r="G1070" s="300">
        <f t="shared" si="252"/>
        <v>5218000</v>
      </c>
      <c r="H1070" s="523"/>
      <c r="I1070" s="536">
        <v>2590</v>
      </c>
      <c r="J1070" s="306">
        <f t="shared" si="253"/>
        <v>9.2827004219409287E-2</v>
      </c>
      <c r="K1070" s="272"/>
      <c r="L1070" s="271"/>
      <c r="M1070" s="273"/>
      <c r="N1070" s="272"/>
      <c r="O1070" s="273"/>
      <c r="P1070" s="273"/>
      <c r="Q1070" s="273"/>
    </row>
    <row r="1071" spans="2:17" s="404" customFormat="1" ht="9.6" customHeight="1">
      <c r="B1071" s="243">
        <v>35735</v>
      </c>
      <c r="C1071" s="524">
        <f t="shared" si="249"/>
        <v>116121</v>
      </c>
      <c r="D1071" s="1151">
        <f t="shared" si="250"/>
        <v>2.4274713546031102E-2</v>
      </c>
      <c r="E1071" s="524">
        <f>C1071/376</f>
        <v>308.83244680851061</v>
      </c>
      <c r="F1071" s="297">
        <f t="shared" si="251"/>
        <v>-3.0207983983013158E-2</v>
      </c>
      <c r="G1071" s="300">
        <f t="shared" si="252"/>
        <v>2752000</v>
      </c>
      <c r="H1071" s="523"/>
      <c r="I1071" s="536">
        <v>2595</v>
      </c>
      <c r="J1071" s="306">
        <f t="shared" si="253"/>
        <v>1.9305019305019305E-3</v>
      </c>
      <c r="K1071" s="272"/>
      <c r="L1071" s="271"/>
      <c r="M1071" s="273"/>
      <c r="N1071" s="272"/>
      <c r="O1071" s="273"/>
      <c r="P1071" s="273"/>
      <c r="Q1071" s="273"/>
    </row>
    <row r="1072" spans="2:17" s="404" customFormat="1" ht="9.6" customHeight="1">
      <c r="B1072" s="243">
        <v>35765</v>
      </c>
      <c r="C1072" s="524">
        <f t="shared" si="249"/>
        <v>117317</v>
      </c>
      <c r="D1072" s="1151">
        <f t="shared" si="250"/>
        <v>1.0299601277977282E-2</v>
      </c>
      <c r="E1072" s="524">
        <f>C1072/397</f>
        <v>295.50881612090683</v>
      </c>
      <c r="F1072" s="297">
        <f t="shared" si="251"/>
        <v>-4.3141939343779523E-2</v>
      </c>
      <c r="G1072" s="300">
        <f t="shared" si="252"/>
        <v>1196000</v>
      </c>
      <c r="H1072" s="523"/>
      <c r="I1072" s="536">
        <v>1946</v>
      </c>
      <c r="J1072" s="306">
        <f t="shared" si="253"/>
        <v>-0.25009633911368018</v>
      </c>
      <c r="K1072" s="272"/>
      <c r="L1072" s="271"/>
      <c r="M1072" s="273"/>
      <c r="N1072" s="272"/>
      <c r="O1072" s="273"/>
      <c r="P1072" s="273"/>
      <c r="Q1072" s="273"/>
    </row>
    <row r="1073" spans="2:17" s="404" customFormat="1" ht="9.6" customHeight="1">
      <c r="B1073" s="243">
        <v>35796</v>
      </c>
      <c r="C1073" s="524">
        <f t="shared" si="249"/>
        <v>119799</v>
      </c>
      <c r="D1073" s="1151">
        <f t="shared" si="250"/>
        <v>2.1156354151572236E-2</v>
      </c>
      <c r="E1073" s="524">
        <f>C1073/414</f>
        <v>289.36956521739131</v>
      </c>
      <c r="F1073" s="297">
        <f t="shared" si="251"/>
        <v>-2.0775186960932005E-2</v>
      </c>
      <c r="G1073" s="300">
        <f t="shared" si="252"/>
        <v>2482000</v>
      </c>
      <c r="H1073" s="523"/>
      <c r="I1073" s="536">
        <v>2178</v>
      </c>
      <c r="J1073" s="306">
        <f t="shared" si="253"/>
        <v>0.11921891058581706</v>
      </c>
      <c r="K1073" s="272"/>
      <c r="L1073" s="271"/>
      <c r="M1073" s="273"/>
      <c r="N1073" s="272"/>
      <c r="O1073" s="273"/>
      <c r="P1073" s="273"/>
      <c r="Q1073" s="273"/>
    </row>
    <row r="1074" spans="2:17" s="404" customFormat="1" ht="9.6" customHeight="1">
      <c r="B1074" s="243">
        <v>35827</v>
      </c>
      <c r="C1074" s="524">
        <f t="shared" si="249"/>
        <v>122540</v>
      </c>
      <c r="D1074" s="1151">
        <f t="shared" si="250"/>
        <v>2.2879990651007105E-2</v>
      </c>
      <c r="E1074" s="524">
        <f>C1074/433</f>
        <v>283.00230946882215</v>
      </c>
      <c r="F1074" s="297">
        <f t="shared" si="251"/>
        <v>-2.2003888846381305E-2</v>
      </c>
      <c r="G1074" s="300">
        <f t="shared" si="252"/>
        <v>2741000</v>
      </c>
      <c r="H1074" s="523"/>
      <c r="I1074" s="536">
        <v>2526</v>
      </c>
      <c r="J1074" s="306">
        <f t="shared" si="253"/>
        <v>0.15977961432506887</v>
      </c>
      <c r="K1074" s="272"/>
      <c r="L1074" s="271"/>
      <c r="M1074" s="273"/>
      <c r="N1074" s="272"/>
      <c r="O1074" s="273"/>
      <c r="P1074" s="273"/>
      <c r="Q1074" s="273"/>
    </row>
    <row r="1075" spans="2:17" s="404" customFormat="1" ht="9.6" customHeight="1">
      <c r="B1075" s="243">
        <v>35855</v>
      </c>
      <c r="C1075" s="524">
        <f t="shared" si="249"/>
        <v>125413</v>
      </c>
      <c r="D1075" s="1151">
        <f t="shared" si="250"/>
        <v>2.3445405581850823E-2</v>
      </c>
      <c r="E1075" s="524">
        <f>C1075/455</f>
        <v>275.63296703296703</v>
      </c>
      <c r="F1075" s="297">
        <f t="shared" si="251"/>
        <v>-2.603986677595288E-2</v>
      </c>
      <c r="G1075" s="300">
        <f t="shared" si="252"/>
        <v>2873000</v>
      </c>
      <c r="H1075" s="523"/>
      <c r="I1075" s="536">
        <v>2048</v>
      </c>
      <c r="J1075" s="306">
        <f t="shared" si="253"/>
        <v>-0.18923198733174981</v>
      </c>
      <c r="K1075" s="272"/>
      <c r="L1075" s="271"/>
      <c r="M1075" s="273"/>
      <c r="N1075" s="272"/>
      <c r="O1075" s="273"/>
      <c r="P1075" s="273"/>
      <c r="Q1075" s="273"/>
    </row>
    <row r="1076" spans="2:17" s="404" customFormat="1" ht="9.6" customHeight="1">
      <c r="B1076" s="243">
        <v>35886</v>
      </c>
      <c r="C1076" s="524">
        <f t="shared" si="249"/>
        <v>127196</v>
      </c>
      <c r="D1076" s="1151">
        <f t="shared" si="250"/>
        <v>1.4217026942980392E-2</v>
      </c>
      <c r="E1076" s="524">
        <f>C1076/475</f>
        <v>267.78105263157897</v>
      </c>
      <c r="F1076" s="297">
        <f t="shared" si="251"/>
        <v>-2.8486847875671312E-2</v>
      </c>
      <c r="G1076" s="300">
        <f t="shared" si="252"/>
        <v>1783000</v>
      </c>
      <c r="H1076" s="523"/>
      <c r="I1076" s="536">
        <v>2403</v>
      </c>
      <c r="J1076" s="306">
        <f t="shared" si="253"/>
        <v>0.17333984375</v>
      </c>
      <c r="K1076" s="272"/>
      <c r="L1076" s="271"/>
      <c r="M1076" s="273"/>
      <c r="N1076" s="272"/>
      <c r="O1076" s="273"/>
      <c r="P1076" s="273"/>
      <c r="Q1076" s="273"/>
    </row>
    <row r="1077" spans="2:17" s="404" customFormat="1" ht="9.6" customHeight="1">
      <c r="B1077" s="243">
        <v>35916</v>
      </c>
      <c r="C1077" s="524">
        <f t="shared" si="249"/>
        <v>129140</v>
      </c>
      <c r="D1077" s="1151">
        <f t="shared" si="250"/>
        <v>1.5283499481115759E-2</v>
      </c>
      <c r="E1077" s="524">
        <f>C1077/494</f>
        <v>261.41700404858301</v>
      </c>
      <c r="F1077" s="297">
        <f t="shared" si="251"/>
        <v>-2.376586588354258E-2</v>
      </c>
      <c r="G1077" s="300">
        <f t="shared" si="252"/>
        <v>1944000</v>
      </c>
      <c r="H1077" s="523"/>
      <c r="I1077" s="536">
        <v>3207</v>
      </c>
      <c r="J1077" s="306">
        <f t="shared" si="253"/>
        <v>0.33458177278401996</v>
      </c>
      <c r="K1077" s="272"/>
      <c r="L1077" s="271"/>
      <c r="M1077" s="273"/>
      <c r="N1077" s="272"/>
      <c r="O1077" s="273"/>
      <c r="P1077" s="273"/>
      <c r="Q1077" s="273"/>
    </row>
    <row r="1078" spans="2:17" s="404" customFormat="1" ht="9.6" customHeight="1">
      <c r="B1078" s="243">
        <v>35947</v>
      </c>
      <c r="C1078" s="524">
        <f t="shared" si="249"/>
        <v>132263</v>
      </c>
      <c r="D1078" s="1151">
        <f t="shared" si="250"/>
        <v>2.4183057147282021E-2</v>
      </c>
      <c r="E1078" s="524">
        <f>C1078/514</f>
        <v>257.32101167315176</v>
      </c>
      <c r="F1078" s="297">
        <f t="shared" si="251"/>
        <v>-1.5668423675569445E-2</v>
      </c>
      <c r="G1078" s="300">
        <f t="shared" si="252"/>
        <v>3123000</v>
      </c>
      <c r="H1078" s="523"/>
      <c r="I1078" s="536">
        <v>2697</v>
      </c>
      <c r="J1078" s="306">
        <f t="shared" si="253"/>
        <v>-0.15902712815715622</v>
      </c>
      <c r="K1078" s="272"/>
      <c r="L1078" s="271"/>
      <c r="M1078" s="273"/>
      <c r="N1078" s="272"/>
      <c r="O1078" s="273"/>
      <c r="P1078" s="273"/>
      <c r="Q1078" s="273"/>
    </row>
    <row r="1079" spans="2:17" s="404" customFormat="1" ht="9.6" customHeight="1">
      <c r="B1079" s="243">
        <v>35977</v>
      </c>
      <c r="C1079" s="524">
        <f t="shared" si="249"/>
        <v>134291</v>
      </c>
      <c r="D1079" s="1151">
        <f t="shared" si="250"/>
        <v>1.5333086350680085E-2</v>
      </c>
      <c r="E1079" s="524">
        <f>C1079/536</f>
        <v>250.54291044776119</v>
      </c>
      <c r="F1079" s="297">
        <f t="shared" si="251"/>
        <v>-2.6341032865206095E-2</v>
      </c>
      <c r="G1079" s="300">
        <f t="shared" si="252"/>
        <v>2028000</v>
      </c>
      <c r="H1079" s="523"/>
      <c r="I1079" s="536">
        <v>3441</v>
      </c>
      <c r="J1079" s="306">
        <f t="shared" si="253"/>
        <v>0.27586206896551724</v>
      </c>
      <c r="K1079" s="272"/>
      <c r="L1079" s="271"/>
      <c r="M1079" s="273"/>
      <c r="N1079" s="272"/>
      <c r="O1079" s="273"/>
      <c r="P1079" s="273"/>
      <c r="Q1079" s="273"/>
    </row>
    <row r="1080" spans="2:17" s="404" customFormat="1" ht="9.6" customHeight="1">
      <c r="B1080" s="243">
        <v>36008</v>
      </c>
      <c r="C1080" s="524">
        <f t="shared" si="249"/>
        <v>136749</v>
      </c>
      <c r="D1080" s="1151">
        <f t="shared" si="250"/>
        <v>1.8303534860861861E-2</v>
      </c>
      <c r="E1080" s="524">
        <f>C1080/556</f>
        <v>245.95143884892087</v>
      </c>
      <c r="F1080" s="297">
        <f t="shared" si="251"/>
        <v>-1.8326088695284185E-2</v>
      </c>
      <c r="G1080" s="300">
        <f t="shared" si="252"/>
        <v>2458000</v>
      </c>
      <c r="H1080" s="523"/>
      <c r="I1080" s="536">
        <v>3922</v>
      </c>
      <c r="J1080" s="306">
        <f t="shared" si="253"/>
        <v>0.13978494623655913</v>
      </c>
      <c r="K1080" s="272"/>
      <c r="L1080" s="271"/>
      <c r="M1080" s="273"/>
      <c r="N1080" s="272"/>
      <c r="O1080" s="273"/>
      <c r="P1080" s="273"/>
      <c r="Q1080" s="273"/>
    </row>
    <row r="1081" spans="2:17" s="404" customFormat="1" ht="9.6" customHeight="1">
      <c r="B1081" s="243">
        <v>36039</v>
      </c>
      <c r="C1081" s="524">
        <f t="shared" si="249"/>
        <v>139141</v>
      </c>
      <c r="D1081" s="1151">
        <f t="shared" si="250"/>
        <v>1.7491901220484246E-2</v>
      </c>
      <c r="E1081" s="524">
        <f>C1081/577</f>
        <v>241.14558058925476</v>
      </c>
      <c r="F1081" s="297">
        <f t="shared" si="251"/>
        <v>-1.9539866414923376E-2</v>
      </c>
      <c r="G1081" s="300">
        <f t="shared" si="252"/>
        <v>2392000</v>
      </c>
      <c r="H1081" s="523"/>
      <c r="I1081" s="536">
        <v>2459</v>
      </c>
      <c r="J1081" s="306">
        <f t="shared" si="253"/>
        <v>-0.37302396736359</v>
      </c>
      <c r="K1081" s="272"/>
      <c r="L1081" s="271"/>
      <c r="M1081" s="273"/>
      <c r="N1081" s="272"/>
      <c r="O1081" s="273"/>
      <c r="P1081" s="273"/>
      <c r="Q1081" s="273"/>
    </row>
    <row r="1082" spans="2:17" ht="10.5" customHeight="1">
      <c r="B1082" s="257">
        <v>36069</v>
      </c>
      <c r="C1082" s="524">
        <f t="shared" si="249"/>
        <v>140013</v>
      </c>
      <c r="D1082" s="1151">
        <f t="shared" si="250"/>
        <v>6.2670240978575688E-3</v>
      </c>
      <c r="E1082" s="524">
        <f>C1082/598</f>
        <v>234.13545150501673</v>
      </c>
      <c r="F1082" s="297">
        <f t="shared" si="251"/>
        <v>-2.9070112199893229E-2</v>
      </c>
      <c r="G1082" s="300">
        <f t="shared" si="252"/>
        <v>872000</v>
      </c>
      <c r="H1082" s="523"/>
      <c r="I1082" s="536">
        <v>2679</v>
      </c>
      <c r="J1082" s="306">
        <f t="shared" si="253"/>
        <v>8.9467263115087431E-2</v>
      </c>
      <c r="K1082" s="25"/>
      <c r="L1082" s="28"/>
      <c r="M1082" s="12"/>
      <c r="N1082" s="25"/>
      <c r="O1082" s="12"/>
      <c r="P1082" s="12"/>
      <c r="Q1082" s="12"/>
    </row>
    <row r="1083" spans="2:17" ht="10.5" customHeight="1">
      <c r="B1083" s="257">
        <v>36100</v>
      </c>
      <c r="C1083" s="524">
        <f t="shared" si="249"/>
        <v>141303</v>
      </c>
      <c r="D1083" s="1151">
        <f t="shared" si="250"/>
        <v>9.2134301814831478E-3</v>
      </c>
      <c r="E1083" s="524">
        <f>C1083/619</f>
        <v>228.27625201938611</v>
      </c>
      <c r="F1083" s="297">
        <f t="shared" si="251"/>
        <v>-2.5024828354560748E-2</v>
      </c>
      <c r="G1083" s="300">
        <f t="shared" si="252"/>
        <v>1290000</v>
      </c>
      <c r="H1083" s="523"/>
      <c r="I1083" s="536">
        <v>3088</v>
      </c>
      <c r="J1083" s="306">
        <f t="shared" si="253"/>
        <v>0.152668906308324</v>
      </c>
      <c r="K1083" s="25"/>
      <c r="L1083" s="28"/>
      <c r="M1083" s="12"/>
      <c r="N1083" s="25"/>
      <c r="O1083" s="12"/>
      <c r="P1083" s="12"/>
      <c r="Q1083" s="12"/>
    </row>
    <row r="1084" spans="2:17" ht="10.5" customHeight="1">
      <c r="B1084" s="243">
        <v>36130</v>
      </c>
      <c r="C1084" s="524">
        <f t="shared" si="249"/>
        <v>142055</v>
      </c>
      <c r="D1084" s="1151">
        <f t="shared" si="250"/>
        <v>5.3218969165552037E-3</v>
      </c>
      <c r="E1084" s="524">
        <f>C1084/640</f>
        <v>221.9609375</v>
      </c>
      <c r="F1084" s="297">
        <f t="shared" si="251"/>
        <v>-2.7665227826019264E-2</v>
      </c>
      <c r="G1084" s="300">
        <f t="shared" si="252"/>
        <v>752000</v>
      </c>
      <c r="H1084" s="523"/>
      <c r="I1084" s="536">
        <v>3092</v>
      </c>
      <c r="J1084" s="306">
        <f t="shared" si="253"/>
        <v>1.2953367875647669E-3</v>
      </c>
      <c r="K1084"/>
    </row>
    <row r="1085" spans="2:17" ht="10.5" customHeight="1">
      <c r="B1085" s="522">
        <v>36161</v>
      </c>
      <c r="C1085" s="524">
        <f t="shared" si="249"/>
        <v>143284</v>
      </c>
      <c r="D1085" s="1151">
        <f t="shared" si="250"/>
        <v>8.6515786139171446E-3</v>
      </c>
      <c r="E1085" s="524">
        <f>C1085/657</f>
        <v>218.08828006088279</v>
      </c>
      <c r="F1085" s="297">
        <f t="shared" si="251"/>
        <v>-1.7447472887508437E-2</v>
      </c>
      <c r="G1085" s="300">
        <f t="shared" si="252"/>
        <v>1229000</v>
      </c>
      <c r="H1085" s="294"/>
      <c r="I1085" s="308">
        <v>3610</v>
      </c>
      <c r="J1085" s="306">
        <f t="shared" si="253"/>
        <v>0.16752910737386806</v>
      </c>
      <c r="K1085"/>
    </row>
    <row r="1086" spans="2:17" ht="10.5" customHeight="1">
      <c r="B1086" s="243">
        <v>36192</v>
      </c>
      <c r="C1086" s="524">
        <f t="shared" ref="C1086:C1117" si="254">C1085+C990</f>
        <v>143696</v>
      </c>
      <c r="D1086" s="1151">
        <f t="shared" si="250"/>
        <v>2.8754082800591832E-3</v>
      </c>
      <c r="E1086" s="524">
        <f>C1086/673</f>
        <v>213.51560178306093</v>
      </c>
      <c r="F1086" s="297">
        <f t="shared" si="251"/>
        <v>-2.0967097711740077E-2</v>
      </c>
      <c r="G1086" s="300">
        <f t="shared" si="252"/>
        <v>412000</v>
      </c>
      <c r="H1086" s="294"/>
      <c r="I1086" s="308">
        <v>3790</v>
      </c>
      <c r="J1086" s="306">
        <f t="shared" si="253"/>
        <v>4.9861495844875349E-2</v>
      </c>
    </row>
    <row r="1087" spans="2:17" ht="10.5" customHeight="1">
      <c r="B1087" s="243">
        <v>36220</v>
      </c>
      <c r="C1087" s="524">
        <f t="shared" si="254"/>
        <v>146624</v>
      </c>
      <c r="D1087" s="1151">
        <f t="shared" si="250"/>
        <v>2.0376350072375014E-2</v>
      </c>
      <c r="E1087" s="524">
        <f>C1087/695</f>
        <v>210.96978417266186</v>
      </c>
      <c r="F1087" s="297">
        <f t="shared" si="251"/>
        <v>-1.1923332951498816E-2</v>
      </c>
      <c r="G1087" s="300">
        <f t="shared" si="252"/>
        <v>2928000</v>
      </c>
      <c r="H1087" s="294"/>
      <c r="I1087" s="308">
        <v>4259</v>
      </c>
      <c r="J1087" s="306">
        <f t="shared" si="253"/>
        <v>0.12374670184696569</v>
      </c>
    </row>
    <row r="1088" spans="2:17" ht="10.5" customHeight="1">
      <c r="B1088" s="243">
        <v>36251</v>
      </c>
      <c r="C1088" s="524">
        <f t="shared" si="254"/>
        <v>151268</v>
      </c>
      <c r="D1088" s="1151">
        <f t="shared" si="250"/>
        <v>3.1672850283718898E-2</v>
      </c>
      <c r="E1088" s="524">
        <f>C1088/717</f>
        <v>210.97350069735006</v>
      </c>
      <c r="F1088" s="297">
        <f t="shared" si="251"/>
        <v>1.7616383800058705E-5</v>
      </c>
      <c r="G1088" s="300">
        <f t="shared" si="252"/>
        <v>4644000</v>
      </c>
      <c r="H1088" s="294"/>
      <c r="I1088" s="308">
        <v>5607</v>
      </c>
      <c r="J1088" s="306">
        <f t="shared" si="253"/>
        <v>0.31650622211786805</v>
      </c>
      <c r="K1088" s="25"/>
      <c r="L1088" s="28"/>
      <c r="M1088" s="12"/>
      <c r="N1088" s="25"/>
      <c r="O1088" s="12"/>
      <c r="P1088" s="12"/>
      <c r="Q1088" s="12"/>
    </row>
    <row r="1089" spans="2:17" ht="10.5" customHeight="1">
      <c r="B1089" s="243">
        <v>36281</v>
      </c>
      <c r="C1089" s="524">
        <f t="shared" si="254"/>
        <v>153413</v>
      </c>
      <c r="D1089" s="1151">
        <f t="shared" si="250"/>
        <v>1.4180130629082159E-2</v>
      </c>
      <c r="E1089" s="524">
        <f>C1089/738</f>
        <v>207.87669376693768</v>
      </c>
      <c r="F1089" s="297">
        <f t="shared" si="251"/>
        <v>-1.4678653575810347E-2</v>
      </c>
      <c r="G1089" s="300">
        <f t="shared" si="252"/>
        <v>2145000</v>
      </c>
      <c r="H1089" s="294"/>
      <c r="I1089" s="308">
        <v>6592</v>
      </c>
      <c r="J1089" s="306">
        <f t="shared" si="253"/>
        <v>0.17567326556090601</v>
      </c>
      <c r="K1089" s="25"/>
      <c r="L1089" s="28"/>
      <c r="M1089" s="12"/>
      <c r="N1089" s="25"/>
      <c r="O1089" s="12"/>
      <c r="P1089" s="12"/>
      <c r="Q1089" s="12"/>
    </row>
    <row r="1090" spans="2:17" ht="10.5" customHeight="1">
      <c r="B1090" s="257">
        <v>36312</v>
      </c>
      <c r="C1090" s="524">
        <f t="shared" si="254"/>
        <v>155027</v>
      </c>
      <c r="D1090" s="1151">
        <f t="shared" si="250"/>
        <v>1.0520620807884599E-2</v>
      </c>
      <c r="E1090" s="524">
        <f>C1090/760</f>
        <v>203.9828947368421</v>
      </c>
      <c r="F1090" s="297">
        <f t="shared" si="251"/>
        <v>-1.8731291899712132E-2</v>
      </c>
      <c r="G1090" s="300">
        <f t="shared" si="252"/>
        <v>1614000</v>
      </c>
      <c r="H1090" s="294"/>
      <c r="I1090" s="310">
        <v>6403</v>
      </c>
      <c r="J1090" s="306">
        <f t="shared" si="253"/>
        <v>-2.867111650485437E-2</v>
      </c>
      <c r="K1090" s="25"/>
      <c r="L1090" s="28"/>
      <c r="M1090" s="12"/>
      <c r="N1090" s="25"/>
      <c r="O1090" s="12"/>
      <c r="P1090" s="12"/>
      <c r="Q1090" s="12"/>
    </row>
    <row r="1091" spans="2:17" ht="10.5" customHeight="1">
      <c r="B1091" s="243">
        <v>36342</v>
      </c>
      <c r="C1091" s="524">
        <f t="shared" si="254"/>
        <v>156737</v>
      </c>
      <c r="D1091" s="1151">
        <f t="shared" si="250"/>
        <v>1.1030336651034981E-2</v>
      </c>
      <c r="E1091" s="524">
        <f>C1091/782</f>
        <v>200.4309462915601</v>
      </c>
      <c r="F1091" s="297">
        <f t="shared" si="251"/>
        <v>-1.7412972052702532E-2</v>
      </c>
      <c r="G1091" s="300">
        <f t="shared" si="252"/>
        <v>1710000</v>
      </c>
      <c r="H1091" s="297"/>
      <c r="I1091" s="308">
        <v>6572</v>
      </c>
      <c r="J1091" s="306">
        <f t="shared" si="253"/>
        <v>2.6393877869748554E-2</v>
      </c>
      <c r="K1091" s="25"/>
      <c r="L1091" s="28"/>
      <c r="M1091" s="12"/>
      <c r="N1091" s="25"/>
      <c r="O1091" s="12"/>
      <c r="P1091" s="12"/>
      <c r="Q1091" s="12"/>
    </row>
    <row r="1092" spans="2:17" ht="10.5" customHeight="1">
      <c r="B1092" s="243">
        <v>36373</v>
      </c>
      <c r="C1092" s="524">
        <f t="shared" si="254"/>
        <v>159489</v>
      </c>
      <c r="D1092" s="1151">
        <f t="shared" si="250"/>
        <v>1.7558074991865354E-2</v>
      </c>
      <c r="E1092" s="524">
        <f>C1092/803</f>
        <v>198.61643835616439</v>
      </c>
      <c r="F1092" s="297">
        <f t="shared" si="251"/>
        <v>-9.0530328223676938E-3</v>
      </c>
      <c r="G1092" s="300">
        <f t="shared" si="252"/>
        <v>2752000</v>
      </c>
      <c r="H1092" s="297"/>
      <c r="I1092" s="308">
        <v>6472</v>
      </c>
      <c r="J1092" s="306">
        <f t="shared" si="253"/>
        <v>-1.5216068167985392E-2</v>
      </c>
      <c r="K1092" s="25"/>
      <c r="L1092" s="28"/>
      <c r="M1092" s="12"/>
      <c r="N1092" s="25"/>
      <c r="O1092" s="12"/>
      <c r="P1092" s="12"/>
      <c r="Q1092" s="12"/>
    </row>
    <row r="1093" spans="2:17" ht="10.5" customHeight="1">
      <c r="B1093" s="243">
        <v>36404</v>
      </c>
      <c r="C1093" s="524">
        <f t="shared" si="254"/>
        <v>161962</v>
      </c>
      <c r="D1093" s="1151">
        <f t="shared" si="250"/>
        <v>1.5505771557913085E-2</v>
      </c>
      <c r="E1093" s="524">
        <f>C1093/825</f>
        <v>196.31757575757575</v>
      </c>
      <c r="F1093" s="297">
        <f t="shared" si="251"/>
        <v>-1.1574382350298009E-2</v>
      </c>
      <c r="G1093" s="300">
        <f t="shared" si="252"/>
        <v>2473000</v>
      </c>
      <c r="H1093" s="297"/>
      <c r="I1093" s="308">
        <v>5660</v>
      </c>
      <c r="J1093" s="306">
        <f t="shared" si="253"/>
        <v>-0.12546353522867737</v>
      </c>
      <c r="K1093" s="25"/>
      <c r="L1093" s="28"/>
      <c r="M1093" s="12"/>
      <c r="N1093" s="25"/>
      <c r="O1093" s="12"/>
      <c r="P1093" s="12"/>
      <c r="Q1093" s="12"/>
    </row>
    <row r="1094" spans="2:17" ht="10.5" customHeight="1">
      <c r="B1094" s="243">
        <v>36434</v>
      </c>
      <c r="C1094" s="524">
        <f t="shared" si="254"/>
        <v>165137</v>
      </c>
      <c r="D1094" s="1151">
        <f t="shared" si="250"/>
        <v>1.9603363751991208E-2</v>
      </c>
      <c r="E1094" s="524">
        <f>C1094/846</f>
        <v>195.19739952718678</v>
      </c>
      <c r="F1094" s="297">
        <f t="shared" si="251"/>
        <v>-5.7059396035545797E-3</v>
      </c>
      <c r="G1094" s="300">
        <f t="shared" si="252"/>
        <v>3175000</v>
      </c>
      <c r="H1094" s="297"/>
      <c r="I1094" s="308">
        <v>6257</v>
      </c>
      <c r="J1094" s="306">
        <f t="shared" si="253"/>
        <v>0.10547703180212015</v>
      </c>
      <c r="K1094" s="25"/>
      <c r="L1094" s="28"/>
      <c r="M1094" s="12"/>
      <c r="N1094" s="25"/>
      <c r="O1094" s="12"/>
      <c r="P1094" s="12"/>
      <c r="Q1094" s="12"/>
    </row>
    <row r="1095" spans="2:17" ht="10.5" customHeight="1">
      <c r="B1095" s="243">
        <v>36465</v>
      </c>
      <c r="C1095" s="524">
        <f t="shared" si="254"/>
        <v>168000</v>
      </c>
      <c r="D1095" s="1151">
        <f t="shared" si="250"/>
        <v>1.7337120088169216E-2</v>
      </c>
      <c r="E1095" s="524">
        <f>C1095/866</f>
        <v>193.99538106235565</v>
      </c>
      <c r="F1095" s="297">
        <f t="shared" si="251"/>
        <v>-6.1579635166385096E-3</v>
      </c>
      <c r="G1095" s="300">
        <f t="shared" si="252"/>
        <v>2863000</v>
      </c>
      <c r="H1095" s="297"/>
      <c r="I1095" s="308">
        <v>6930</v>
      </c>
      <c r="J1095" s="306">
        <f t="shared" si="253"/>
        <v>0.1075595333226786</v>
      </c>
      <c r="K1095" s="25"/>
      <c r="L1095" s="28"/>
      <c r="M1095" s="12"/>
      <c r="N1095" s="25"/>
      <c r="O1095" s="12"/>
      <c r="P1095" s="12"/>
      <c r="Q1095" s="12"/>
    </row>
    <row r="1096" spans="2:17" ht="10.5" customHeight="1">
      <c r="B1096" s="257">
        <v>36495</v>
      </c>
      <c r="C1096" s="564">
        <f t="shared" si="254"/>
        <v>171049</v>
      </c>
      <c r="D1096" s="1152">
        <f t="shared" si="250"/>
        <v>1.8148809523809525E-2</v>
      </c>
      <c r="E1096" s="564">
        <f>C1096/888</f>
        <v>192.62274774774775</v>
      </c>
      <c r="F1096" s="424">
        <f t="shared" si="251"/>
        <v>-7.0755979193478438E-3</v>
      </c>
      <c r="G1096" s="565">
        <f t="shared" si="252"/>
        <v>3049000</v>
      </c>
      <c r="H1096" s="424"/>
      <c r="I1096" s="310">
        <v>7107</v>
      </c>
      <c r="J1096" s="568">
        <f t="shared" si="253"/>
        <v>2.5541125541125542E-2</v>
      </c>
      <c r="K1096" s="25"/>
      <c r="L1096" s="28"/>
      <c r="M1096" s="12"/>
      <c r="N1096" s="25"/>
      <c r="O1096" s="12"/>
      <c r="P1096" s="12"/>
      <c r="Q1096" s="12"/>
    </row>
    <row r="1097" spans="2:17" ht="10.5" customHeight="1">
      <c r="B1097" s="243">
        <v>36526</v>
      </c>
      <c r="C1097" s="524">
        <f t="shared" si="254"/>
        <v>175336</v>
      </c>
      <c r="D1097" s="1151">
        <f t="shared" si="250"/>
        <v>2.506299364509585E-2</v>
      </c>
      <c r="E1097" s="524">
        <f>C1097/907</f>
        <v>193.31422271223815</v>
      </c>
      <c r="F1097" s="297">
        <f t="shared" si="251"/>
        <v>3.5897887065546828E-3</v>
      </c>
      <c r="G1097" s="300">
        <f t="shared" si="252"/>
        <v>4287000</v>
      </c>
      <c r="H1097" s="297"/>
      <c r="I1097" s="308">
        <v>7915</v>
      </c>
      <c r="J1097" s="306">
        <f t="shared" si="253"/>
        <v>0.11369072745180808</v>
      </c>
      <c r="K1097" s="25"/>
      <c r="L1097" s="28"/>
      <c r="M1097" s="12"/>
      <c r="N1097" s="25"/>
      <c r="O1097" s="12"/>
      <c r="P1097" s="12"/>
      <c r="Q1097" s="12"/>
    </row>
    <row r="1098" spans="2:17" ht="10.5" customHeight="1">
      <c r="B1098" s="243">
        <v>36557</v>
      </c>
      <c r="C1098" s="524">
        <f t="shared" si="254"/>
        <v>177450</v>
      </c>
      <c r="D1098" s="1151">
        <f t="shared" si="250"/>
        <v>1.2056850846374961E-2</v>
      </c>
      <c r="E1098" s="524">
        <f>C1098/925</f>
        <v>191.83783783783784</v>
      </c>
      <c r="F1098" s="297">
        <f t="shared" si="251"/>
        <v>-7.6372284133382822E-3</v>
      </c>
      <c r="G1098" s="300">
        <f t="shared" si="252"/>
        <v>2114000</v>
      </c>
      <c r="H1098" s="297"/>
      <c r="I1098" s="308">
        <v>8154</v>
      </c>
      <c r="J1098" s="306">
        <f t="shared" si="253"/>
        <v>3.0195830701200254E-2</v>
      </c>
      <c r="K1098" s="25"/>
      <c r="L1098" s="28"/>
      <c r="M1098" s="12"/>
      <c r="N1098" s="25"/>
      <c r="O1098" s="12"/>
      <c r="P1098" s="12"/>
      <c r="Q1098" s="12"/>
    </row>
    <row r="1099" spans="2:17" ht="10.5" customHeight="1">
      <c r="B1099" s="243">
        <v>36586</v>
      </c>
      <c r="C1099" s="524">
        <f t="shared" si="254"/>
        <v>180518</v>
      </c>
      <c r="D1099" s="1151">
        <f t="shared" si="250"/>
        <v>1.7289377289377291E-2</v>
      </c>
      <c r="E1099" s="524">
        <f>C1099/947</f>
        <v>190.6209081309398</v>
      </c>
      <c r="F1099" s="297">
        <f t="shared" si="251"/>
        <v>-6.3435332706716797E-3</v>
      </c>
      <c r="G1099" s="300">
        <f t="shared" si="252"/>
        <v>3068000</v>
      </c>
      <c r="H1099" s="297"/>
      <c r="I1099" s="308">
        <v>7449</v>
      </c>
      <c r="J1099" s="306">
        <f t="shared" si="253"/>
        <v>-8.6460632818248714E-2</v>
      </c>
      <c r="K1099" s="25"/>
      <c r="L1099" s="28"/>
      <c r="M1099" s="12"/>
      <c r="N1099" s="25"/>
      <c r="O1099" s="12"/>
      <c r="P1099" s="12"/>
      <c r="Q1099" s="12"/>
    </row>
    <row r="1100" spans="2:17" ht="10.5" customHeight="1">
      <c r="B1100" s="522">
        <v>36617</v>
      </c>
      <c r="C1100" s="524">
        <f t="shared" si="254"/>
        <v>182293</v>
      </c>
      <c r="D1100" s="1151">
        <f t="shared" si="250"/>
        <v>9.8328144561761147E-3</v>
      </c>
      <c r="E1100" s="524">
        <f>C1100/966</f>
        <v>188.70910973084887</v>
      </c>
      <c r="F1100" s="425">
        <f t="shared" si="251"/>
        <v>-1.0029321645963899E-2</v>
      </c>
      <c r="G1100" s="300">
        <f t="shared" si="252"/>
        <v>1775000</v>
      </c>
      <c r="H1100" s="425"/>
      <c r="I1100" s="428">
        <v>7327</v>
      </c>
      <c r="J1100" s="306">
        <f t="shared" si="253"/>
        <v>-1.6378037320445696E-2</v>
      </c>
      <c r="K1100" s="25"/>
      <c r="L1100" s="28"/>
      <c r="M1100" s="12"/>
      <c r="N1100" s="25"/>
      <c r="O1100" s="12"/>
      <c r="P1100" s="12"/>
      <c r="Q1100" s="12"/>
    </row>
    <row r="1101" spans="2:17" ht="10.5" customHeight="1">
      <c r="B1101" s="243">
        <v>36647</v>
      </c>
      <c r="C1101" s="524">
        <f t="shared" si="254"/>
        <v>185296</v>
      </c>
      <c r="D1101" s="1151">
        <f t="shared" si="250"/>
        <v>1.647347950826417E-2</v>
      </c>
      <c r="E1101" s="524">
        <f>C1101/987</f>
        <v>187.73657548125632</v>
      </c>
      <c r="F1101" s="297">
        <f t="shared" si="251"/>
        <v>-5.153615800422371E-3</v>
      </c>
      <c r="G1101" s="300">
        <f t="shared" si="252"/>
        <v>3003000</v>
      </c>
      <c r="H1101" s="297"/>
      <c r="I1101" s="308">
        <v>6933</v>
      </c>
      <c r="J1101" s="306">
        <f t="shared" si="253"/>
        <v>-5.3773713661798825E-2</v>
      </c>
      <c r="K1101" s="25"/>
      <c r="L1101" s="28"/>
      <c r="M1101" s="12"/>
      <c r="N1101" s="25"/>
      <c r="O1101" s="12"/>
      <c r="P1101" s="12"/>
      <c r="Q1101" s="12"/>
    </row>
    <row r="1102" spans="2:17" ht="10.5" customHeight="1">
      <c r="B1102" s="243">
        <v>36678</v>
      </c>
      <c r="C1102" s="524">
        <f t="shared" si="254"/>
        <v>188488</v>
      </c>
      <c r="D1102" s="1151">
        <f t="shared" si="250"/>
        <v>1.7226491667386237E-2</v>
      </c>
      <c r="E1102" s="524">
        <f>C1102/1008</f>
        <v>186.99206349206349</v>
      </c>
      <c r="F1102" s="297">
        <f t="shared" si="251"/>
        <v>-3.9657269090175896E-3</v>
      </c>
      <c r="G1102" s="300">
        <f t="shared" si="252"/>
        <v>3192000</v>
      </c>
      <c r="H1102" s="297"/>
      <c r="I1102" s="308">
        <v>5610</v>
      </c>
      <c r="J1102" s="306">
        <f t="shared" si="253"/>
        <v>-0.19082648204240588</v>
      </c>
      <c r="K1102" s="25"/>
      <c r="L1102" s="28"/>
      <c r="M1102" s="12"/>
      <c r="N1102" s="25"/>
      <c r="O1102" s="12"/>
      <c r="P1102" s="12"/>
      <c r="Q1102" s="12"/>
    </row>
    <row r="1103" spans="2:17" ht="10.5" customHeight="1">
      <c r="B1103" s="243">
        <v>36708</v>
      </c>
      <c r="C1103" s="524">
        <f t="shared" si="254"/>
        <v>194784</v>
      </c>
      <c r="D1103" s="1151">
        <f t="shared" si="250"/>
        <v>3.3402656933067355E-2</v>
      </c>
      <c r="E1103" s="524">
        <f>C1103/1029</f>
        <v>189.29446064139941</v>
      </c>
      <c r="F1103" s="297">
        <f t="shared" si="251"/>
        <v>1.2312806791576144E-2</v>
      </c>
      <c r="G1103" s="300">
        <f t="shared" si="252"/>
        <v>6296000</v>
      </c>
      <c r="H1103" s="297"/>
      <c r="I1103" s="308">
        <v>7218</v>
      </c>
      <c r="J1103" s="306">
        <f t="shared" si="253"/>
        <v>0.28663101604278074</v>
      </c>
      <c r="K1103" s="25"/>
      <c r="L1103" s="28"/>
      <c r="M1103" s="12"/>
      <c r="N1103" s="25"/>
      <c r="O1103" s="12"/>
      <c r="P1103" s="12"/>
      <c r="Q1103" s="12"/>
    </row>
    <row r="1104" spans="2:17" ht="10.5" customHeight="1">
      <c r="B1104" s="243">
        <v>36739</v>
      </c>
      <c r="C1104" s="524">
        <f t="shared" si="254"/>
        <v>202471</v>
      </c>
      <c r="D1104" s="1151">
        <f t="shared" si="250"/>
        <v>3.9464227041235422E-2</v>
      </c>
      <c r="E1104" s="524">
        <f>C1104/1051</f>
        <v>192.64605137963844</v>
      </c>
      <c r="F1104" s="297">
        <f t="shared" si="251"/>
        <v>1.770569897757494E-2</v>
      </c>
      <c r="G1104" s="300">
        <f t="shared" si="252"/>
        <v>7687000</v>
      </c>
      <c r="H1104" s="297"/>
      <c r="I1104" s="308">
        <v>7501</v>
      </c>
      <c r="J1104" s="306">
        <f t="shared" si="253"/>
        <v>3.9207536713771127E-2</v>
      </c>
      <c r="K1104" s="25"/>
      <c r="L1104" s="28"/>
      <c r="M1104" s="12"/>
      <c r="N1104" s="25"/>
      <c r="O1104" s="12"/>
      <c r="P1104" s="12"/>
      <c r="Q1104" s="12"/>
    </row>
    <row r="1105" spans="2:17" ht="10.5" customHeight="1">
      <c r="B1105" s="243">
        <v>36770</v>
      </c>
      <c r="C1105" s="524">
        <f t="shared" si="254"/>
        <v>206482</v>
      </c>
      <c r="D1105" s="1151">
        <f t="shared" si="250"/>
        <v>1.9810244430066529E-2</v>
      </c>
      <c r="E1105" s="524">
        <f>C1105/1072</f>
        <v>192.61380597014926</v>
      </c>
      <c r="F1105" s="297">
        <f t="shared" si="251"/>
        <v>-1.6738162686570564E-4</v>
      </c>
      <c r="G1105" s="300">
        <f t="shared" si="252"/>
        <v>4011000</v>
      </c>
      <c r="H1105" s="297"/>
      <c r="I1105" s="308">
        <v>7129</v>
      </c>
      <c r="J1105" s="306">
        <f t="shared" si="253"/>
        <v>-4.9593387548326887E-2</v>
      </c>
      <c r="K1105" s="25"/>
      <c r="L1105" s="28"/>
      <c r="M1105" s="12"/>
      <c r="N1105" s="25"/>
      <c r="O1105" s="12"/>
      <c r="P1105" s="12"/>
      <c r="Q1105" s="12"/>
    </row>
    <row r="1106" spans="2:17" ht="10.5" customHeight="1">
      <c r="B1106" s="243">
        <v>36800</v>
      </c>
      <c r="C1106" s="524">
        <f t="shared" si="254"/>
        <v>212034</v>
      </c>
      <c r="D1106" s="1151">
        <f t="shared" si="250"/>
        <v>2.6888542342673939E-2</v>
      </c>
      <c r="E1106" s="524">
        <f>C1106/1093</f>
        <v>193.99268069533395</v>
      </c>
      <c r="F1106" s="297">
        <f t="shared" si="251"/>
        <v>7.1587533315155055E-3</v>
      </c>
      <c r="G1106" s="300">
        <f t="shared" si="252"/>
        <v>5552000</v>
      </c>
      <c r="H1106" s="297"/>
      <c r="I1106" s="308">
        <v>7749</v>
      </c>
      <c r="J1106" s="306">
        <f t="shared" si="253"/>
        <v>8.696871931547201E-2</v>
      </c>
      <c r="K1106" s="25"/>
      <c r="L1106" s="28"/>
      <c r="M1106" s="12"/>
      <c r="N1106" s="25"/>
      <c r="O1106" s="12"/>
      <c r="P1106" s="12"/>
      <c r="Q1106" s="12"/>
    </row>
    <row r="1107" spans="2:17" ht="10.5" customHeight="1">
      <c r="B1107" s="243">
        <v>36831</v>
      </c>
      <c r="C1107" s="524">
        <f t="shared" si="254"/>
        <v>214703</v>
      </c>
      <c r="D1107" s="1151">
        <f t="shared" si="250"/>
        <v>1.2587603874850259E-2</v>
      </c>
      <c r="E1107" s="524">
        <f>C1107/1115</f>
        <v>192.55874439461883</v>
      </c>
      <c r="F1107" s="297">
        <f t="shared" si="251"/>
        <v>-7.3917031074338252E-3</v>
      </c>
      <c r="G1107" s="300">
        <f t="shared" si="252"/>
        <v>2669000</v>
      </c>
      <c r="H1107" s="297"/>
      <c r="I1107" s="308">
        <v>7814</v>
      </c>
      <c r="J1107" s="306">
        <f t="shared" si="253"/>
        <v>8.3881791198864367E-3</v>
      </c>
      <c r="K1107" s="25"/>
      <c r="L1107" s="28"/>
      <c r="M1107" s="12"/>
      <c r="N1107" s="25"/>
      <c r="O1107" s="12"/>
      <c r="P1107" s="12"/>
      <c r="Q1107" s="12"/>
    </row>
    <row r="1108" spans="2:17" ht="11.1" customHeight="1">
      <c r="B1108" s="243">
        <v>36861</v>
      </c>
      <c r="C1108" s="524">
        <f t="shared" si="254"/>
        <v>215861</v>
      </c>
      <c r="D1108" s="1151">
        <f t="shared" si="250"/>
        <v>5.3934970633852343E-3</v>
      </c>
      <c r="E1108" s="524">
        <f>C1108/1131</f>
        <v>190.85853227232536</v>
      </c>
      <c r="F1108" s="297">
        <f t="shared" si="251"/>
        <v>-8.8295762814549084E-3</v>
      </c>
      <c r="G1108" s="300">
        <f t="shared" si="252"/>
        <v>1158000</v>
      </c>
      <c r="H1108" s="297"/>
      <c r="I1108" s="308">
        <v>6642</v>
      </c>
      <c r="J1108" s="306">
        <f t="shared" si="253"/>
        <v>-0.14998720245712824</v>
      </c>
    </row>
    <row r="1109" spans="2:17" ht="11.1" customHeight="1">
      <c r="B1109" s="243">
        <v>36892</v>
      </c>
      <c r="C1109" s="524">
        <f t="shared" si="254"/>
        <v>221936</v>
      </c>
      <c r="D1109" s="1151">
        <f t="shared" si="250"/>
        <v>2.8143110612848084E-2</v>
      </c>
      <c r="E1109" s="524">
        <f>C1109/1150</f>
        <v>192.98782608695652</v>
      </c>
      <c r="F1109" s="297">
        <f t="shared" si="251"/>
        <v>1.1156398350548897E-2</v>
      </c>
      <c r="G1109" s="300">
        <f t="shared" si="252"/>
        <v>6075000</v>
      </c>
      <c r="H1109" s="297"/>
      <c r="I1109" s="308">
        <v>7538</v>
      </c>
      <c r="J1109" s="306">
        <f t="shared" si="253"/>
        <v>0.13489912676904547</v>
      </c>
    </row>
    <row r="1110" spans="2:17" ht="11.1" customHeight="1">
      <c r="B1110" s="243">
        <v>36924</v>
      </c>
      <c r="C1110" s="524">
        <f t="shared" si="254"/>
        <v>228292</v>
      </c>
      <c r="D1110" s="1151">
        <f t="shared" si="250"/>
        <v>2.8638886886309566E-2</v>
      </c>
      <c r="E1110" s="524">
        <f>C1110/1169</f>
        <v>195.28828058169375</v>
      </c>
      <c r="F1110" s="297">
        <f t="shared" si="251"/>
        <v>1.1920205234607382E-2</v>
      </c>
      <c r="G1110" s="300">
        <f t="shared" si="252"/>
        <v>6356000</v>
      </c>
      <c r="H1110" s="297"/>
      <c r="I1110" s="308">
        <v>9282</v>
      </c>
      <c r="J1110" s="306">
        <f t="shared" si="253"/>
        <v>0.23136110374104538</v>
      </c>
    </row>
    <row r="1111" spans="2:17" ht="11.1" customHeight="1">
      <c r="B1111" s="243">
        <v>36952</v>
      </c>
      <c r="C1111" s="524">
        <f t="shared" si="254"/>
        <v>232502</v>
      </c>
      <c r="D1111" s="1151">
        <f t="shared" si="250"/>
        <v>1.8441294482504863E-2</v>
      </c>
      <c r="E1111" s="524">
        <f>C1111/1189</f>
        <v>195.54415475189234</v>
      </c>
      <c r="F1111" s="297">
        <f t="shared" si="251"/>
        <v>1.3102382254399677E-3</v>
      </c>
      <c r="G1111" s="300">
        <f t="shared" si="252"/>
        <v>4210000</v>
      </c>
      <c r="H1111" s="297"/>
      <c r="I1111" s="308">
        <v>9230</v>
      </c>
      <c r="J1111" s="306">
        <f t="shared" si="253"/>
        <v>-5.6022408963585435E-3</v>
      </c>
    </row>
    <row r="1112" spans="2:17" ht="11.1" customHeight="1">
      <c r="B1112" s="243">
        <v>36982</v>
      </c>
      <c r="C1112" s="524">
        <f t="shared" si="254"/>
        <v>237277</v>
      </c>
      <c r="D1112" s="1151">
        <f t="shared" si="250"/>
        <v>2.0537457742298992E-2</v>
      </c>
      <c r="E1112" s="524">
        <f>C1112/1210</f>
        <v>196.09669421487604</v>
      </c>
      <c r="F1112" s="297">
        <f t="shared" si="251"/>
        <v>2.8256506244575194E-3</v>
      </c>
      <c r="G1112" s="300">
        <f t="shared" si="252"/>
        <v>4775000</v>
      </c>
      <c r="H1112" s="297"/>
      <c r="I1112" s="308">
        <v>9706</v>
      </c>
      <c r="J1112" s="306">
        <f t="shared" si="253"/>
        <v>5.1570964247020588E-2</v>
      </c>
    </row>
    <row r="1113" spans="2:17" ht="11.1" customHeight="1">
      <c r="B1113" s="243">
        <v>37012</v>
      </c>
      <c r="C1113" s="524">
        <f t="shared" si="254"/>
        <v>240690</v>
      </c>
      <c r="D1113" s="1151">
        <f t="shared" ref="D1113:D1118" si="255">(C1113-C1112)/C1112</f>
        <v>1.4384032164938026E-2</v>
      </c>
      <c r="E1113" s="524">
        <f>C1113/1231</f>
        <v>195.52396425670187</v>
      </c>
      <c r="F1113" s="297">
        <f t="shared" ref="F1113:F1118" si="256">(E1113-E1112)/E1112</f>
        <v>-2.9206507558285854E-3</v>
      </c>
      <c r="G1113" s="300">
        <f t="shared" si="252"/>
        <v>3413000</v>
      </c>
      <c r="H1113" s="297"/>
      <c r="I1113" s="308">
        <v>9966</v>
      </c>
      <c r="J1113" s="306">
        <f t="shared" ref="J1113:J1118" si="257">(I1113-I1112)/I1112</f>
        <v>2.6787554090253452E-2</v>
      </c>
    </row>
    <row r="1114" spans="2:17" ht="11.1" customHeight="1">
      <c r="B1114" s="243">
        <v>37043</v>
      </c>
      <c r="C1114" s="524">
        <f t="shared" si="254"/>
        <v>246892</v>
      </c>
      <c r="D1114" s="1151">
        <f t="shared" si="255"/>
        <v>2.576758486019361E-2</v>
      </c>
      <c r="E1114" s="524">
        <f>C1114/1251</f>
        <v>197.35571542765788</v>
      </c>
      <c r="F1114" s="297">
        <f t="shared" si="256"/>
        <v>9.3684228320530527E-3</v>
      </c>
      <c r="G1114" s="300">
        <f t="shared" si="252"/>
        <v>6202000</v>
      </c>
      <c r="H1114" s="297"/>
      <c r="I1114" s="308">
        <v>10878</v>
      </c>
      <c r="J1114" s="306">
        <f t="shared" si="257"/>
        <v>9.151113786875377E-2</v>
      </c>
    </row>
    <row r="1115" spans="2:17" ht="11.1" customHeight="1">
      <c r="B1115" s="582">
        <v>37073</v>
      </c>
      <c r="C1115" s="564">
        <f t="shared" si="254"/>
        <v>251518</v>
      </c>
      <c r="D1115" s="1152">
        <f t="shared" si="255"/>
        <v>1.8736937608346969E-2</v>
      </c>
      <c r="E1115" s="564">
        <f>C1115/1273</f>
        <v>197.57894736842104</v>
      </c>
      <c r="F1115" s="424">
        <f t="shared" si="256"/>
        <v>1.1311146488938836E-3</v>
      </c>
      <c r="G1115" s="565">
        <f t="shared" si="252"/>
        <v>4626000</v>
      </c>
      <c r="H1115" s="572"/>
      <c r="I1115" s="576">
        <v>11665</v>
      </c>
      <c r="J1115" s="568">
        <f t="shared" si="257"/>
        <v>7.2347858062143777E-2</v>
      </c>
    </row>
    <row r="1116" spans="2:17" ht="11.1" customHeight="1">
      <c r="B1116" s="257">
        <v>37104</v>
      </c>
      <c r="C1116" s="564">
        <f t="shared" si="254"/>
        <v>255378</v>
      </c>
      <c r="D1116" s="1152">
        <f t="shared" si="255"/>
        <v>1.5346814144514508E-2</v>
      </c>
      <c r="E1116" s="564">
        <f>C1116/1295</f>
        <v>197.2030888030888</v>
      </c>
      <c r="F1116" s="424">
        <f t="shared" si="256"/>
        <v>-1.9023209220331658E-3</v>
      </c>
      <c r="G1116" s="565">
        <f t="shared" ref="G1116:G1121" si="258">C1020*1000</f>
        <v>3860000</v>
      </c>
      <c r="H1116" s="424"/>
      <c r="I1116" s="310">
        <v>13023</v>
      </c>
      <c r="J1116" s="568">
        <f t="shared" si="257"/>
        <v>0.11641663094727818</v>
      </c>
    </row>
    <row r="1117" spans="2:17" ht="11.1" customHeight="1">
      <c r="B1117" s="257">
        <v>37135</v>
      </c>
      <c r="C1117" s="564">
        <f t="shared" si="254"/>
        <v>259005</v>
      </c>
      <c r="D1117" s="1152">
        <f t="shared" si="255"/>
        <v>1.4202476329206118E-2</v>
      </c>
      <c r="E1117" s="564">
        <f>C1117/1273</f>
        <v>203.46032992930085</v>
      </c>
      <c r="F1117" s="424">
        <f t="shared" si="256"/>
        <v>3.1729934678964539E-2</v>
      </c>
      <c r="G1117" s="565">
        <f t="shared" si="258"/>
        <v>3627000</v>
      </c>
      <c r="H1117" s="424"/>
      <c r="I1117" s="310">
        <v>12069</v>
      </c>
      <c r="J1117" s="568">
        <f t="shared" si="257"/>
        <v>-7.3255010366275047E-2</v>
      </c>
    </row>
    <row r="1118" spans="2:17" ht="11.1" customHeight="1">
      <c r="B1118" s="257">
        <v>37165</v>
      </c>
      <c r="C1118" s="564">
        <f t="shared" ref="C1118:C1144" si="259">C1117+C1022</f>
        <v>265996</v>
      </c>
      <c r="D1118" s="1152">
        <f t="shared" si="255"/>
        <v>2.6991756915889654E-2</v>
      </c>
      <c r="E1118" s="564">
        <f>C1118/1296</f>
        <v>205.24382716049382</v>
      </c>
      <c r="F1118" s="424">
        <f t="shared" si="256"/>
        <v>8.7658229582774378E-3</v>
      </c>
      <c r="G1118" s="565">
        <f t="shared" si="258"/>
        <v>6991000</v>
      </c>
      <c r="H1118" s="424"/>
      <c r="I1118" s="310">
        <v>11821</v>
      </c>
      <c r="J1118" s="568">
        <f t="shared" si="257"/>
        <v>-2.054851271853509E-2</v>
      </c>
    </row>
    <row r="1119" spans="2:17" ht="11.1" customHeight="1">
      <c r="B1119" s="243">
        <v>37196</v>
      </c>
      <c r="C1119" s="524">
        <f t="shared" si="259"/>
        <v>268810</v>
      </c>
      <c r="D1119" s="1151">
        <f t="shared" ref="D1119:D1124" si="260">(C1119-C1118)/C1118</f>
        <v>1.0579106452728613E-2</v>
      </c>
      <c r="E1119" s="524">
        <f>C1119/1316</f>
        <v>204.26291793313069</v>
      </c>
      <c r="F1119" s="297">
        <f t="shared" ref="F1119:F1124" si="261">(E1119-E1118)/E1118</f>
        <v>-4.7792386301396027E-3</v>
      </c>
      <c r="G1119" s="300">
        <f t="shared" si="258"/>
        <v>2814000</v>
      </c>
      <c r="H1119" s="297"/>
      <c r="I1119" s="308">
        <v>11863</v>
      </c>
      <c r="J1119" s="306">
        <f t="shared" ref="J1119:J1124" si="262">(I1119-I1118)/I1118</f>
        <v>3.5529989002622453E-3</v>
      </c>
    </row>
    <row r="1120" spans="2:17" ht="11.1" customHeight="1">
      <c r="B1120" s="257">
        <v>37226</v>
      </c>
      <c r="C1120" s="564">
        <f t="shared" si="259"/>
        <v>270775</v>
      </c>
      <c r="D1120" s="1152">
        <f t="shared" si="260"/>
        <v>7.3099959078903312E-3</v>
      </c>
      <c r="E1120" s="564">
        <f>C1120/1333</f>
        <v>203.13203300825205</v>
      </c>
      <c r="F1120" s="424">
        <f t="shared" si="261"/>
        <v>-5.5364181434481392E-3</v>
      </c>
      <c r="G1120" s="565">
        <f t="shared" si="258"/>
        <v>1965000</v>
      </c>
      <c r="H1120" s="424"/>
      <c r="I1120" s="310">
        <v>10751</v>
      </c>
      <c r="J1120" s="568">
        <f t="shared" si="262"/>
        <v>-9.3736828795414312E-2</v>
      </c>
    </row>
    <row r="1121" spans="2:10" ht="11.1" customHeight="1">
      <c r="B1121" s="257">
        <v>37257</v>
      </c>
      <c r="C1121" s="564">
        <f t="shared" si="259"/>
        <v>278547</v>
      </c>
      <c r="D1121" s="1152">
        <f t="shared" si="260"/>
        <v>2.8702797525620903E-2</v>
      </c>
      <c r="E1121" s="564">
        <f>C1121/1355</f>
        <v>205.56974169741699</v>
      </c>
      <c r="F1121" s="424">
        <f t="shared" si="261"/>
        <v>1.2000611883138617E-2</v>
      </c>
      <c r="G1121" s="565">
        <f t="shared" si="258"/>
        <v>7772000</v>
      </c>
      <c r="H1121" s="424"/>
      <c r="I1121" s="310">
        <v>12049</v>
      </c>
      <c r="J1121" s="568">
        <f t="shared" si="262"/>
        <v>0.12073295507394662</v>
      </c>
    </row>
    <row r="1122" spans="2:10" ht="11.1" customHeight="1">
      <c r="B1122" s="257">
        <v>37288</v>
      </c>
      <c r="C1122" s="564">
        <f t="shared" si="259"/>
        <v>281321</v>
      </c>
      <c r="D1122" s="1152">
        <f t="shared" si="260"/>
        <v>9.9588220300344289E-3</v>
      </c>
      <c r="E1122" s="564">
        <f>C1122/1371</f>
        <v>205.19401896425967</v>
      </c>
      <c r="F1122" s="424">
        <f t="shared" si="261"/>
        <v>-1.8277141862169234E-3</v>
      </c>
      <c r="G1122" s="565">
        <f t="shared" ref="G1122:G1127" si="263">C1026*1000</f>
        <v>2774000</v>
      </c>
      <c r="H1122" s="424"/>
      <c r="I1122" s="310">
        <v>12820</v>
      </c>
      <c r="J1122" s="568">
        <f t="shared" si="262"/>
        <v>6.3988712756245333E-2</v>
      </c>
    </row>
    <row r="1123" spans="2:10" ht="11.1" customHeight="1">
      <c r="B1123" s="257">
        <v>37316</v>
      </c>
      <c r="C1123" s="564">
        <f t="shared" si="259"/>
        <v>285831</v>
      </c>
      <c r="D1123" s="1152">
        <f t="shared" si="260"/>
        <v>1.6031508490301116E-2</v>
      </c>
      <c r="E1123" s="564">
        <f>C1123/1391</f>
        <v>205.48598130841123</v>
      </c>
      <c r="F1123" s="424">
        <f t="shared" si="261"/>
        <v>1.4228599138769748E-3</v>
      </c>
      <c r="G1123" s="565">
        <f t="shared" si="263"/>
        <v>4510000</v>
      </c>
      <c r="H1123" s="424"/>
      <c r="I1123" s="310">
        <v>12627</v>
      </c>
      <c r="J1123" s="568">
        <f t="shared" si="262"/>
        <v>-1.5054602184087364E-2</v>
      </c>
    </row>
    <row r="1124" spans="2:10" ht="11.1" customHeight="1">
      <c r="B1124" s="257">
        <v>37347</v>
      </c>
      <c r="C1124" s="564">
        <f t="shared" si="259"/>
        <v>293279</v>
      </c>
      <c r="D1124" s="1152">
        <f t="shared" si="260"/>
        <v>2.6057355570249553E-2</v>
      </c>
      <c r="E1124" s="564">
        <f>C1124/1412</f>
        <v>207.70467422096317</v>
      </c>
      <c r="F1124" s="424">
        <f t="shared" si="261"/>
        <v>1.079729574944549E-2</v>
      </c>
      <c r="G1124" s="565">
        <f t="shared" si="263"/>
        <v>7448000</v>
      </c>
      <c r="H1124" s="424"/>
      <c r="I1124" s="310">
        <v>15287</v>
      </c>
      <c r="J1124" s="568">
        <f t="shared" si="262"/>
        <v>0.21065969747366753</v>
      </c>
    </row>
    <row r="1125" spans="2:10" ht="11.1" customHeight="1">
      <c r="B1125" s="257">
        <v>37377</v>
      </c>
      <c r="C1125" s="564">
        <f t="shared" si="259"/>
        <v>299508</v>
      </c>
      <c r="D1125" s="1152">
        <f t="shared" ref="D1125:D1130" si="264">(C1125-C1124)/C1124</f>
        <v>2.1239161344658159E-2</v>
      </c>
      <c r="E1125" s="564">
        <f>C1125/1433</f>
        <v>209.00767620376831</v>
      </c>
      <c r="F1125" s="424">
        <f t="shared" ref="F1125:F1130" si="265">(E1125-E1124)/E1124</f>
        <v>6.2733397199283307E-3</v>
      </c>
      <c r="G1125" s="565">
        <f t="shared" si="263"/>
        <v>6229000</v>
      </c>
      <c r="H1125" s="424"/>
      <c r="I1125" s="310">
        <v>16821</v>
      </c>
      <c r="J1125" s="568">
        <f t="shared" ref="J1125:J1130" si="266">(I1125-I1124)/I1124</f>
        <v>0.10034669981029633</v>
      </c>
    </row>
    <row r="1126" spans="2:10" ht="11.1" customHeight="1">
      <c r="B1126" s="257">
        <v>37408</v>
      </c>
      <c r="C1126" s="564">
        <f t="shared" si="259"/>
        <v>304845</v>
      </c>
      <c r="D1126" s="1152">
        <f t="shared" si="264"/>
        <v>1.7819223526583598E-2</v>
      </c>
      <c r="E1126" s="564">
        <f>C1126/1453</f>
        <v>209.80385409497592</v>
      </c>
      <c r="F1126" s="424">
        <f t="shared" si="265"/>
        <v>3.8093236845109274E-3</v>
      </c>
      <c r="G1126" s="565">
        <f t="shared" si="263"/>
        <v>5337000</v>
      </c>
      <c r="H1126" s="424"/>
      <c r="I1126" s="310">
        <v>15238</v>
      </c>
      <c r="J1126" s="568">
        <f t="shared" si="266"/>
        <v>-9.4108554782712087E-2</v>
      </c>
    </row>
    <row r="1127" spans="2:10" ht="11.1" customHeight="1">
      <c r="B1127" s="257">
        <v>37438</v>
      </c>
      <c r="C1127" s="564">
        <f t="shared" si="259"/>
        <v>311733</v>
      </c>
      <c r="D1127" s="1152">
        <f t="shared" si="264"/>
        <v>2.2595089307680952E-2</v>
      </c>
      <c r="E1127" s="564">
        <f>C1127/1476</f>
        <v>211.20121951219511</v>
      </c>
      <c r="F1127" s="424">
        <f t="shared" si="265"/>
        <v>6.6603419810706589E-3</v>
      </c>
      <c r="G1127" s="565">
        <f t="shared" si="263"/>
        <v>6888000</v>
      </c>
      <c r="H1127" s="424"/>
      <c r="I1127" s="310">
        <v>17601</v>
      </c>
      <c r="J1127" s="568">
        <f t="shared" si="266"/>
        <v>0.15507284420527628</v>
      </c>
    </row>
    <row r="1128" spans="2:10" ht="11.1" customHeight="1">
      <c r="B1128" s="257">
        <v>37469</v>
      </c>
      <c r="C1128" s="564">
        <f t="shared" si="259"/>
        <v>314978</v>
      </c>
      <c r="D1128" s="1152">
        <f t="shared" si="264"/>
        <v>1.0409549197550468E-2</v>
      </c>
      <c r="E1128" s="564">
        <f>C1128/1498</f>
        <v>210.26568758344459</v>
      </c>
      <c r="F1128" s="424">
        <f t="shared" si="265"/>
        <v>-4.4295763580877515E-3</v>
      </c>
      <c r="G1128" s="565">
        <f t="shared" ref="G1128:G1133" si="267">C1032*1000</f>
        <v>3245000</v>
      </c>
      <c r="H1128" s="424"/>
      <c r="I1128" s="310">
        <v>18033</v>
      </c>
      <c r="J1128" s="568">
        <f t="shared" si="266"/>
        <v>2.4544059996591101E-2</v>
      </c>
    </row>
    <row r="1129" spans="2:10" ht="11.1" customHeight="1">
      <c r="B1129" s="257">
        <v>37500</v>
      </c>
      <c r="C1129" s="564">
        <f t="shared" si="259"/>
        <v>318547</v>
      </c>
      <c r="D1129" s="1152">
        <f t="shared" si="264"/>
        <v>1.133095009810209E-2</v>
      </c>
      <c r="E1129" s="564">
        <f>C1129/1519</f>
        <v>209.70836076366029</v>
      </c>
      <c r="F1129" s="424">
        <f t="shared" si="265"/>
        <v>-2.6505837742219194E-3</v>
      </c>
      <c r="G1129" s="565">
        <f t="shared" si="267"/>
        <v>3569000</v>
      </c>
      <c r="H1129" s="424"/>
      <c r="I1129" s="310">
        <v>16991</v>
      </c>
      <c r="J1129" s="568">
        <f t="shared" si="266"/>
        <v>-5.7782953474186216E-2</v>
      </c>
    </row>
    <row r="1130" spans="2:10" ht="11.1" customHeight="1">
      <c r="B1130" s="257">
        <v>37530</v>
      </c>
      <c r="C1130" s="564">
        <f t="shared" si="259"/>
        <v>329454</v>
      </c>
      <c r="D1130" s="1152">
        <f t="shared" si="264"/>
        <v>3.4239845297554208E-2</v>
      </c>
      <c r="E1130" s="564">
        <f>C1130/1542</f>
        <v>213.65369649805447</v>
      </c>
      <c r="F1130" s="424">
        <f t="shared" si="265"/>
        <v>1.881344034175414E-2</v>
      </c>
      <c r="G1130" s="565">
        <f t="shared" si="267"/>
        <v>10907000</v>
      </c>
      <c r="H1130" s="424"/>
      <c r="I1130" s="310">
        <v>20982</v>
      </c>
      <c r="J1130" s="568">
        <f t="shared" si="266"/>
        <v>0.23488905891354248</v>
      </c>
    </row>
    <row r="1131" spans="2:10" ht="11.1" customHeight="1">
      <c r="B1131" s="257">
        <v>37561</v>
      </c>
      <c r="C1131" s="564">
        <f t="shared" si="259"/>
        <v>334261</v>
      </c>
      <c r="D1131" s="1152">
        <f t="shared" ref="D1131:D1136" si="268">(C1131-C1130)/C1130</f>
        <v>1.4590807821425753E-2</v>
      </c>
      <c r="E1131" s="564">
        <f>C1131/1562</f>
        <v>213.9955185659411</v>
      </c>
      <c r="F1131" s="424">
        <f t="shared" ref="F1131:F1136" si="269">(E1131-E1130)/E1130</f>
        <v>1.5998883870925091E-3</v>
      </c>
      <c r="G1131" s="565">
        <f t="shared" si="267"/>
        <v>4807000</v>
      </c>
      <c r="H1131" s="424"/>
      <c r="I1131" s="310">
        <v>22841</v>
      </c>
      <c r="J1131" s="568">
        <f t="shared" ref="J1131:J1136" si="270">(I1131-I1130)/I1130</f>
        <v>8.8599752168525406E-2</v>
      </c>
    </row>
    <row r="1132" spans="2:10" ht="11.1" customHeight="1">
      <c r="B1132" s="257">
        <v>37591</v>
      </c>
      <c r="C1132" s="564">
        <f t="shared" si="259"/>
        <v>335082</v>
      </c>
      <c r="D1132" s="1152">
        <f t="shared" si="268"/>
        <v>2.4561644942126064E-3</v>
      </c>
      <c r="E1132" s="564">
        <f>C1132/1581</f>
        <v>211.94307400379506</v>
      </c>
      <c r="F1132" s="424">
        <f t="shared" si="269"/>
        <v>-9.5910632890828067E-3</v>
      </c>
      <c r="G1132" s="565">
        <f t="shared" si="267"/>
        <v>821000</v>
      </c>
      <c r="H1132" s="424"/>
      <c r="I1132" s="310">
        <v>21114</v>
      </c>
      <c r="J1132" s="568">
        <f t="shared" si="270"/>
        <v>-7.5609649314828595E-2</v>
      </c>
    </row>
    <row r="1133" spans="2:10" ht="11.1" customHeight="1">
      <c r="B1133" s="257">
        <v>37622</v>
      </c>
      <c r="C1133" s="564">
        <f t="shared" si="259"/>
        <v>342725</v>
      </c>
      <c r="D1133" s="1152">
        <f t="shared" si="268"/>
        <v>2.2809342190866715E-2</v>
      </c>
      <c r="E1133" s="564">
        <f>C1133/1602</f>
        <v>213.93570536828963</v>
      </c>
      <c r="F1133" s="424">
        <f t="shared" si="269"/>
        <v>9.4017290909864347E-3</v>
      </c>
      <c r="G1133" s="565">
        <f t="shared" si="267"/>
        <v>7643000</v>
      </c>
      <c r="H1133" s="424"/>
      <c r="I1133" s="310">
        <v>23501</v>
      </c>
      <c r="J1133" s="568">
        <f t="shared" si="270"/>
        <v>0.11305295064885858</v>
      </c>
    </row>
    <row r="1134" spans="2:10" ht="11.1" customHeight="1">
      <c r="B1134" s="257">
        <v>37653</v>
      </c>
      <c r="C1134" s="564">
        <f t="shared" si="259"/>
        <v>348582</v>
      </c>
      <c r="D1134" s="1152">
        <f t="shared" si="268"/>
        <v>1.7089503246042744E-2</v>
      </c>
      <c r="E1134" s="564">
        <f>C1134/1619</f>
        <v>215.30697961704757</v>
      </c>
      <c r="F1134" s="424">
        <f t="shared" si="269"/>
        <v>6.4097493515507271E-3</v>
      </c>
      <c r="G1134" s="565">
        <f t="shared" ref="G1134:G1139" si="271">C1038*1000</f>
        <v>5857000</v>
      </c>
      <c r="H1134" s="424"/>
      <c r="I1134" s="310">
        <v>24146</v>
      </c>
      <c r="J1134" s="568">
        <f t="shared" si="270"/>
        <v>2.7445640611037828E-2</v>
      </c>
    </row>
    <row r="1135" spans="2:10" ht="11.1" customHeight="1">
      <c r="B1135" s="257">
        <v>37681</v>
      </c>
      <c r="C1135" s="564">
        <f t="shared" si="259"/>
        <v>365135</v>
      </c>
      <c r="D1135" s="1152">
        <f t="shared" si="268"/>
        <v>4.7486674584459321E-2</v>
      </c>
      <c r="E1135" s="564">
        <f>C1135/1639</f>
        <v>222.7791336180598</v>
      </c>
      <c r="F1135" s="424">
        <f t="shared" si="269"/>
        <v>3.4704652929981455E-2</v>
      </c>
      <c r="G1135" s="565">
        <f t="shared" si="271"/>
        <v>16553000</v>
      </c>
      <c r="H1135" s="424"/>
      <c r="I1135" s="310">
        <v>25376</v>
      </c>
      <c r="J1135" s="568">
        <f t="shared" si="270"/>
        <v>5.0940114304646733E-2</v>
      </c>
    </row>
    <row r="1136" spans="2:10" ht="11.1" customHeight="1">
      <c r="B1136" s="257">
        <v>37712</v>
      </c>
      <c r="C1136" s="564">
        <f t="shared" si="259"/>
        <v>375058</v>
      </c>
      <c r="D1136" s="1152">
        <f t="shared" si="268"/>
        <v>2.7176249880181302E-2</v>
      </c>
      <c r="E1136" s="564">
        <f>C1136/1661</f>
        <v>225.80252859723058</v>
      </c>
      <c r="F1136" s="424">
        <f t="shared" si="269"/>
        <v>1.3571266438059618E-2</v>
      </c>
      <c r="G1136" s="565">
        <f t="shared" si="271"/>
        <v>9923000</v>
      </c>
      <c r="H1136" s="424"/>
      <c r="I1136" s="310">
        <v>28923</v>
      </c>
      <c r="J1136" s="568">
        <f t="shared" si="270"/>
        <v>0.13977774274905422</v>
      </c>
    </row>
    <row r="1137" spans="2:10" ht="11.1" customHeight="1">
      <c r="B1137" s="257">
        <v>37742</v>
      </c>
      <c r="C1137" s="564">
        <f t="shared" si="259"/>
        <v>378215</v>
      </c>
      <c r="D1137" s="1152">
        <f t="shared" ref="D1137:D1142" si="272">(C1137-C1136)/C1136</f>
        <v>8.4173647809138857E-3</v>
      </c>
      <c r="E1137" s="564">
        <f>C1137/1680</f>
        <v>225.1279761904762</v>
      </c>
      <c r="F1137" s="424">
        <f t="shared" ref="F1137:F1142" si="273">(E1137-E1136)/E1136</f>
        <v>-2.9873554160130249E-3</v>
      </c>
      <c r="G1137" s="565">
        <f t="shared" si="271"/>
        <v>3157000</v>
      </c>
      <c r="H1137" s="424"/>
      <c r="I1137" s="310">
        <v>28780</v>
      </c>
      <c r="J1137" s="568">
        <f t="shared" ref="J1137:J1142" si="274">(I1137-I1136)/I1136</f>
        <v>-4.9441620855374619E-3</v>
      </c>
    </row>
    <row r="1138" spans="2:10" ht="11.1" customHeight="1">
      <c r="B1138" s="257">
        <v>37773</v>
      </c>
      <c r="C1138" s="564">
        <f t="shared" si="259"/>
        <v>383608</v>
      </c>
      <c r="D1138" s="1152">
        <f t="shared" si="272"/>
        <v>1.4259085440820697E-2</v>
      </c>
      <c r="E1138" s="564">
        <f>C1138/1701</f>
        <v>225.51910640799531</v>
      </c>
      <c r="F1138" s="424">
        <f t="shared" si="273"/>
        <v>1.7373683366130295E-3</v>
      </c>
      <c r="G1138" s="565">
        <f t="shared" si="271"/>
        <v>5393000</v>
      </c>
      <c r="H1138" s="424"/>
      <c r="I1138" s="310">
        <v>15289</v>
      </c>
      <c r="J1138" s="568">
        <f t="shared" si="274"/>
        <v>-0.46876302988186241</v>
      </c>
    </row>
    <row r="1139" spans="2:10" ht="11.1" customHeight="1">
      <c r="B1139" s="257">
        <v>37803</v>
      </c>
      <c r="C1139" s="564">
        <f t="shared" si="259"/>
        <v>407875</v>
      </c>
      <c r="D1139" s="1152">
        <f t="shared" si="272"/>
        <v>6.3259890304686039E-2</v>
      </c>
      <c r="E1139" s="564">
        <f>C1139/1724</f>
        <v>236.58642691415312</v>
      </c>
      <c r="F1139" s="424">
        <f t="shared" si="273"/>
        <v>4.9074868566282348E-2</v>
      </c>
      <c r="G1139" s="565">
        <f t="shared" si="271"/>
        <v>24267000</v>
      </c>
      <c r="H1139" s="424"/>
      <c r="I1139" s="310">
        <v>20023</v>
      </c>
      <c r="J1139" s="568">
        <f t="shared" si="274"/>
        <v>0.30963437765713914</v>
      </c>
    </row>
    <row r="1140" spans="2:10" ht="11.1" customHeight="1">
      <c r="B1140" s="257">
        <v>37834</v>
      </c>
      <c r="C1140" s="564">
        <f t="shared" si="259"/>
        <v>418469</v>
      </c>
      <c r="D1140" s="1152">
        <f t="shared" si="272"/>
        <v>2.5973643885994484E-2</v>
      </c>
      <c r="E1140" s="564">
        <f>C1140/1745</f>
        <v>239.81031518624641</v>
      </c>
      <c r="F1140" s="424">
        <f t="shared" si="273"/>
        <v>1.3626683128627234E-2</v>
      </c>
      <c r="G1140" s="565">
        <f>C1044*1000</f>
        <v>10594000</v>
      </c>
      <c r="H1140" s="424"/>
      <c r="I1140" s="310">
        <v>21645</v>
      </c>
      <c r="J1140" s="568">
        <f t="shared" si="274"/>
        <v>8.1006842131548726E-2</v>
      </c>
    </row>
    <row r="1141" spans="2:10" ht="11.1" customHeight="1">
      <c r="B1141" s="257">
        <v>37865</v>
      </c>
      <c r="C1141" s="564">
        <f t="shared" si="259"/>
        <v>428084</v>
      </c>
      <c r="D1141" s="1152">
        <f t="shared" si="272"/>
        <v>2.2976612365551569E-2</v>
      </c>
      <c r="E1141" s="564">
        <f>C1141/1766</f>
        <v>242.40317100792751</v>
      </c>
      <c r="F1141" s="424">
        <f t="shared" si="273"/>
        <v>1.0812111312507059E-2</v>
      </c>
      <c r="G1141" s="565">
        <f>C1045*1000</f>
        <v>9615000</v>
      </c>
      <c r="H1141" s="424"/>
      <c r="I1141" s="310">
        <v>19166</v>
      </c>
      <c r="J1141" s="568">
        <f t="shared" si="274"/>
        <v>-0.11452991452991453</v>
      </c>
    </row>
    <row r="1142" spans="2:10" ht="11.1" customHeight="1">
      <c r="B1142" s="257">
        <v>37895</v>
      </c>
      <c r="C1142" s="564">
        <f t="shared" si="259"/>
        <v>436461</v>
      </c>
      <c r="D1142" s="1152">
        <f t="shared" si="272"/>
        <v>1.9568589342278619E-2</v>
      </c>
      <c r="E1142" s="564">
        <f>C1142/1788</f>
        <v>244.10570469798657</v>
      </c>
      <c r="F1142" s="424">
        <f t="shared" si="273"/>
        <v>7.0235619566353632E-3</v>
      </c>
      <c r="G1142" s="565">
        <f>C1046*1000</f>
        <v>8377000</v>
      </c>
      <c r="H1142" s="424"/>
      <c r="I1142" s="310">
        <v>18977</v>
      </c>
      <c r="J1142" s="568">
        <f t="shared" si="274"/>
        <v>-9.8612125639152663E-3</v>
      </c>
    </row>
    <row r="1143" spans="2:10" ht="11.1" customHeight="1">
      <c r="B1143" s="257">
        <v>37926</v>
      </c>
      <c r="C1143" s="564">
        <f t="shared" si="259"/>
        <v>445253</v>
      </c>
      <c r="D1143" s="1152">
        <f>(C1143-C1142)/C1142</f>
        <v>2.0143838739314624E-2</v>
      </c>
      <c r="E1143" s="564">
        <f>C1143/1805</f>
        <v>246.6775623268698</v>
      </c>
      <c r="F1143" s="424">
        <f>(E1143-E1142)/E1142</f>
        <v>1.053583582598039E-2</v>
      </c>
      <c r="G1143" s="565">
        <f>C1047*1000</f>
        <v>8792000</v>
      </c>
      <c r="H1143" s="424"/>
      <c r="I1143" s="310">
        <v>20605</v>
      </c>
      <c r="J1143" s="568">
        <f>(I1143-I1142)/I1142</f>
        <v>8.5788059229593719E-2</v>
      </c>
    </row>
    <row r="1144" spans="2:10" ht="11.1" customHeight="1" thickBot="1">
      <c r="B1144" s="262">
        <v>37956</v>
      </c>
      <c r="C1144" s="525">
        <f t="shared" si="259"/>
        <v>454741</v>
      </c>
      <c r="D1144" s="1155">
        <f>(C1144-C1143)/C1143</f>
        <v>2.1309233177541756E-2</v>
      </c>
      <c r="E1144" s="525">
        <f>C1144/1827</f>
        <v>248.90038314176246</v>
      </c>
      <c r="F1144" s="311">
        <f>(E1144-E1143)/E1143</f>
        <v>9.0110377041395465E-3</v>
      </c>
      <c r="G1144" s="526">
        <f>C1048*1000</f>
        <v>9488000</v>
      </c>
      <c r="H1144" s="311"/>
      <c r="I1144" s="315">
        <v>18977</v>
      </c>
      <c r="J1144" s="316">
        <f>(I1144-I1143)/I1143</f>
        <v>-7.900994904149479E-2</v>
      </c>
    </row>
    <row r="1145" spans="2:10" ht="11.1" customHeight="1"/>
    <row r="1146" spans="2:10" ht="13.5" customHeight="1" thickBot="1">
      <c r="B1146" s="47" t="s">
        <v>241</v>
      </c>
    </row>
    <row r="1147" spans="2:10" ht="9" customHeight="1">
      <c r="B1147" s="203"/>
      <c r="C1147" s="204" t="s">
        <v>287</v>
      </c>
      <c r="D1147" s="1139"/>
      <c r="E1147" s="205"/>
      <c r="F1147" s="205"/>
      <c r="G1147" s="205"/>
      <c r="H1147" s="205"/>
      <c r="I1147" s="205"/>
      <c r="J1147" s="206"/>
    </row>
    <row r="1148" spans="2:10" ht="9" customHeight="1">
      <c r="B1148" s="207" t="s">
        <v>54</v>
      </c>
      <c r="C1148" s="208" t="s">
        <v>55</v>
      </c>
      <c r="D1148" s="1140"/>
      <c r="E1148" s="210" t="s">
        <v>56</v>
      </c>
      <c r="F1148" s="211"/>
      <c r="G1148" s="209" t="s">
        <v>57</v>
      </c>
      <c r="H1148" s="212"/>
      <c r="I1148" s="213" t="s">
        <v>58</v>
      </c>
      <c r="J1148" s="214"/>
    </row>
    <row r="1149" spans="2:10" ht="9" customHeight="1">
      <c r="B1149" s="207"/>
      <c r="C1149" s="215"/>
      <c r="D1149" s="1140"/>
      <c r="E1149" s="216" t="s">
        <v>59</v>
      </c>
      <c r="F1149" s="217"/>
      <c r="G1149" s="218"/>
      <c r="H1149" s="209"/>
      <c r="I1149" s="216" t="s">
        <v>60</v>
      </c>
      <c r="J1149" s="219"/>
    </row>
    <row r="1150" spans="2:10" ht="9" customHeight="1" thickBot="1">
      <c r="B1150" s="220" t="s">
        <v>61</v>
      </c>
      <c r="C1150" s="109" t="s">
        <v>62</v>
      </c>
      <c r="D1150" s="1141" t="s">
        <v>63</v>
      </c>
      <c r="E1150" s="109" t="s">
        <v>62</v>
      </c>
      <c r="F1150" s="221" t="s">
        <v>63</v>
      </c>
      <c r="G1150" s="109" t="s">
        <v>62</v>
      </c>
      <c r="H1150" s="221" t="s">
        <v>63</v>
      </c>
      <c r="I1150" s="109" t="s">
        <v>62</v>
      </c>
      <c r="J1150" s="222" t="s">
        <v>63</v>
      </c>
    </row>
    <row r="1151" spans="2:10" ht="9" customHeight="1">
      <c r="B1151" s="878">
        <v>37316</v>
      </c>
      <c r="C1151" s="879">
        <v>686</v>
      </c>
      <c r="D1151" s="1168" t="s">
        <v>31</v>
      </c>
      <c r="E1151" s="881">
        <f>C1151/1</f>
        <v>686</v>
      </c>
      <c r="F1151" s="880" t="s">
        <v>31</v>
      </c>
      <c r="G1151" s="882">
        <f>SUM(C1151:C1151)</f>
        <v>686</v>
      </c>
      <c r="H1151" s="880" t="s">
        <v>31</v>
      </c>
      <c r="I1151" s="883">
        <f>G1151/1</f>
        <v>686</v>
      </c>
      <c r="J1151" s="884" t="s">
        <v>31</v>
      </c>
    </row>
    <row r="1152" spans="2:10" ht="9" customHeight="1">
      <c r="B1152" s="563">
        <v>37347</v>
      </c>
      <c r="C1152" s="894">
        <v>8146</v>
      </c>
      <c r="D1152" s="1144">
        <f t="shared" ref="D1152:D1157" si="275">(C1152-C1151)/C1151</f>
        <v>10.874635568513119</v>
      </c>
      <c r="E1152" s="584">
        <f>C1152/21</f>
        <v>387.90476190476193</v>
      </c>
      <c r="F1152" s="259">
        <f t="shared" ref="F1152:F1157" si="276">(E1152-E1151)/E1151</f>
        <v>-0.43454116340413712</v>
      </c>
      <c r="G1152" s="681">
        <f>SUM(C1151:C1152)</f>
        <v>8832</v>
      </c>
      <c r="H1152" s="259">
        <f t="shared" ref="H1152:H1157" si="277">(G1152-G1151)/G1151</f>
        <v>11.874635568513119</v>
      </c>
      <c r="I1152" s="895">
        <f>G1152/22</f>
        <v>401.45454545454544</v>
      </c>
      <c r="J1152" s="521">
        <f t="shared" ref="J1152:J1157" si="278">(I1152-I1151)/I1151</f>
        <v>-0.41478929234031275</v>
      </c>
    </row>
    <row r="1153" spans="2:10" ht="9" customHeight="1">
      <c r="B1153" s="563">
        <v>37377</v>
      </c>
      <c r="C1153" s="894">
        <v>7495</v>
      </c>
      <c r="D1153" s="1144">
        <f t="shared" si="275"/>
        <v>-7.991652344709059E-2</v>
      </c>
      <c r="E1153" s="584">
        <f>C1153/21</f>
        <v>356.90476190476193</v>
      </c>
      <c r="F1153" s="259">
        <f t="shared" si="276"/>
        <v>-7.991652344709059E-2</v>
      </c>
      <c r="G1153" s="681">
        <f>SUM(C1151:C1153)</f>
        <v>16327</v>
      </c>
      <c r="H1153" s="259">
        <f t="shared" si="277"/>
        <v>0.8486186594202898</v>
      </c>
      <c r="I1153" s="895">
        <f>G1153/43</f>
        <v>379.69767441860466</v>
      </c>
      <c r="J1153" s="521">
        <f t="shared" si="278"/>
        <v>-5.4195104482642337E-2</v>
      </c>
    </row>
    <row r="1154" spans="2:10" ht="9" customHeight="1">
      <c r="B1154" s="563">
        <v>37408</v>
      </c>
      <c r="C1154" s="894">
        <v>5754</v>
      </c>
      <c r="D1154" s="1144">
        <f t="shared" si="275"/>
        <v>-0.23228819212808538</v>
      </c>
      <c r="E1154" s="584">
        <f>C1154/20</f>
        <v>287.7</v>
      </c>
      <c r="F1154" s="259">
        <f t="shared" si="276"/>
        <v>-0.19390260173448973</v>
      </c>
      <c r="G1154" s="681">
        <f>SUM(C1151:C1154)</f>
        <v>22081</v>
      </c>
      <c r="H1154" s="259">
        <f t="shared" si="277"/>
        <v>0.3524223678569241</v>
      </c>
      <c r="I1154" s="895">
        <f>G1154/63</f>
        <v>350.49206349206349</v>
      </c>
      <c r="J1154" s="521">
        <f t="shared" si="278"/>
        <v>-7.6918066383369274E-2</v>
      </c>
    </row>
    <row r="1155" spans="2:10" ht="9" customHeight="1">
      <c r="B1155" s="563">
        <v>37438</v>
      </c>
      <c r="C1155" s="894">
        <v>7305</v>
      </c>
      <c r="D1155" s="1144">
        <f t="shared" si="275"/>
        <v>0.26955161626694474</v>
      </c>
      <c r="E1155" s="584">
        <f>C1155/23</f>
        <v>317.60869565217394</v>
      </c>
      <c r="F1155" s="259">
        <f t="shared" si="276"/>
        <v>0.10395792718864771</v>
      </c>
      <c r="G1155" s="681">
        <f>SUM(C1151:C1155)</f>
        <v>29386</v>
      </c>
      <c r="H1155" s="259">
        <f t="shared" si="277"/>
        <v>0.33082740817897738</v>
      </c>
      <c r="I1155" s="895">
        <f>G1155/86</f>
        <v>341.69767441860466</v>
      </c>
      <c r="J1155" s="521">
        <f t="shared" si="278"/>
        <v>-2.5091549822376991E-2</v>
      </c>
    </row>
    <row r="1156" spans="2:10" ht="9" customHeight="1">
      <c r="B1156" s="563">
        <v>37469</v>
      </c>
      <c r="C1156" s="894">
        <v>10378</v>
      </c>
      <c r="D1156" s="1144">
        <f t="shared" si="275"/>
        <v>0.42067077344284737</v>
      </c>
      <c r="E1156" s="584">
        <f>C1156/22</f>
        <v>471.72727272727275</v>
      </c>
      <c r="F1156" s="259">
        <f t="shared" si="276"/>
        <v>0.48524671769024946</v>
      </c>
      <c r="G1156" s="681">
        <f>SUM(C1151:C1156)</f>
        <v>39764</v>
      </c>
      <c r="H1156" s="259">
        <f t="shared" si="277"/>
        <v>0.353161369359559</v>
      </c>
      <c r="I1156" s="895">
        <f>G1156/108</f>
        <v>368.18518518518516</v>
      </c>
      <c r="J1156" s="521">
        <f t="shared" si="278"/>
        <v>7.7517386712241301E-2</v>
      </c>
    </row>
    <row r="1157" spans="2:10" ht="9" customHeight="1">
      <c r="B1157" s="563">
        <v>37500</v>
      </c>
      <c r="C1157" s="894">
        <v>10591</v>
      </c>
      <c r="D1157" s="1144">
        <f t="shared" si="275"/>
        <v>2.0524185777606476E-2</v>
      </c>
      <c r="E1157" s="584">
        <f>C1157/21</f>
        <v>504.33333333333331</v>
      </c>
      <c r="F1157" s="259">
        <f t="shared" si="276"/>
        <v>6.9120575576540028E-2</v>
      </c>
      <c r="G1157" s="681">
        <f>SUM(C$1151:C1157)</f>
        <v>50355</v>
      </c>
      <c r="H1157" s="259">
        <f t="shared" si="277"/>
        <v>0.2663464440197163</v>
      </c>
      <c r="I1157" s="895">
        <f>G1157/129</f>
        <v>390.3488372093023</v>
      </c>
      <c r="J1157" s="521">
        <f t="shared" si="278"/>
        <v>6.0197022900227624E-2</v>
      </c>
    </row>
    <row r="1158" spans="2:10" ht="9" customHeight="1">
      <c r="B1158" s="563">
        <v>37530</v>
      </c>
      <c r="C1158" s="894">
        <v>13636</v>
      </c>
      <c r="D1158" s="1144">
        <f t="shared" ref="D1158:D1163" si="279">(C1158-C1157)/C1157</f>
        <v>0.28750826173165894</v>
      </c>
      <c r="E1158" s="584">
        <f>C1158/23</f>
        <v>592.86956521739125</v>
      </c>
      <c r="F1158" s="259">
        <f t="shared" ref="F1158:F1163" si="280">(E1158-E1157)/E1157</f>
        <v>0.17555102158107985</v>
      </c>
      <c r="G1158" s="681">
        <f>SUM(C$1151:C1158)</f>
        <v>63991</v>
      </c>
      <c r="H1158" s="259">
        <f>(G1158-G1157)/G1157</f>
        <v>0.27079733889385366</v>
      </c>
      <c r="I1158" s="895">
        <f>G1158/152</f>
        <v>420.99342105263156</v>
      </c>
      <c r="J1158" s="521">
        <f>(I1158-I1157)/I1157</f>
        <v>7.8505636298073167E-2</v>
      </c>
    </row>
    <row r="1159" spans="2:10" ht="9" customHeight="1">
      <c r="B1159" s="563">
        <v>37561</v>
      </c>
      <c r="C1159" s="894">
        <v>8594</v>
      </c>
      <c r="D1159" s="1144">
        <f t="shared" si="279"/>
        <v>-0.36975652684071575</v>
      </c>
      <c r="E1159" s="584">
        <f>C1159/20</f>
        <v>429.7</v>
      </c>
      <c r="F1159" s="259">
        <f t="shared" si="280"/>
        <v>-0.27522000586682305</v>
      </c>
      <c r="G1159" s="681">
        <f>SUM(C$1151:C1159)</f>
        <v>72585</v>
      </c>
      <c r="H1159" s="259">
        <f>(G1159-G1158)/G1158</f>
        <v>0.13430013595661891</v>
      </c>
      <c r="I1159" s="895">
        <f>G1159/172</f>
        <v>422.00581395348837</v>
      </c>
      <c r="J1159" s="521">
        <f>(I1159-I1158)/I1158</f>
        <v>2.4047713105004626E-3</v>
      </c>
    </row>
    <row r="1160" spans="2:10" ht="9" customHeight="1">
      <c r="B1160" s="563">
        <v>37591</v>
      </c>
      <c r="C1160" s="894">
        <v>7834</v>
      </c>
      <c r="D1160" s="1144">
        <f t="shared" si="279"/>
        <v>-8.8433791016988603E-2</v>
      </c>
      <c r="E1160" s="584">
        <f>C1160/19</f>
        <v>412.31578947368422</v>
      </c>
      <c r="F1160" s="259">
        <f t="shared" si="280"/>
        <v>-4.0456622123145845E-2</v>
      </c>
      <c r="G1160" s="681">
        <f>SUM(C$1151:C1160)</f>
        <v>80419</v>
      </c>
      <c r="H1160" s="259">
        <f>(G1160-G1159)/G1159</f>
        <v>0.10792863539298753</v>
      </c>
      <c r="I1160" s="895">
        <f>G1160/191</f>
        <v>421.04188481675391</v>
      </c>
      <c r="J1160" s="521">
        <f>(I1160-I1159)/I1159</f>
        <v>-2.2841607979379734E-3</v>
      </c>
    </row>
    <row r="1161" spans="2:10" ht="9" customHeight="1">
      <c r="B1161" s="563">
        <v>37622</v>
      </c>
      <c r="C1161" s="894">
        <v>14181</v>
      </c>
      <c r="D1161" s="1144">
        <f t="shared" si="279"/>
        <v>0.8101863671176921</v>
      </c>
      <c r="E1161" s="584">
        <f>C1161/21</f>
        <v>675.28571428571433</v>
      </c>
      <c r="F1161" s="259">
        <f t="shared" si="280"/>
        <v>0.63778766548743582</v>
      </c>
      <c r="G1161" s="681">
        <f>SUM(C$1161:C1161)</f>
        <v>14181</v>
      </c>
      <c r="H1161" s="675" t="s">
        <v>31</v>
      </c>
      <c r="I1161" s="895">
        <f>G1161/21</f>
        <v>675.28571428571433</v>
      </c>
      <c r="J1161" s="521" t="s">
        <v>31</v>
      </c>
    </row>
    <row r="1162" spans="2:10" ht="9" customHeight="1">
      <c r="B1162" s="563">
        <v>37653</v>
      </c>
      <c r="C1162" s="894">
        <v>11887</v>
      </c>
      <c r="D1162" s="1144">
        <f t="shared" si="279"/>
        <v>-0.16176574289542345</v>
      </c>
      <c r="E1162" s="584">
        <f>C1162/17</f>
        <v>699.23529411764707</v>
      </c>
      <c r="F1162" s="259">
        <f t="shared" si="280"/>
        <v>3.5465847011535677E-2</v>
      </c>
      <c r="G1162" s="681">
        <f>SUM(C$1161:C1162)</f>
        <v>26068</v>
      </c>
      <c r="H1162" s="259">
        <f t="shared" ref="H1162:H1167" si="281">(G1162-G1161)/G1161</f>
        <v>0.83823425710457655</v>
      </c>
      <c r="I1162" s="895">
        <f>G1162/38</f>
        <v>686</v>
      </c>
      <c r="J1162" s="521">
        <f t="shared" ref="J1162:J1167" si="282">(I1162-I1161)/I1161</f>
        <v>1.586629997884486E-2</v>
      </c>
    </row>
    <row r="1163" spans="2:10" ht="9" customHeight="1">
      <c r="B1163" s="563">
        <v>37681</v>
      </c>
      <c r="C1163" s="894">
        <v>12523</v>
      </c>
      <c r="D1163" s="1144">
        <f t="shared" si="279"/>
        <v>5.3503827710944731E-2</v>
      </c>
      <c r="E1163" s="584">
        <f>C1163/20</f>
        <v>626.15</v>
      </c>
      <c r="F1163" s="259">
        <f t="shared" si="280"/>
        <v>-0.10452174644569703</v>
      </c>
      <c r="G1163" s="681">
        <f>SUM(C$1161:C1163)</f>
        <v>38591</v>
      </c>
      <c r="H1163" s="259">
        <f t="shared" si="281"/>
        <v>0.48039742212674541</v>
      </c>
      <c r="I1163" s="895">
        <f>G1163/58</f>
        <v>665.36206896551721</v>
      </c>
      <c r="J1163" s="521">
        <f t="shared" si="282"/>
        <v>-3.0084447572132345E-2</v>
      </c>
    </row>
    <row r="1164" spans="2:10" ht="9" customHeight="1">
      <c r="B1164" s="563">
        <v>37712</v>
      </c>
      <c r="C1164" s="894">
        <v>14937</v>
      </c>
      <c r="D1164" s="1144">
        <f t="shared" ref="D1164:D1169" si="283">(C1164-C1163)/C1163</f>
        <v>0.19276531182623971</v>
      </c>
      <c r="E1164" s="584">
        <f>C1164/22</f>
        <v>678.9545454545455</v>
      </c>
      <c r="F1164" s="259">
        <f t="shared" ref="F1164:F1169" si="284">(E1164-E1163)/E1163</f>
        <v>8.4332101660218026E-2</v>
      </c>
      <c r="G1164" s="681">
        <f>SUM(C$1161:C1164)</f>
        <v>53528</v>
      </c>
      <c r="H1164" s="259">
        <f t="shared" si="281"/>
        <v>0.38705915887123943</v>
      </c>
      <c r="I1164" s="895">
        <f>G1164/80</f>
        <v>669.1</v>
      </c>
      <c r="J1164" s="521">
        <f t="shared" si="282"/>
        <v>5.6178901816486522E-3</v>
      </c>
    </row>
    <row r="1165" spans="2:10" ht="9" customHeight="1">
      <c r="B1165" s="563">
        <v>37742</v>
      </c>
      <c r="C1165" s="894">
        <v>10211</v>
      </c>
      <c r="D1165" s="1144">
        <f t="shared" si="283"/>
        <v>-0.31639552788377856</v>
      </c>
      <c r="E1165" s="584">
        <f>C1165/19</f>
        <v>537.42105263157896</v>
      </c>
      <c r="F1165" s="259">
        <f t="shared" si="284"/>
        <v>-0.20845797965490148</v>
      </c>
      <c r="G1165" s="681">
        <f>SUM(C$1161:C1165)</f>
        <v>63739</v>
      </c>
      <c r="H1165" s="259">
        <f t="shared" si="281"/>
        <v>0.19075997608728143</v>
      </c>
      <c r="I1165" s="895">
        <f>G1165/99</f>
        <v>643.82828282828279</v>
      </c>
      <c r="J1165" s="521">
        <f t="shared" si="282"/>
        <v>-3.7769716293106007E-2</v>
      </c>
    </row>
    <row r="1166" spans="2:10" ht="9" customHeight="1">
      <c r="B1166" s="563">
        <v>37773</v>
      </c>
      <c r="C1166" s="894">
        <v>13990</v>
      </c>
      <c r="D1166" s="1144">
        <f t="shared" si="283"/>
        <v>0.37009107824894721</v>
      </c>
      <c r="E1166" s="584">
        <f>C1166/21</f>
        <v>666.19047619047615</v>
      </c>
      <c r="F1166" s="259">
        <f t="shared" si="284"/>
        <v>0.23960621365380927</v>
      </c>
      <c r="G1166" s="681">
        <f>SUM(C$1161:C1166)</f>
        <v>77729</v>
      </c>
      <c r="H1166" s="259">
        <f t="shared" si="281"/>
        <v>0.21948885297855317</v>
      </c>
      <c r="I1166" s="895">
        <f>G1166/120</f>
        <v>647.74166666666667</v>
      </c>
      <c r="J1166" s="521">
        <f t="shared" si="282"/>
        <v>6.0783037073064228E-3</v>
      </c>
    </row>
    <row r="1167" spans="2:10" ht="9" customHeight="1">
      <c r="B1167" s="563">
        <v>37803</v>
      </c>
      <c r="C1167" s="894">
        <v>21735</v>
      </c>
      <c r="D1167" s="1144">
        <f t="shared" si="283"/>
        <v>0.55360972122944963</v>
      </c>
      <c r="E1167" s="584">
        <f>C1167/23</f>
        <v>945</v>
      </c>
      <c r="F1167" s="259">
        <f t="shared" si="284"/>
        <v>0.41851322373123667</v>
      </c>
      <c r="G1167" s="681">
        <f>SUM(C$1161:C1167)</f>
        <v>99464</v>
      </c>
      <c r="H1167" s="259">
        <f t="shared" si="281"/>
        <v>0.27962536505036728</v>
      </c>
      <c r="I1167" s="895">
        <f>G1167/143</f>
        <v>695.55244755244757</v>
      </c>
      <c r="J1167" s="521">
        <f t="shared" si="282"/>
        <v>7.3811495147161399E-2</v>
      </c>
    </row>
    <row r="1168" spans="2:10" ht="9" customHeight="1">
      <c r="B1168" s="563">
        <v>37834</v>
      </c>
      <c r="C1168" s="894">
        <v>6950</v>
      </c>
      <c r="D1168" s="1144">
        <f t="shared" si="283"/>
        <v>-0.68023924545663672</v>
      </c>
      <c r="E1168" s="584">
        <f>C1168/21</f>
        <v>330.95238095238096</v>
      </c>
      <c r="F1168" s="259">
        <f t="shared" si="284"/>
        <v>-0.64978584026203068</v>
      </c>
      <c r="G1168" s="681">
        <f>SUM(C$1161:C1168)</f>
        <v>106414</v>
      </c>
      <c r="H1168" s="259">
        <f>(G1168-G1167)/G1167</f>
        <v>6.9874527467224321E-2</v>
      </c>
      <c r="I1168" s="895">
        <f>G1168/164</f>
        <v>648.86585365853659</v>
      </c>
      <c r="J1168" s="521">
        <f>(I1168-I1167)/I1167</f>
        <v>-6.7121601049920279E-2</v>
      </c>
    </row>
    <row r="1169" spans="2:10" ht="9" customHeight="1">
      <c r="B1169" s="563">
        <v>37865</v>
      </c>
      <c r="C1169" s="894">
        <v>5027</v>
      </c>
      <c r="D1169" s="1144">
        <f t="shared" si="283"/>
        <v>-0.27669064748201438</v>
      </c>
      <c r="E1169" s="584">
        <f>C1169/21</f>
        <v>239.38095238095238</v>
      </c>
      <c r="F1169" s="259">
        <f t="shared" si="284"/>
        <v>-0.27669064748201444</v>
      </c>
      <c r="G1169" s="681">
        <f>SUM(C$1161:C1169)</f>
        <v>111441</v>
      </c>
      <c r="H1169" s="259">
        <f>(G1169-G1168)/G1168</f>
        <v>4.7240024808765761E-2</v>
      </c>
      <c r="I1169" s="895">
        <f>G1169/185</f>
        <v>602.38378378378377</v>
      </c>
      <c r="J1169" s="521">
        <f>(I1169-I1168)/I1168</f>
        <v>-7.1635869899256327E-2</v>
      </c>
    </row>
    <row r="1170" spans="2:10" ht="9" customHeight="1">
      <c r="B1170" s="563">
        <v>37895</v>
      </c>
      <c r="C1170" s="894">
        <v>5944</v>
      </c>
      <c r="D1170" s="1144">
        <f>(C1170-C1169)/C1169</f>
        <v>0.18241495922021086</v>
      </c>
      <c r="E1170" s="584">
        <f>C1170/22</f>
        <v>270.18181818181819</v>
      </c>
      <c r="F1170" s="259">
        <f>(E1170-E1169)/E1169</f>
        <v>0.1286688247102013</v>
      </c>
      <c r="G1170" s="681">
        <f>SUM(C$1161:C1170)</f>
        <v>117385</v>
      </c>
      <c r="H1170" s="259">
        <f>(G1170-G1169)/G1169</f>
        <v>5.3337640545221235E-2</v>
      </c>
      <c r="I1170" s="895">
        <f>G1170/207</f>
        <v>567.0772946859903</v>
      </c>
      <c r="J1170" s="521">
        <f>(I1170-I1169)/I1169</f>
        <v>-5.8611287435430343E-2</v>
      </c>
    </row>
    <row r="1171" spans="2:10" ht="9" customHeight="1">
      <c r="B1171" s="563">
        <v>37926</v>
      </c>
      <c r="C1171" s="894">
        <v>1198</v>
      </c>
      <c r="D1171" s="1144">
        <f>(C1171-C1170)/C1170</f>
        <v>-0.79845222072678335</v>
      </c>
      <c r="E1171" s="584">
        <f>C1171/17</f>
        <v>70.470588235294116</v>
      </c>
      <c r="F1171" s="259">
        <f>(E1171-E1170)/E1170</f>
        <v>-0.73917346211701374</v>
      </c>
      <c r="G1171" s="681">
        <f>SUM(C$1161:C1171)</f>
        <v>118583</v>
      </c>
      <c r="H1171" s="259">
        <f>(G1171-G1170)/G1170</f>
        <v>1.0205733270860842E-2</v>
      </c>
      <c r="I1171" s="895">
        <f>G1171/224</f>
        <v>529.38839285714289</v>
      </c>
      <c r="J1171" s="521">
        <f>(I1171-I1170)/I1170</f>
        <v>-6.6461666129159713E-2</v>
      </c>
    </row>
    <row r="1172" spans="2:10" ht="9" customHeight="1" thickBot="1">
      <c r="B1172" s="885">
        <v>37956</v>
      </c>
      <c r="C1172" s="886">
        <v>52</v>
      </c>
      <c r="D1172" s="1146">
        <f>(C1172-C1171)/C1171</f>
        <v>-0.95659432387312182</v>
      </c>
      <c r="E1172" s="554">
        <f>C1172/22</f>
        <v>2.3636363636363638</v>
      </c>
      <c r="F1172" s="264">
        <f>(E1172-E1171)/E1171</f>
        <v>-0.96645925026559421</v>
      </c>
      <c r="G1172" s="887">
        <f>SUM(C$1161:C1172)</f>
        <v>118635</v>
      </c>
      <c r="H1172" s="264">
        <f>(G1172-G1171)/G1171</f>
        <v>4.3851142237926176E-4</v>
      </c>
      <c r="I1172" s="888">
        <f>G1172/246</f>
        <v>482.2560975609756</v>
      </c>
      <c r="J1172" s="268">
        <f>(I1172-I1171)/I1171</f>
        <v>-8.9031599355231958E-2</v>
      </c>
    </row>
    <row r="1173" spans="2:10" ht="11.1" customHeight="1" thickBot="1"/>
    <row r="1174" spans="2:10" ht="9" customHeight="1">
      <c r="B1174" s="412"/>
      <c r="C1174" s="413" t="s">
        <v>66</v>
      </c>
      <c r="D1174" s="1160"/>
      <c r="E1174" s="413" t="s">
        <v>67</v>
      </c>
      <c r="F1174" s="414"/>
      <c r="G1174" s="415"/>
      <c r="H1174" s="414"/>
      <c r="I1174" s="416" t="s">
        <v>76</v>
      </c>
      <c r="J1174" s="417"/>
    </row>
    <row r="1175" spans="2:10" ht="9" customHeight="1">
      <c r="B1175" s="418" t="s">
        <v>54</v>
      </c>
      <c r="C1175" s="419" t="s">
        <v>70</v>
      </c>
      <c r="D1175" s="1161"/>
      <c r="E1175" s="216" t="s">
        <v>71</v>
      </c>
      <c r="F1175" s="420"/>
      <c r="G1175" s="421" t="s">
        <v>77</v>
      </c>
      <c r="H1175" s="420"/>
      <c r="I1175" s="422" t="s">
        <v>78</v>
      </c>
      <c r="J1175" s="423"/>
    </row>
    <row r="1176" spans="2:10" ht="9" customHeight="1" thickBot="1">
      <c r="B1176" s="869" t="s">
        <v>61</v>
      </c>
      <c r="C1176" s="530" t="s">
        <v>62</v>
      </c>
      <c r="D1176" s="1141" t="s">
        <v>63</v>
      </c>
      <c r="E1176" s="530" t="s">
        <v>62</v>
      </c>
      <c r="F1176" s="221" t="s">
        <v>63</v>
      </c>
      <c r="G1176" s="544" t="s">
        <v>152</v>
      </c>
      <c r="H1176" s="543"/>
      <c r="I1176" s="533"/>
      <c r="J1176" s="222" t="s">
        <v>63</v>
      </c>
    </row>
    <row r="1177" spans="2:10" ht="9" customHeight="1">
      <c r="B1177" s="878">
        <f t="shared" ref="B1177:B1198" si="285">B1151</f>
        <v>37316</v>
      </c>
      <c r="C1177" s="564">
        <v>686</v>
      </c>
      <c r="D1177" s="1152" t="s">
        <v>31</v>
      </c>
      <c r="E1177" s="564">
        <f>C1177/1</f>
        <v>686</v>
      </c>
      <c r="F1177" s="424" t="s">
        <v>31</v>
      </c>
      <c r="G1177" s="889">
        <v>68600</v>
      </c>
      <c r="H1177" s="890"/>
      <c r="I1177" s="567">
        <v>436</v>
      </c>
      <c r="J1177" s="568" t="s">
        <v>31</v>
      </c>
    </row>
    <row r="1178" spans="2:10" ht="9" customHeight="1">
      <c r="B1178" s="563">
        <f t="shared" si="285"/>
        <v>37347</v>
      </c>
      <c r="C1178" s="564">
        <f>SUM(C1151:C1152)</f>
        <v>8832</v>
      </c>
      <c r="D1178" s="1152">
        <f t="shared" ref="D1178:D1183" si="286">(C1178-C1177)/C1177</f>
        <v>11.874635568513119</v>
      </c>
      <c r="E1178" s="564">
        <f>C1178/22</f>
        <v>401.45454545454544</v>
      </c>
      <c r="F1178" s="424">
        <f t="shared" ref="F1178:F1183" si="287">(E1178-E1177)/E1177</f>
        <v>-0.41478929234031275</v>
      </c>
      <c r="G1178" s="896">
        <f t="shared" ref="G1178:G1183" si="288">C1152*100</f>
        <v>814600</v>
      </c>
      <c r="H1178" s="890"/>
      <c r="I1178" s="567">
        <v>2193</v>
      </c>
      <c r="J1178" s="568">
        <f t="shared" ref="J1178:J1183" si="289">(I1178-I1177)/I1177</f>
        <v>4.0298165137614683</v>
      </c>
    </row>
    <row r="1179" spans="2:10" ht="11.1" customHeight="1">
      <c r="B1179" s="563">
        <f t="shared" si="285"/>
        <v>37377</v>
      </c>
      <c r="C1179" s="564">
        <f>SUM(C1151:C1153)</f>
        <v>16327</v>
      </c>
      <c r="D1179" s="1152">
        <f t="shared" si="286"/>
        <v>0.8486186594202898</v>
      </c>
      <c r="E1179" s="564">
        <f>C1179/43</f>
        <v>379.69767441860466</v>
      </c>
      <c r="F1179" s="424">
        <f t="shared" si="287"/>
        <v>-5.4195104482642337E-2</v>
      </c>
      <c r="G1179" s="896">
        <f t="shared" si="288"/>
        <v>749500</v>
      </c>
      <c r="H1179" s="890"/>
      <c r="I1179" s="567">
        <v>2331</v>
      </c>
      <c r="J1179" s="568">
        <f t="shared" si="289"/>
        <v>6.2927496580027359E-2</v>
      </c>
    </row>
    <row r="1180" spans="2:10" ht="11.1" customHeight="1">
      <c r="B1180" s="563">
        <f t="shared" si="285"/>
        <v>37408</v>
      </c>
      <c r="C1180" s="564">
        <f>SUM(C$1151:C1154)</f>
        <v>22081</v>
      </c>
      <c r="D1180" s="1152">
        <f t="shared" si="286"/>
        <v>0.3524223678569241</v>
      </c>
      <c r="E1180" s="564">
        <f>C1180/63</f>
        <v>350.49206349206349</v>
      </c>
      <c r="F1180" s="424">
        <f t="shared" si="287"/>
        <v>-7.6918066383369274E-2</v>
      </c>
      <c r="G1180" s="896">
        <f t="shared" si="288"/>
        <v>575400</v>
      </c>
      <c r="H1180" s="890"/>
      <c r="I1180" s="567">
        <v>1589</v>
      </c>
      <c r="J1180" s="568">
        <f t="shared" si="289"/>
        <v>-0.31831831831831831</v>
      </c>
    </row>
    <row r="1181" spans="2:10" ht="11.1" customHeight="1">
      <c r="B1181" s="563">
        <f t="shared" si="285"/>
        <v>37438</v>
      </c>
      <c r="C1181" s="564">
        <f>SUM(C$1151:C1155)</f>
        <v>29386</v>
      </c>
      <c r="D1181" s="1152">
        <f t="shared" si="286"/>
        <v>0.33082740817897738</v>
      </c>
      <c r="E1181" s="564">
        <f>C1181/86</f>
        <v>341.69767441860466</v>
      </c>
      <c r="F1181" s="424">
        <f t="shared" si="287"/>
        <v>-2.5091549822376991E-2</v>
      </c>
      <c r="G1181" s="896">
        <f t="shared" si="288"/>
        <v>730500</v>
      </c>
      <c r="H1181" s="890"/>
      <c r="I1181" s="567">
        <v>3998</v>
      </c>
      <c r="J1181" s="568">
        <f t="shared" si="289"/>
        <v>1.5160478288231591</v>
      </c>
    </row>
    <row r="1182" spans="2:10" ht="11.1" customHeight="1">
      <c r="B1182" s="563">
        <f t="shared" si="285"/>
        <v>37469</v>
      </c>
      <c r="C1182" s="564">
        <f>SUM(C$1151:C1156)</f>
        <v>39764</v>
      </c>
      <c r="D1182" s="1152">
        <f t="shared" si="286"/>
        <v>0.353161369359559</v>
      </c>
      <c r="E1182" s="564">
        <f>C1182/108</f>
        <v>368.18518518518516</v>
      </c>
      <c r="F1182" s="424">
        <f t="shared" si="287"/>
        <v>7.7517386712241301E-2</v>
      </c>
      <c r="G1182" s="896">
        <f t="shared" si="288"/>
        <v>1037800</v>
      </c>
      <c r="H1182" s="890"/>
      <c r="I1182" s="567">
        <v>6196</v>
      </c>
      <c r="J1182" s="568">
        <f t="shared" si="289"/>
        <v>0.54977488744372183</v>
      </c>
    </row>
    <row r="1183" spans="2:10" ht="11.1" customHeight="1">
      <c r="B1183" s="563">
        <f t="shared" si="285"/>
        <v>37500</v>
      </c>
      <c r="C1183" s="564">
        <f>SUM(C$1151:C1157)</f>
        <v>50355</v>
      </c>
      <c r="D1183" s="1152">
        <f t="shared" si="286"/>
        <v>0.2663464440197163</v>
      </c>
      <c r="E1183" s="564">
        <f>C1183/129</f>
        <v>390.3488372093023</v>
      </c>
      <c r="F1183" s="424">
        <f t="shared" si="287"/>
        <v>6.0197022900227624E-2</v>
      </c>
      <c r="G1183" s="896">
        <f t="shared" si="288"/>
        <v>1059100</v>
      </c>
      <c r="H1183" s="890"/>
      <c r="I1183" s="567">
        <v>6107</v>
      </c>
      <c r="J1183" s="568">
        <f t="shared" si="289"/>
        <v>-1.4364105874757909E-2</v>
      </c>
    </row>
    <row r="1184" spans="2:10" ht="11.1" customHeight="1">
      <c r="B1184" s="563">
        <f t="shared" si="285"/>
        <v>37530</v>
      </c>
      <c r="C1184" s="564">
        <f>SUM(C$1151:C1158)</f>
        <v>63991</v>
      </c>
      <c r="D1184" s="1152">
        <f t="shared" ref="D1184:D1189" si="290">(C1184-C1183)/C1183</f>
        <v>0.27079733889385366</v>
      </c>
      <c r="E1184" s="564">
        <f>C1184/152</f>
        <v>420.99342105263156</v>
      </c>
      <c r="F1184" s="424">
        <f t="shared" ref="F1184:F1189" si="291">(E1184-E1183)/E1183</f>
        <v>7.8505636298073167E-2</v>
      </c>
      <c r="G1184" s="896">
        <f t="shared" ref="G1184:G1189" si="292">C1158*100</f>
        <v>1363600</v>
      </c>
      <c r="H1184" s="890"/>
      <c r="I1184" s="567">
        <v>7604</v>
      </c>
      <c r="J1184" s="568">
        <f t="shared" ref="J1184:J1189" si="293">(I1184-I1183)/I1183</f>
        <v>0.24512854101850334</v>
      </c>
    </row>
    <row r="1185" spans="2:10" ht="11.1" customHeight="1">
      <c r="B1185" s="563">
        <f t="shared" si="285"/>
        <v>37561</v>
      </c>
      <c r="C1185" s="564">
        <f>SUM(C$1151:C1159)</f>
        <v>72585</v>
      </c>
      <c r="D1185" s="1152">
        <f t="shared" si="290"/>
        <v>0.13430013595661891</v>
      </c>
      <c r="E1185" s="564">
        <f>C1185/172</f>
        <v>422.00581395348837</v>
      </c>
      <c r="F1185" s="424">
        <f t="shared" si="291"/>
        <v>2.4047713105004626E-3</v>
      </c>
      <c r="G1185" s="896">
        <f t="shared" si="292"/>
        <v>859400</v>
      </c>
      <c r="H1185" s="890"/>
      <c r="I1185" s="567">
        <v>10297</v>
      </c>
      <c r="J1185" s="568">
        <f t="shared" si="293"/>
        <v>0.35415570752235664</v>
      </c>
    </row>
    <row r="1186" spans="2:10" ht="11.1" customHeight="1">
      <c r="B1186" s="563">
        <f t="shared" si="285"/>
        <v>37591</v>
      </c>
      <c r="C1186" s="564">
        <f>SUM(C$1151:C1160)</f>
        <v>80419</v>
      </c>
      <c r="D1186" s="1152">
        <f t="shared" si="290"/>
        <v>0.10792863539298753</v>
      </c>
      <c r="E1186" s="564">
        <f>C1186/191</f>
        <v>421.04188481675391</v>
      </c>
      <c r="F1186" s="424">
        <f t="shared" si="291"/>
        <v>-2.2841607979379734E-3</v>
      </c>
      <c r="G1186" s="896">
        <f t="shared" si="292"/>
        <v>783400</v>
      </c>
      <c r="H1186" s="890"/>
      <c r="I1186" s="567">
        <v>4860</v>
      </c>
      <c r="J1186" s="568">
        <f t="shared" si="293"/>
        <v>-0.5280178692823152</v>
      </c>
    </row>
    <row r="1187" spans="2:10" ht="11.1" customHeight="1">
      <c r="B1187" s="563">
        <f t="shared" si="285"/>
        <v>37622</v>
      </c>
      <c r="C1187" s="564">
        <f>SUM(C$1151:C1161)</f>
        <v>94600</v>
      </c>
      <c r="D1187" s="1152">
        <f t="shared" si="290"/>
        <v>0.17633892488093611</v>
      </c>
      <c r="E1187" s="564">
        <f>C1187/212</f>
        <v>446.22641509433964</v>
      </c>
      <c r="F1187" s="424">
        <f t="shared" si="291"/>
        <v>5.981478609556045E-2</v>
      </c>
      <c r="G1187" s="896">
        <f t="shared" si="292"/>
        <v>1418100</v>
      </c>
      <c r="H1187" s="890"/>
      <c r="I1187" s="567">
        <v>7563</v>
      </c>
      <c r="J1187" s="568">
        <f t="shared" si="293"/>
        <v>0.5561728395061728</v>
      </c>
    </row>
    <row r="1188" spans="2:10" ht="11.1" customHeight="1">
      <c r="B1188" s="563">
        <f t="shared" si="285"/>
        <v>37653</v>
      </c>
      <c r="C1188" s="564">
        <f>SUM(C$1151:C1162)</f>
        <v>106487</v>
      </c>
      <c r="D1188" s="1152">
        <f t="shared" si="290"/>
        <v>0.12565539112050739</v>
      </c>
      <c r="E1188" s="564">
        <f>C1188/229</f>
        <v>465.00873362445412</v>
      </c>
      <c r="F1188" s="424">
        <f t="shared" si="291"/>
        <v>4.2091453788417228E-2</v>
      </c>
      <c r="G1188" s="896">
        <f t="shared" si="292"/>
        <v>1188700</v>
      </c>
      <c r="H1188" s="890"/>
      <c r="I1188" s="567">
        <v>9505</v>
      </c>
      <c r="J1188" s="568">
        <f t="shared" si="293"/>
        <v>0.25677641147692715</v>
      </c>
    </row>
    <row r="1189" spans="2:10" ht="11.1" customHeight="1">
      <c r="B1189" s="563">
        <f t="shared" si="285"/>
        <v>37681</v>
      </c>
      <c r="C1189" s="564">
        <f>SUM(C$1151:C1163)</f>
        <v>119010</v>
      </c>
      <c r="D1189" s="1152">
        <f t="shared" si="290"/>
        <v>0.11760120953731441</v>
      </c>
      <c r="E1189" s="564">
        <f>C1189/249</f>
        <v>477.95180722891564</v>
      </c>
      <c r="F1189" s="424">
        <f t="shared" si="291"/>
        <v>2.7834044112630532E-2</v>
      </c>
      <c r="G1189" s="896">
        <f t="shared" si="292"/>
        <v>1252300</v>
      </c>
      <c r="H1189" s="890"/>
      <c r="I1189" s="567">
        <v>5984</v>
      </c>
      <c r="J1189" s="568">
        <f t="shared" si="293"/>
        <v>-0.37043661230931091</v>
      </c>
    </row>
    <row r="1190" spans="2:10" ht="11.1" customHeight="1">
      <c r="B1190" s="563">
        <f t="shared" si="285"/>
        <v>37712</v>
      </c>
      <c r="C1190" s="564">
        <f>SUM(C$1151:C1164)</f>
        <v>133947</v>
      </c>
      <c r="D1190" s="1152">
        <f t="shared" ref="D1190:D1195" si="294">(C1190-C1189)/C1189</f>
        <v>0.12551046130577262</v>
      </c>
      <c r="E1190" s="564">
        <f>C1190/271</f>
        <v>494.26937269372695</v>
      </c>
      <c r="F1190" s="424">
        <f t="shared" ref="F1190:F1195" si="295">(E1190-E1189)/E1189</f>
        <v>3.4140608358440606E-2</v>
      </c>
      <c r="G1190" s="896">
        <f t="shared" ref="G1190:G1195" si="296">C1164*100</f>
        <v>1493700</v>
      </c>
      <c r="H1190" s="890"/>
      <c r="I1190" s="567">
        <v>8972</v>
      </c>
      <c r="J1190" s="568">
        <f t="shared" ref="J1190:J1195" si="297">(I1190-I1189)/I1189</f>
        <v>0.49933155080213903</v>
      </c>
    </row>
    <row r="1191" spans="2:10" ht="11.1" customHeight="1">
      <c r="B1191" s="563">
        <f t="shared" si="285"/>
        <v>37742</v>
      </c>
      <c r="C1191" s="564">
        <f>SUM(C$1151:C1165)</f>
        <v>144158</v>
      </c>
      <c r="D1191" s="1152">
        <f t="shared" si="294"/>
        <v>7.6231643859138318E-2</v>
      </c>
      <c r="E1191" s="564">
        <f>C1191/290</f>
        <v>497.09655172413795</v>
      </c>
      <c r="F1191" s="424">
        <f t="shared" si="295"/>
        <v>5.7199154683672026E-3</v>
      </c>
      <c r="G1191" s="896">
        <f t="shared" si="296"/>
        <v>1021100</v>
      </c>
      <c r="H1191" s="890"/>
      <c r="I1191" s="567">
        <v>10168</v>
      </c>
      <c r="J1191" s="568">
        <f t="shared" si="297"/>
        <v>0.13330361123495318</v>
      </c>
    </row>
    <row r="1192" spans="2:10" ht="11.1" customHeight="1">
      <c r="B1192" s="563">
        <f t="shared" si="285"/>
        <v>37773</v>
      </c>
      <c r="C1192" s="564">
        <f>SUM(C$1151:C1166)</f>
        <v>158148</v>
      </c>
      <c r="D1192" s="1152">
        <f t="shared" si="294"/>
        <v>9.7046296424756165E-2</v>
      </c>
      <c r="E1192" s="564">
        <f>C1192/311</f>
        <v>508.51446945337619</v>
      </c>
      <c r="F1192" s="424">
        <f t="shared" si="295"/>
        <v>2.2969215315688962E-2</v>
      </c>
      <c r="G1192" s="896">
        <f t="shared" si="296"/>
        <v>1399000</v>
      </c>
      <c r="H1192" s="890"/>
      <c r="I1192" s="567">
        <v>6207</v>
      </c>
      <c r="J1192" s="568">
        <f t="shared" si="297"/>
        <v>-0.38955546813532649</v>
      </c>
    </row>
    <row r="1193" spans="2:10" ht="11.1" customHeight="1">
      <c r="B1193" s="563">
        <f t="shared" si="285"/>
        <v>37803</v>
      </c>
      <c r="C1193" s="564">
        <f>SUM(C$1151:C1167)</f>
        <v>179883</v>
      </c>
      <c r="D1193" s="1152">
        <f t="shared" si="294"/>
        <v>0.13743455497382198</v>
      </c>
      <c r="E1193" s="564">
        <f>C1193/334</f>
        <v>538.57185628742513</v>
      </c>
      <c r="F1193" s="424">
        <f t="shared" si="295"/>
        <v>5.9108223343888135E-2</v>
      </c>
      <c r="G1193" s="896">
        <f t="shared" si="296"/>
        <v>2173500</v>
      </c>
      <c r="H1193" s="890"/>
      <c r="I1193" s="567">
        <v>4672</v>
      </c>
      <c r="J1193" s="568">
        <f t="shared" si="297"/>
        <v>-0.24730143386499115</v>
      </c>
    </row>
    <row r="1194" spans="2:10" ht="11.1" customHeight="1">
      <c r="B1194" s="563">
        <f t="shared" si="285"/>
        <v>37834</v>
      </c>
      <c r="C1194" s="564">
        <f>SUM(C$1151:C1168)</f>
        <v>186833</v>
      </c>
      <c r="D1194" s="1152">
        <f t="shared" si="294"/>
        <v>3.863622465713825E-2</v>
      </c>
      <c r="E1194" s="564">
        <f>C1194/355</f>
        <v>526.29014084507037</v>
      </c>
      <c r="F1194" s="424">
        <f t="shared" si="295"/>
        <v>-2.2804228069058734E-2</v>
      </c>
      <c r="G1194" s="896">
        <f t="shared" si="296"/>
        <v>695000</v>
      </c>
      <c r="H1194" s="890"/>
      <c r="I1194" s="567">
        <v>3753</v>
      </c>
      <c r="J1194" s="568">
        <f t="shared" si="297"/>
        <v>-0.19670376712328766</v>
      </c>
    </row>
    <row r="1195" spans="2:10" ht="11.1" customHeight="1">
      <c r="B1195" s="563">
        <f t="shared" si="285"/>
        <v>37865</v>
      </c>
      <c r="C1195" s="564">
        <f>SUM(C$1151:C1169)</f>
        <v>191860</v>
      </c>
      <c r="D1195" s="1152">
        <f t="shared" si="294"/>
        <v>2.6906381634936014E-2</v>
      </c>
      <c r="E1195" s="564">
        <f>C1195/376</f>
        <v>510.2659574468085</v>
      </c>
      <c r="F1195" s="424">
        <f t="shared" si="295"/>
        <v>-3.0447432232972568E-2</v>
      </c>
      <c r="G1195" s="896">
        <f t="shared" si="296"/>
        <v>502700</v>
      </c>
      <c r="H1195" s="890"/>
      <c r="I1195" s="567">
        <v>1944</v>
      </c>
      <c r="J1195" s="568">
        <f t="shared" si="297"/>
        <v>-0.48201438848920863</v>
      </c>
    </row>
    <row r="1196" spans="2:10" ht="11.1" customHeight="1">
      <c r="B1196" s="563">
        <f t="shared" si="285"/>
        <v>37895</v>
      </c>
      <c r="C1196" s="564">
        <f>SUM(C$1151:C1170)</f>
        <v>197804</v>
      </c>
      <c r="D1196" s="1152">
        <f>(C1196-C1195)/C1195</f>
        <v>3.0980923590117795E-2</v>
      </c>
      <c r="E1196" s="564">
        <f>C1196/398</f>
        <v>496.99497487437185</v>
      </c>
      <c r="F1196" s="424">
        <f>(E1196-E1195)/E1195</f>
        <v>-2.6007971683707814E-2</v>
      </c>
      <c r="G1196" s="896">
        <f>C1170*100</f>
        <v>594400</v>
      </c>
      <c r="H1196" s="890"/>
      <c r="I1196" s="567">
        <v>2041</v>
      </c>
      <c r="J1196" s="568">
        <f>(I1196-I1195)/I1195</f>
        <v>4.9897119341563788E-2</v>
      </c>
    </row>
    <row r="1197" spans="2:10" ht="11.1" customHeight="1">
      <c r="B1197" s="563">
        <f t="shared" si="285"/>
        <v>37926</v>
      </c>
      <c r="C1197" s="564">
        <f>SUM(C$1151:C1171)</f>
        <v>199002</v>
      </c>
      <c r="D1197" s="1152">
        <f>(C1197-C1196)/C1196</f>
        <v>6.0565003741077025E-3</v>
      </c>
      <c r="E1197" s="564">
        <f>C1197/415</f>
        <v>479.52289156626506</v>
      </c>
      <c r="F1197" s="424">
        <f>(E1197-E1196)/E1196</f>
        <v>-3.5155452653265362E-2</v>
      </c>
      <c r="G1197" s="896">
        <f>C1171*100</f>
        <v>119800</v>
      </c>
      <c r="H1197" s="890"/>
      <c r="I1197" s="567">
        <v>1574</v>
      </c>
      <c r="J1197" s="568">
        <f>(I1197-I1196)/I1196</f>
        <v>-0.22880940715335621</v>
      </c>
    </row>
    <row r="1198" spans="2:10" ht="11.1" customHeight="1" thickBot="1">
      <c r="B1198" s="885">
        <f t="shared" si="285"/>
        <v>37956</v>
      </c>
      <c r="C1198" s="525">
        <f>SUM(C$1151:C1172)</f>
        <v>199054</v>
      </c>
      <c r="D1198" s="1155">
        <f>(C1198-C1197)/C1197</f>
        <v>2.613039064934021E-4</v>
      </c>
      <c r="E1198" s="525">
        <f>C1198/437</f>
        <v>455.50114416475975</v>
      </c>
      <c r="F1198" s="311">
        <f>(E1198-E1197)/E1197</f>
        <v>-5.0095100409165247E-2</v>
      </c>
      <c r="G1198" s="891">
        <f>C1172*100</f>
        <v>5200</v>
      </c>
      <c r="H1198" s="871"/>
      <c r="I1198" s="868">
        <v>127</v>
      </c>
      <c r="J1198" s="316">
        <f>(I1198-I1197)/I1197</f>
        <v>-0.91931385006353239</v>
      </c>
    </row>
    <row r="1199" spans="2:10" ht="11.1" customHeight="1"/>
    <row r="1200" spans="2:10" ht="13.5" customHeight="1" thickBot="1">
      <c r="B1200" s="47" t="s">
        <v>285</v>
      </c>
    </row>
    <row r="1201" spans="2:10" ht="11.1" customHeight="1">
      <c r="B1201" s="203"/>
      <c r="C1201" s="204" t="s">
        <v>288</v>
      </c>
      <c r="D1201" s="1139"/>
      <c r="E1201" s="205"/>
      <c r="F1201" s="205"/>
      <c r="G1201" s="205"/>
      <c r="H1201" s="205"/>
      <c r="I1201" s="205"/>
      <c r="J1201" s="206"/>
    </row>
    <row r="1202" spans="2:10" ht="11.1" customHeight="1">
      <c r="B1202" s="207" t="s">
        <v>54</v>
      </c>
      <c r="C1202" s="208" t="s">
        <v>55</v>
      </c>
      <c r="D1202" s="1140"/>
      <c r="E1202" s="210" t="s">
        <v>56</v>
      </c>
      <c r="F1202" s="211"/>
      <c r="G1202" s="209" t="s">
        <v>57</v>
      </c>
      <c r="H1202" s="212"/>
      <c r="I1202" s="213" t="s">
        <v>58</v>
      </c>
      <c r="J1202" s="214"/>
    </row>
    <row r="1203" spans="2:10" ht="11.1" customHeight="1">
      <c r="B1203" s="207"/>
      <c r="C1203" s="215"/>
      <c r="D1203" s="1140"/>
      <c r="E1203" s="216" t="s">
        <v>59</v>
      </c>
      <c r="F1203" s="217"/>
      <c r="G1203" s="218"/>
      <c r="H1203" s="209"/>
      <c r="I1203" s="216" t="s">
        <v>60</v>
      </c>
      <c r="J1203" s="219"/>
    </row>
    <row r="1204" spans="2:10" ht="11.1" customHeight="1" thickBot="1">
      <c r="B1204" s="220" t="s">
        <v>61</v>
      </c>
      <c r="C1204" s="109" t="s">
        <v>62</v>
      </c>
      <c r="D1204" s="1141" t="s">
        <v>63</v>
      </c>
      <c r="E1204" s="109" t="s">
        <v>62</v>
      </c>
      <c r="F1204" s="221" t="s">
        <v>63</v>
      </c>
      <c r="G1204" s="109" t="s">
        <v>62</v>
      </c>
      <c r="H1204" s="221" t="s">
        <v>63</v>
      </c>
      <c r="I1204" s="109" t="s">
        <v>62</v>
      </c>
      <c r="J1204" s="222" t="s">
        <v>63</v>
      </c>
    </row>
    <row r="1205" spans="2:10" ht="11.1" customHeight="1">
      <c r="B1205" s="878">
        <v>37865</v>
      </c>
      <c r="C1205" s="879">
        <v>31</v>
      </c>
      <c r="D1205" s="1168" t="s">
        <v>31</v>
      </c>
      <c r="E1205" s="881">
        <f>C1205/7</f>
        <v>4.4285714285714288</v>
      </c>
      <c r="F1205" s="880" t="s">
        <v>31</v>
      </c>
      <c r="G1205" s="882">
        <f>SUM(C1205:C1205)</f>
        <v>31</v>
      </c>
      <c r="H1205" s="880" t="s">
        <v>31</v>
      </c>
      <c r="I1205" s="883">
        <f>G1205/7</f>
        <v>4.4285714285714288</v>
      </c>
      <c r="J1205" s="884" t="s">
        <v>31</v>
      </c>
    </row>
    <row r="1206" spans="2:10" ht="11.1" customHeight="1">
      <c r="B1206" s="563">
        <v>37895</v>
      </c>
      <c r="C1206" s="894">
        <v>50</v>
      </c>
      <c r="D1206" s="1144">
        <f>(C1206-C1205)/C1205</f>
        <v>0.61290322580645162</v>
      </c>
      <c r="E1206" s="584">
        <f>C1206/22</f>
        <v>2.2727272727272729</v>
      </c>
      <c r="F1206" s="259">
        <f>(E1206-E1205)/E1205</f>
        <v>-0.48680351906158353</v>
      </c>
      <c r="G1206" s="681">
        <f>SUM($C$1205:C1206)</f>
        <v>81</v>
      </c>
      <c r="H1206" s="259">
        <f>(G1206-G1205)/G1205</f>
        <v>1.6129032258064515</v>
      </c>
      <c r="I1206" s="895">
        <f>G1206/29</f>
        <v>2.7931034482758621</v>
      </c>
      <c r="J1206" s="521">
        <f>(I1206-I1205)/I1205</f>
        <v>-0.36929922135706345</v>
      </c>
    </row>
    <row r="1207" spans="2:10" ht="11.1" customHeight="1">
      <c r="B1207" s="563">
        <v>37926</v>
      </c>
      <c r="C1207" s="894">
        <v>650</v>
      </c>
      <c r="D1207" s="1144">
        <f>(C1207-C1206)/C1206</f>
        <v>12</v>
      </c>
      <c r="E1207" s="584">
        <f>C1207/17</f>
        <v>38.235294117647058</v>
      </c>
      <c r="F1207" s="259">
        <f>(E1207-E1206)/E1206</f>
        <v>15.823529411764703</v>
      </c>
      <c r="G1207" s="681">
        <f>SUM($C$1205:C1207)</f>
        <v>731</v>
      </c>
      <c r="H1207" s="259">
        <f>(G1207-G1206)/G1206</f>
        <v>8.0246913580246915</v>
      </c>
      <c r="I1207" s="895">
        <f>G1207/46</f>
        <v>15.891304347826088</v>
      </c>
      <c r="J1207" s="521">
        <f>(I1207-I1206)/I1206</f>
        <v>4.6894793344068706</v>
      </c>
    </row>
    <row r="1208" spans="2:10" ht="11.1" customHeight="1" thickBot="1">
      <c r="B1208" s="885">
        <v>37956</v>
      </c>
      <c r="C1208" s="886">
        <v>50</v>
      </c>
      <c r="D1208" s="1146">
        <f>(C1208-C1207)/C1207</f>
        <v>-0.92307692307692313</v>
      </c>
      <c r="E1208" s="554">
        <f>C1208/22</f>
        <v>2.2727272727272729</v>
      </c>
      <c r="F1208" s="264">
        <f>(E1208-E1207)/E1207</f>
        <v>-0.94055944055944052</v>
      </c>
      <c r="G1208" s="887">
        <f>SUM($C$1205:C1208)</f>
        <v>781</v>
      </c>
      <c r="H1208" s="264">
        <f>(G1208-G1207)/G1207</f>
        <v>6.8399452804377564E-2</v>
      </c>
      <c r="I1208" s="888">
        <f>G1208/68</f>
        <v>11.485294117647058</v>
      </c>
      <c r="J1208" s="268">
        <f>(I1208-I1207)/I1207</f>
        <v>-0.27725919369115642</v>
      </c>
    </row>
    <row r="1209" spans="2:10" ht="11.1" customHeight="1" thickBot="1"/>
    <row r="1210" spans="2:10" ht="11.1" customHeight="1">
      <c r="B1210" s="412"/>
      <c r="C1210" s="413" t="s">
        <v>66</v>
      </c>
      <c r="D1210" s="1160"/>
      <c r="E1210" s="413" t="s">
        <v>67</v>
      </c>
      <c r="F1210" s="414"/>
      <c r="G1210" s="415"/>
      <c r="H1210" s="414"/>
      <c r="I1210" s="416" t="s">
        <v>76</v>
      </c>
      <c r="J1210" s="417"/>
    </row>
    <row r="1211" spans="2:10" ht="11.1" customHeight="1">
      <c r="B1211" s="418" t="s">
        <v>54</v>
      </c>
      <c r="C1211" s="419" t="s">
        <v>70</v>
      </c>
      <c r="D1211" s="1161"/>
      <c r="E1211" s="216" t="s">
        <v>71</v>
      </c>
      <c r="F1211" s="420"/>
      <c r="G1211" s="421" t="s">
        <v>77</v>
      </c>
      <c r="H1211" s="420"/>
      <c r="I1211" s="422" t="s">
        <v>78</v>
      </c>
      <c r="J1211" s="423"/>
    </row>
    <row r="1212" spans="2:10" ht="11.1" customHeight="1" thickBot="1">
      <c r="B1212" s="869" t="s">
        <v>61</v>
      </c>
      <c r="C1212" s="530" t="s">
        <v>62</v>
      </c>
      <c r="D1212" s="1141" t="s">
        <v>63</v>
      </c>
      <c r="E1212" s="530" t="s">
        <v>62</v>
      </c>
      <c r="F1212" s="221" t="s">
        <v>63</v>
      </c>
      <c r="G1212" s="544" t="s">
        <v>152</v>
      </c>
      <c r="H1212" s="543"/>
      <c r="I1212" s="533"/>
      <c r="J1212" s="222" t="s">
        <v>63</v>
      </c>
    </row>
    <row r="1213" spans="2:10" ht="11.1" customHeight="1">
      <c r="B1213" s="878">
        <f>B1205</f>
        <v>37865</v>
      </c>
      <c r="C1213" s="1187">
        <v>31</v>
      </c>
      <c r="D1213" s="1188" t="s">
        <v>31</v>
      </c>
      <c r="E1213" s="1187">
        <f>C1213/7</f>
        <v>4.4285714285714288</v>
      </c>
      <c r="F1213" s="1189" t="s">
        <v>31</v>
      </c>
      <c r="G1213" s="889">
        <f>C1213*100</f>
        <v>3100</v>
      </c>
      <c r="H1213" s="1190"/>
      <c r="I1213" s="1191">
        <v>30</v>
      </c>
      <c r="J1213" s="1192" t="s">
        <v>31</v>
      </c>
    </row>
    <row r="1214" spans="2:10" ht="11.1" customHeight="1">
      <c r="B1214" s="563">
        <f>B1206</f>
        <v>37895</v>
      </c>
      <c r="C1214" s="564">
        <f>SUM(C1205:C1206)</f>
        <v>81</v>
      </c>
      <c r="D1214" s="1152">
        <f>(C1214-C1213)/C1213</f>
        <v>1.6129032258064515</v>
      </c>
      <c r="E1214" s="564">
        <f>C1214/29</f>
        <v>2.7931034482758621</v>
      </c>
      <c r="F1214" s="424">
        <f>(E1214-E1213)/E1213</f>
        <v>-0.36929922135706345</v>
      </c>
      <c r="G1214" s="896">
        <f>C1214*100</f>
        <v>8100</v>
      </c>
      <c r="H1214" s="890"/>
      <c r="I1214" s="567">
        <v>50</v>
      </c>
      <c r="J1214" s="568">
        <f>(I1214-I1213)/I1213</f>
        <v>0.66666666666666663</v>
      </c>
    </row>
    <row r="1215" spans="2:10" ht="11.1" customHeight="1">
      <c r="B1215" s="563">
        <f>B1207</f>
        <v>37926</v>
      </c>
      <c r="C1215" s="564">
        <f>SUM(C$1205:C1207)</f>
        <v>731</v>
      </c>
      <c r="D1215" s="1152">
        <f>(C1215-C1214)/C1214</f>
        <v>8.0246913580246915</v>
      </c>
      <c r="E1215" s="564">
        <f>C1215/46</f>
        <v>15.891304347826088</v>
      </c>
      <c r="F1215" s="424">
        <f>(E1215-E1214)/E1214</f>
        <v>4.6894793344068706</v>
      </c>
      <c r="G1215" s="896">
        <f>C1215*100</f>
        <v>73100</v>
      </c>
      <c r="H1215" s="890"/>
      <c r="I1215" s="567">
        <v>580</v>
      </c>
      <c r="J1215" s="568">
        <f>(I1215-I1214)/I1214</f>
        <v>10.6</v>
      </c>
    </row>
    <row r="1216" spans="2:10" ht="11.1" customHeight="1" thickBot="1">
      <c r="B1216" s="885">
        <f>B1208</f>
        <v>37956</v>
      </c>
      <c r="C1216" s="525">
        <f>SUM(C$1205:C1208)</f>
        <v>781</v>
      </c>
      <c r="D1216" s="1155">
        <f>(C1216-C1215)/C1215</f>
        <v>6.8399452804377564E-2</v>
      </c>
      <c r="E1216" s="525">
        <f>C1216/68</f>
        <v>11.485294117647058</v>
      </c>
      <c r="F1216" s="311">
        <f>(E1216-E1215)/E1215</f>
        <v>-0.27725919369115642</v>
      </c>
      <c r="G1216" s="891">
        <f>C1216*100</f>
        <v>78100</v>
      </c>
      <c r="H1216" s="871"/>
      <c r="I1216" s="868">
        <v>50</v>
      </c>
      <c r="J1216" s="316">
        <f>(I1216-I1215)/I1215</f>
        <v>-0.91379310344827591</v>
      </c>
    </row>
    <row r="1217" spans="2:10" ht="11.1" customHeight="1"/>
    <row r="1218" spans="2:10" ht="13.5" customHeight="1" thickBot="1">
      <c r="B1218" s="47" t="s">
        <v>286</v>
      </c>
    </row>
    <row r="1219" spans="2:10" ht="11.1" customHeight="1">
      <c r="B1219" s="203"/>
      <c r="C1219" s="204" t="s">
        <v>289</v>
      </c>
      <c r="D1219" s="1139"/>
      <c r="E1219" s="205"/>
      <c r="F1219" s="205"/>
      <c r="G1219" s="205"/>
      <c r="H1219" s="205"/>
      <c r="I1219" s="205"/>
      <c r="J1219" s="206"/>
    </row>
    <row r="1220" spans="2:10" ht="11.1" customHeight="1">
      <c r="B1220" s="207" t="s">
        <v>54</v>
      </c>
      <c r="C1220" s="208" t="s">
        <v>55</v>
      </c>
      <c r="D1220" s="1140"/>
      <c r="E1220" s="210" t="s">
        <v>56</v>
      </c>
      <c r="F1220" s="211"/>
      <c r="G1220" s="209" t="s">
        <v>57</v>
      </c>
      <c r="H1220" s="212"/>
      <c r="I1220" s="213" t="s">
        <v>58</v>
      </c>
      <c r="J1220" s="214"/>
    </row>
    <row r="1221" spans="2:10" ht="11.1" customHeight="1">
      <c r="B1221" s="207"/>
      <c r="C1221" s="215"/>
      <c r="D1221" s="1140"/>
      <c r="E1221" s="216" t="s">
        <v>59</v>
      </c>
      <c r="F1221" s="217"/>
      <c r="G1221" s="218"/>
      <c r="H1221" s="209"/>
      <c r="I1221" s="216" t="s">
        <v>60</v>
      </c>
      <c r="J1221" s="219"/>
    </row>
    <row r="1222" spans="2:10" ht="11.1" customHeight="1" thickBot="1">
      <c r="B1222" s="220" t="s">
        <v>61</v>
      </c>
      <c r="C1222" s="109" t="s">
        <v>62</v>
      </c>
      <c r="D1222" s="1141" t="s">
        <v>63</v>
      </c>
      <c r="E1222" s="109" t="s">
        <v>62</v>
      </c>
      <c r="F1222" s="221" t="s">
        <v>63</v>
      </c>
      <c r="G1222" s="109" t="s">
        <v>62</v>
      </c>
      <c r="H1222" s="221" t="s">
        <v>63</v>
      </c>
      <c r="I1222" s="109" t="s">
        <v>62</v>
      </c>
      <c r="J1222" s="222" t="s">
        <v>63</v>
      </c>
    </row>
    <row r="1223" spans="2:10" ht="11.1" customHeight="1">
      <c r="B1223" s="878">
        <v>37865</v>
      </c>
      <c r="C1223" s="879">
        <v>11</v>
      </c>
      <c r="D1223" s="1168" t="s">
        <v>31</v>
      </c>
      <c r="E1223" s="881">
        <f>C1223/7</f>
        <v>1.5714285714285714</v>
      </c>
      <c r="F1223" s="880" t="s">
        <v>31</v>
      </c>
      <c r="G1223" s="882">
        <f>SUM(C1223:C1223)</f>
        <v>11</v>
      </c>
      <c r="H1223" s="880" t="s">
        <v>31</v>
      </c>
      <c r="I1223" s="883">
        <f>G1223/7</f>
        <v>1.5714285714285714</v>
      </c>
      <c r="J1223" s="884" t="s">
        <v>31</v>
      </c>
    </row>
    <row r="1224" spans="2:10" ht="11.1" customHeight="1">
      <c r="B1224" s="563">
        <v>37895</v>
      </c>
      <c r="C1224" s="894">
        <v>0</v>
      </c>
      <c r="D1224" s="1144">
        <f>(C1224-C1223)/C1223</f>
        <v>-1</v>
      </c>
      <c r="E1224" s="584">
        <f>C1224/22</f>
        <v>0</v>
      </c>
      <c r="F1224" s="259">
        <f>(E1224-E1223)/E1223</f>
        <v>-1</v>
      </c>
      <c r="G1224" s="681">
        <f>SUM(C1224:C1224)</f>
        <v>0</v>
      </c>
      <c r="H1224" s="259">
        <f>(G1224-G1223)/G1223</f>
        <v>-1</v>
      </c>
      <c r="I1224" s="895">
        <f>G1224/29</f>
        <v>0</v>
      </c>
      <c r="J1224" s="521">
        <f>(I1224-I1223)/I1223</f>
        <v>-1</v>
      </c>
    </row>
    <row r="1225" spans="2:10" ht="11.1" customHeight="1">
      <c r="B1225" s="563">
        <v>37926</v>
      </c>
      <c r="C1225" s="894">
        <v>0</v>
      </c>
      <c r="D1225" s="1144" t="e">
        <f>(C1225-C1224)/C1224</f>
        <v>#DIV/0!</v>
      </c>
      <c r="E1225" s="584">
        <f>C1225/17</f>
        <v>0</v>
      </c>
      <c r="F1225" s="259" t="e">
        <f>(E1225-E1224)/E1224</f>
        <v>#DIV/0!</v>
      </c>
      <c r="G1225" s="681">
        <f>SUM(C1225:C1225)</f>
        <v>0</v>
      </c>
      <c r="H1225" s="259" t="e">
        <f>(G1225-G1224)/G1224</f>
        <v>#DIV/0!</v>
      </c>
      <c r="I1225" s="895">
        <f>G1225/46</f>
        <v>0</v>
      </c>
      <c r="J1225" s="521" t="e">
        <f>(I1225-I1224)/I1224</f>
        <v>#DIV/0!</v>
      </c>
    </row>
    <row r="1226" spans="2:10" ht="11.1" customHeight="1" thickBot="1">
      <c r="B1226" s="885">
        <v>37956</v>
      </c>
      <c r="C1226" s="886">
        <v>0</v>
      </c>
      <c r="D1226" s="1146" t="e">
        <f>(C1226-C1225)/C1225</f>
        <v>#DIV/0!</v>
      </c>
      <c r="E1226" s="554">
        <f>C1226/22</f>
        <v>0</v>
      </c>
      <c r="F1226" s="264" t="e">
        <f>(E1226-E1225)/E1225</f>
        <v>#DIV/0!</v>
      </c>
      <c r="G1226" s="887">
        <f>SUM(C1226:C1226)</f>
        <v>0</v>
      </c>
      <c r="H1226" s="264" t="e">
        <f>(G1226-G1225)/G1225</f>
        <v>#DIV/0!</v>
      </c>
      <c r="I1226" s="888">
        <f>G1226/68</f>
        <v>0</v>
      </c>
      <c r="J1226" s="268" t="e">
        <f>(I1226-I1225)/I1225</f>
        <v>#DIV/0!</v>
      </c>
    </row>
    <row r="1227" spans="2:10" ht="11.1" customHeight="1" thickBot="1"/>
    <row r="1228" spans="2:10" ht="11.1" customHeight="1">
      <c r="B1228" s="412"/>
      <c r="C1228" s="413" t="s">
        <v>66</v>
      </c>
      <c r="D1228" s="1160"/>
      <c r="E1228" s="413" t="s">
        <v>67</v>
      </c>
      <c r="F1228" s="414"/>
      <c r="G1228" s="415"/>
      <c r="H1228" s="414"/>
      <c r="I1228" s="416" t="s">
        <v>76</v>
      </c>
      <c r="J1228" s="417"/>
    </row>
    <row r="1229" spans="2:10" ht="11.1" customHeight="1">
      <c r="B1229" s="418" t="s">
        <v>54</v>
      </c>
      <c r="C1229" s="419" t="s">
        <v>70</v>
      </c>
      <c r="D1229" s="1161"/>
      <c r="E1229" s="216" t="s">
        <v>71</v>
      </c>
      <c r="F1229" s="420"/>
      <c r="G1229" s="421" t="s">
        <v>77</v>
      </c>
      <c r="H1229" s="420"/>
      <c r="I1229" s="422" t="s">
        <v>78</v>
      </c>
      <c r="J1229" s="423"/>
    </row>
    <row r="1230" spans="2:10" ht="11.1" customHeight="1" thickBot="1">
      <c r="B1230" s="869" t="s">
        <v>61</v>
      </c>
      <c r="C1230" s="530" t="s">
        <v>62</v>
      </c>
      <c r="D1230" s="1141" t="s">
        <v>63</v>
      </c>
      <c r="E1230" s="530" t="s">
        <v>62</v>
      </c>
      <c r="F1230" s="221" t="s">
        <v>63</v>
      </c>
      <c r="G1230" s="544" t="s">
        <v>152</v>
      </c>
      <c r="H1230" s="543"/>
      <c r="I1230" s="533"/>
      <c r="J1230" s="222" t="s">
        <v>63</v>
      </c>
    </row>
    <row r="1231" spans="2:10" ht="11.1" customHeight="1">
      <c r="B1231" s="878">
        <f>B1223</f>
        <v>37865</v>
      </c>
      <c r="C1231" s="1187">
        <v>11</v>
      </c>
      <c r="D1231" s="1188" t="s">
        <v>31</v>
      </c>
      <c r="E1231" s="1187">
        <f>C1231/7</f>
        <v>1.5714285714285714</v>
      </c>
      <c r="F1231" s="1189" t="s">
        <v>31</v>
      </c>
      <c r="G1231" s="889">
        <f>C1231*100</f>
        <v>1100</v>
      </c>
      <c r="H1231" s="1190"/>
      <c r="I1231" s="1191">
        <v>10</v>
      </c>
      <c r="J1231" s="1192" t="s">
        <v>31</v>
      </c>
    </row>
    <row r="1232" spans="2:10" ht="11.1" customHeight="1">
      <c r="B1232" s="563">
        <f>B1224</f>
        <v>37895</v>
      </c>
      <c r="C1232" s="564">
        <f>SUM(C1223:C1224)</f>
        <v>11</v>
      </c>
      <c r="D1232" s="1152">
        <f>(C1232-C1231)/C1231</f>
        <v>0</v>
      </c>
      <c r="E1232" s="564">
        <f>C1232/29</f>
        <v>0.37931034482758619</v>
      </c>
      <c r="F1232" s="424">
        <f>(E1232-E1231)/E1231</f>
        <v>-0.75862068965517249</v>
      </c>
      <c r="G1232" s="896">
        <f>C1232*100</f>
        <v>1100</v>
      </c>
      <c r="H1232" s="890"/>
      <c r="I1232" s="567">
        <v>10</v>
      </c>
      <c r="J1232" s="568">
        <f>(I1232-I1231)/I1231</f>
        <v>0</v>
      </c>
    </row>
    <row r="1233" spans="2:10" ht="11.1" customHeight="1">
      <c r="B1233" s="563">
        <f>B1225</f>
        <v>37926</v>
      </c>
      <c r="C1233" s="564">
        <f>SUM(C$1223:C1225)</f>
        <v>11</v>
      </c>
      <c r="D1233" s="1152">
        <f>(C1233-C1232)/C1232</f>
        <v>0</v>
      </c>
      <c r="E1233" s="564">
        <f>C1233/46</f>
        <v>0.2391304347826087</v>
      </c>
      <c r="F1233" s="424">
        <f>(E1233-E1232)/E1232</f>
        <v>-0.36956521739130432</v>
      </c>
      <c r="G1233" s="896">
        <f>C1233*100</f>
        <v>1100</v>
      </c>
      <c r="H1233" s="890"/>
      <c r="I1233" s="567">
        <v>10</v>
      </c>
      <c r="J1233" s="568">
        <f>(I1233-I1232)/I1232</f>
        <v>0</v>
      </c>
    </row>
    <row r="1234" spans="2:10" ht="11.1" customHeight="1" thickBot="1">
      <c r="B1234" s="885">
        <f>B1226</f>
        <v>37956</v>
      </c>
      <c r="C1234" s="525">
        <f>SUM(C$1223:C1226)</f>
        <v>11</v>
      </c>
      <c r="D1234" s="1155">
        <f>(C1234-C1233)/C1233</f>
        <v>0</v>
      </c>
      <c r="E1234" s="525">
        <f>C1234/68</f>
        <v>0.16176470588235295</v>
      </c>
      <c r="F1234" s="311">
        <f>(E1234-E1233)/E1233</f>
        <v>-0.32352941176470584</v>
      </c>
      <c r="G1234" s="891">
        <f>C1234*100</f>
        <v>1100</v>
      </c>
      <c r="H1234" s="871"/>
      <c r="I1234" s="868">
        <v>0</v>
      </c>
      <c r="J1234" s="316">
        <f>(I1234-I1233)/I1233</f>
        <v>-1</v>
      </c>
    </row>
    <row r="1235" spans="2:10" ht="11.1" customHeight="1"/>
    <row r="1236" spans="2:10" ht="11.1" customHeight="1" thickBot="1"/>
    <row r="1237" spans="2:10" ht="11.1" customHeight="1">
      <c r="B1237" s="823" t="s">
        <v>118</v>
      </c>
      <c r="C1237" s="824"/>
      <c r="D1237" s="1169"/>
      <c r="E1237" s="825"/>
      <c r="F1237" s="832" t="s">
        <v>25</v>
      </c>
      <c r="G1237" s="833" t="s">
        <v>90</v>
      </c>
      <c r="H1237" s="834" t="s">
        <v>91</v>
      </c>
      <c r="I1237" s="835"/>
    </row>
    <row r="1238" spans="2:10" ht="11.1" customHeight="1">
      <c r="B1238" s="826" t="s">
        <v>146</v>
      </c>
      <c r="C1238" s="827"/>
      <c r="D1238" s="1170"/>
      <c r="E1238" s="828"/>
      <c r="F1238" s="76">
        <v>8</v>
      </c>
      <c r="G1238" s="74">
        <v>9</v>
      </c>
      <c r="H1238" s="459">
        <v>1990</v>
      </c>
      <c r="I1238" s="79"/>
    </row>
    <row r="1239" spans="2:10" ht="11.1" customHeight="1">
      <c r="B1239" s="826" t="s">
        <v>147</v>
      </c>
      <c r="C1239" s="827"/>
      <c r="D1239" s="1170"/>
      <c r="E1239" s="828"/>
      <c r="F1239" s="537">
        <v>8</v>
      </c>
      <c r="G1239" s="538">
        <v>9</v>
      </c>
      <c r="H1239" s="459">
        <v>763</v>
      </c>
      <c r="I1239" s="539"/>
    </row>
    <row r="1240" spans="2:10" ht="11.1" customHeight="1">
      <c r="B1240" s="826" t="s">
        <v>145</v>
      </c>
      <c r="C1240" s="827"/>
      <c r="D1240" s="1170"/>
      <c r="E1240" s="828"/>
      <c r="F1240" s="537">
        <v>19</v>
      </c>
      <c r="G1240" s="538">
        <v>9</v>
      </c>
      <c r="H1240" s="571">
        <v>4685</v>
      </c>
      <c r="I1240" s="79"/>
    </row>
    <row r="1241" spans="2:10" ht="11.1" customHeight="1">
      <c r="B1241" s="826" t="s">
        <v>148</v>
      </c>
      <c r="C1241" s="827"/>
      <c r="D1241" s="1170"/>
      <c r="E1241" s="828"/>
      <c r="F1241" s="76">
        <v>17</v>
      </c>
      <c r="G1241" s="74">
        <v>9</v>
      </c>
      <c r="H1241" s="459">
        <v>1836</v>
      </c>
      <c r="I1241" s="79"/>
    </row>
    <row r="1242" spans="2:10" ht="11.1" customHeight="1">
      <c r="B1242" s="826" t="s">
        <v>225</v>
      </c>
      <c r="C1242" s="827"/>
      <c r="D1242" s="1170"/>
      <c r="E1242" s="828"/>
      <c r="F1242" s="537">
        <v>75</v>
      </c>
      <c r="G1242" s="539">
        <v>9</v>
      </c>
      <c r="H1242" s="1193">
        <v>446</v>
      </c>
      <c r="I1242" s="539"/>
    </row>
    <row r="1243" spans="2:10" ht="11.1" customHeight="1">
      <c r="B1243" s="826" t="s">
        <v>295</v>
      </c>
      <c r="C1243" s="827"/>
      <c r="D1243" s="1170"/>
      <c r="E1243" s="828"/>
      <c r="F1243" s="537">
        <v>75</v>
      </c>
      <c r="G1243" s="1194">
        <v>9</v>
      </c>
      <c r="H1243" s="1196">
        <v>77</v>
      </c>
      <c r="I1243" s="1194"/>
    </row>
    <row r="1244" spans="2:10" ht="11.1" customHeight="1" thickBot="1">
      <c r="B1244" s="826" t="s">
        <v>296</v>
      </c>
      <c r="C1244" s="827"/>
      <c r="D1244" s="1170"/>
      <c r="E1244" s="828"/>
      <c r="F1244" s="77">
        <v>75</v>
      </c>
      <c r="G1244" s="1195">
        <v>9</v>
      </c>
      <c r="H1244" s="1197">
        <v>77</v>
      </c>
      <c r="I1244" s="1195"/>
    </row>
    <row r="1245" spans="2:10" ht="11.1" customHeight="1" thickBot="1">
      <c r="B1245" s="829" t="s">
        <v>149</v>
      </c>
      <c r="C1245" s="830"/>
      <c r="D1245" s="1171"/>
      <c r="E1245" s="831"/>
      <c r="F1245" s="822">
        <v>10</v>
      </c>
      <c r="G1245" s="85"/>
      <c r="H1245" s="85"/>
      <c r="I1245" s="81"/>
    </row>
    <row r="1246" spans="2:10" ht="11.1" customHeight="1" thickBot="1">
      <c r="B1246" s="829" t="s">
        <v>150</v>
      </c>
      <c r="C1246" s="830"/>
      <c r="D1246" s="1171"/>
      <c r="E1246" s="831"/>
      <c r="F1246" s="80">
        <v>1</v>
      </c>
      <c r="G1246" s="85"/>
      <c r="H1246" s="85"/>
      <c r="I1246" s="81"/>
    </row>
    <row r="1247" spans="2:10" ht="11.1" customHeight="1" thickBot="1">
      <c r="B1247" s="829" t="s">
        <v>151</v>
      </c>
      <c r="C1247" s="830"/>
      <c r="D1247" s="1171"/>
      <c r="E1247" s="831"/>
      <c r="F1247" s="80">
        <v>5</v>
      </c>
      <c r="G1247" s="85"/>
      <c r="H1247" s="85"/>
      <c r="I1247" s="81"/>
    </row>
    <row r="1248" spans="2:10" ht="11.1" customHeight="1" thickBot="1">
      <c r="B1248" s="829" t="s">
        <v>226</v>
      </c>
      <c r="C1248" s="830"/>
      <c r="D1248" s="1171"/>
      <c r="E1248" s="831"/>
      <c r="F1248" s="85">
        <v>50</v>
      </c>
      <c r="G1248" s="85"/>
      <c r="H1248" s="85"/>
      <c r="I1248" s="81"/>
    </row>
    <row r="1249" spans="1:10" ht="11.1" customHeight="1" thickBot="1">
      <c r="B1249" s="829" t="s">
        <v>297</v>
      </c>
      <c r="C1249" s="830"/>
      <c r="D1249" s="1171"/>
      <c r="E1249" s="831"/>
      <c r="F1249" s="85">
        <v>50</v>
      </c>
      <c r="G1249" s="85"/>
      <c r="H1249" s="85"/>
      <c r="I1249" s="81"/>
    </row>
    <row r="1250" spans="1:10" ht="11.1" customHeight="1" thickBot="1">
      <c r="B1250" s="829" t="s">
        <v>298</v>
      </c>
      <c r="C1250" s="830"/>
      <c r="D1250" s="1171"/>
      <c r="E1250" s="831"/>
      <c r="F1250" s="85">
        <v>50</v>
      </c>
      <c r="G1250" s="85"/>
      <c r="H1250" s="85"/>
      <c r="I1250" s="81"/>
    </row>
    <row r="1251" spans="1:10" ht="11.1" customHeight="1"/>
    <row r="1252" spans="1:10" ht="11.1" customHeight="1"/>
    <row r="1253" spans="1:10" ht="11.1" customHeight="1"/>
    <row r="1254" spans="1:10" ht="11.1" customHeight="1">
      <c r="A1254" s="5"/>
      <c r="B1254" s="49" t="s">
        <v>144</v>
      </c>
      <c r="C1254" s="48"/>
      <c r="D1254" s="1172"/>
      <c r="E1254" s="30"/>
      <c r="F1254" s="84"/>
      <c r="G1254" s="84"/>
      <c r="H1254" s="84"/>
      <c r="I1254" s="54"/>
      <c r="J1254" s="30"/>
    </row>
    <row r="1255" spans="1:10" ht="11.1" customHeight="1">
      <c r="A1255" s="5"/>
      <c r="B1255" s="49"/>
      <c r="C1255" s="48"/>
      <c r="D1255" s="1172"/>
      <c r="E1255" s="30"/>
      <c r="F1255" s="84"/>
      <c r="G1255" s="84"/>
      <c r="H1255" s="84"/>
      <c r="I1255" s="54"/>
      <c r="J1255" s="30"/>
    </row>
    <row r="1256" spans="1:10" ht="11.1" customHeight="1">
      <c r="A1256" s="5"/>
      <c r="B1256" s="49"/>
      <c r="C1256" s="48"/>
      <c r="D1256" s="1172"/>
      <c r="E1256" s="30"/>
      <c r="F1256" s="84"/>
      <c r="G1256" s="84"/>
      <c r="H1256" s="84"/>
      <c r="I1256" s="54"/>
      <c r="J1256" s="30"/>
    </row>
    <row r="1257" spans="1:10" ht="11.1" customHeight="1">
      <c r="A1257" s="5"/>
      <c r="B1257" s="49"/>
      <c r="C1257" s="48"/>
      <c r="D1257" s="1172"/>
      <c r="E1257" s="30"/>
      <c r="F1257" s="84"/>
      <c r="G1257" s="84"/>
      <c r="H1257" s="84"/>
      <c r="I1257" s="54"/>
      <c r="J1257" s="30"/>
    </row>
    <row r="1258" spans="1:10" ht="11.1" customHeight="1">
      <c r="A1258" s="5"/>
      <c r="B1258" s="49"/>
      <c r="C1258" s="48"/>
      <c r="D1258" s="1172"/>
      <c r="E1258" s="30"/>
      <c r="F1258" s="84"/>
      <c r="G1258" s="84"/>
      <c r="H1258" s="84"/>
      <c r="I1258" s="54"/>
      <c r="J1258" s="30"/>
    </row>
    <row r="1259" spans="1:10" ht="11.1" customHeight="1">
      <c r="A1259" s="5"/>
      <c r="B1259" s="49"/>
      <c r="C1259" s="48"/>
      <c r="D1259" s="1172"/>
      <c r="E1259" s="30"/>
      <c r="F1259" s="84"/>
      <c r="G1259" s="84"/>
      <c r="H1259" s="84"/>
      <c r="I1259" s="54"/>
      <c r="J1259" s="30"/>
    </row>
    <row r="1260" spans="1:10" ht="11.1" customHeight="1">
      <c r="A1260" s="5"/>
      <c r="B1260" s="49"/>
      <c r="C1260" s="48"/>
      <c r="D1260" s="1172"/>
      <c r="E1260" s="30"/>
      <c r="F1260" s="84"/>
      <c r="G1260" s="84"/>
      <c r="H1260" s="84"/>
      <c r="I1260" s="54"/>
      <c r="J1260" s="30"/>
    </row>
    <row r="1261" spans="1:10" ht="11.1" customHeight="1">
      <c r="A1261" s="5"/>
      <c r="B1261" s="49"/>
      <c r="C1261" s="48"/>
      <c r="D1261" s="1172"/>
      <c r="E1261" s="30"/>
      <c r="F1261" s="84"/>
      <c r="G1261" s="84"/>
      <c r="H1261" s="84"/>
      <c r="I1261" s="54"/>
      <c r="J1261" s="30"/>
    </row>
    <row r="1262" spans="1:10" ht="11.1" customHeight="1">
      <c r="A1262" s="5"/>
      <c r="B1262" s="49"/>
      <c r="C1262" s="48"/>
      <c r="D1262" s="1172"/>
      <c r="E1262" s="30"/>
      <c r="F1262" s="84"/>
      <c r="G1262" s="84"/>
      <c r="H1262" s="84"/>
      <c r="I1262" s="54"/>
      <c r="J1262" s="30"/>
    </row>
    <row r="1263" spans="1:10" ht="11.1" customHeight="1">
      <c r="A1263" s="5"/>
      <c r="B1263" s="49"/>
      <c r="C1263" s="48"/>
      <c r="D1263" s="1172"/>
      <c r="E1263" s="30"/>
      <c r="F1263" s="84"/>
      <c r="G1263" s="84"/>
      <c r="H1263" s="84"/>
      <c r="I1263" s="54"/>
      <c r="J1263" s="30"/>
    </row>
    <row r="1264" spans="1:10" ht="11.1" customHeight="1">
      <c r="A1264" s="5"/>
      <c r="B1264" s="49"/>
      <c r="C1264" s="48"/>
      <c r="D1264" s="1172"/>
      <c r="E1264" s="30"/>
      <c r="F1264" s="84"/>
      <c r="G1264" s="84"/>
      <c r="H1264" s="84"/>
      <c r="I1264" s="54"/>
      <c r="J1264" s="30"/>
    </row>
    <row r="1265" spans="1:10" ht="11.1" customHeight="1">
      <c r="A1265" s="5"/>
      <c r="B1265" s="49"/>
      <c r="C1265" s="48"/>
      <c r="D1265" s="1172"/>
      <c r="E1265" s="30"/>
      <c r="F1265" s="84"/>
      <c r="G1265" s="84"/>
      <c r="H1265" s="84"/>
      <c r="I1265" s="54"/>
      <c r="J1265" s="30"/>
    </row>
    <row r="1266" spans="1:10" ht="11.1" customHeight="1">
      <c r="A1266" s="5"/>
      <c r="B1266" s="49"/>
      <c r="C1266" s="48"/>
      <c r="D1266" s="1172"/>
      <c r="E1266" s="30"/>
      <c r="F1266" s="84"/>
      <c r="G1266" s="84"/>
      <c r="H1266" s="84"/>
      <c r="I1266" s="54"/>
      <c r="J1266" s="30"/>
    </row>
    <row r="1267" spans="1:10" ht="11.1" customHeight="1">
      <c r="A1267" s="5"/>
      <c r="B1267" s="49"/>
      <c r="C1267" s="48"/>
      <c r="D1267" s="1172"/>
      <c r="E1267" s="30"/>
      <c r="F1267" s="84"/>
      <c r="G1267" s="84"/>
      <c r="H1267" s="84"/>
      <c r="I1267" s="54"/>
      <c r="J1267" s="30"/>
    </row>
    <row r="1268" spans="1:10" ht="11.1" customHeight="1">
      <c r="A1268" s="5"/>
      <c r="B1268" s="49"/>
      <c r="C1268" s="48"/>
      <c r="D1268" s="1172"/>
      <c r="E1268" s="30"/>
      <c r="F1268" s="84"/>
      <c r="G1268" s="84"/>
      <c r="H1268" s="84"/>
      <c r="I1268" s="54"/>
      <c r="J1268" s="30"/>
    </row>
    <row r="1269" spans="1:10" ht="11.1" customHeight="1">
      <c r="A1269" s="5"/>
      <c r="B1269" s="49"/>
      <c r="C1269" s="48"/>
      <c r="D1269" s="1172"/>
      <c r="E1269" s="30"/>
      <c r="F1269" s="84"/>
      <c r="G1269" s="84"/>
      <c r="H1269" s="84"/>
      <c r="I1269" s="54"/>
      <c r="J1269" s="30"/>
    </row>
    <row r="1270" spans="1:10" ht="11.1" customHeight="1">
      <c r="A1270" s="5"/>
      <c r="B1270" s="49"/>
      <c r="C1270" s="48"/>
      <c r="D1270" s="1172"/>
      <c r="E1270" s="30"/>
      <c r="F1270" s="84"/>
      <c r="G1270" s="84"/>
      <c r="H1270" s="84"/>
      <c r="I1270" s="54"/>
      <c r="J1270" s="30"/>
    </row>
    <row r="1271" spans="1:10" ht="11.1" customHeight="1">
      <c r="A1271" s="5"/>
      <c r="B1271" s="49"/>
      <c r="C1271" s="48"/>
      <c r="D1271" s="1172"/>
      <c r="E1271" s="30"/>
      <c r="F1271" s="84"/>
      <c r="G1271" s="84"/>
      <c r="H1271" s="84" t="s">
        <v>74</v>
      </c>
      <c r="I1271" s="54"/>
      <c r="J1271" s="30"/>
    </row>
    <row r="1272" spans="1:10" ht="11.1" customHeight="1">
      <c r="A1272" s="5"/>
      <c r="B1272" s="49" t="s">
        <v>143</v>
      </c>
      <c r="C1272" s="48"/>
      <c r="D1272" s="1172"/>
      <c r="E1272" s="30"/>
      <c r="F1272" s="84"/>
      <c r="G1272" s="84"/>
      <c r="H1272" s="84"/>
      <c r="I1272" s="54"/>
      <c r="J1272" s="30"/>
    </row>
    <row r="1273" spans="1:10" ht="11.1" customHeight="1">
      <c r="A1273" s="5"/>
      <c r="B1273" s="49"/>
      <c r="C1273" s="48"/>
      <c r="D1273" s="1172"/>
      <c r="E1273" s="30"/>
      <c r="F1273" s="84"/>
      <c r="G1273" s="84"/>
      <c r="H1273" s="84"/>
      <c r="I1273" s="54"/>
      <c r="J1273" s="30"/>
    </row>
    <row r="1274" spans="1:10" ht="11.1" customHeight="1">
      <c r="A1274" s="5"/>
      <c r="B1274" s="49"/>
      <c r="C1274" s="48"/>
      <c r="D1274" s="1172"/>
      <c r="E1274" s="30"/>
      <c r="F1274" s="84"/>
      <c r="G1274" s="84"/>
      <c r="H1274" s="84"/>
      <c r="I1274" s="54"/>
      <c r="J1274" s="30"/>
    </row>
    <row r="1275" spans="1:10" ht="11.1" customHeight="1">
      <c r="A1275" s="5"/>
      <c r="B1275" s="49"/>
      <c r="C1275" s="48"/>
      <c r="D1275" s="1172"/>
      <c r="E1275" s="30"/>
      <c r="F1275" s="84"/>
      <c r="G1275" s="84"/>
      <c r="H1275" s="84"/>
      <c r="I1275" s="54"/>
      <c r="J1275" s="30"/>
    </row>
    <row r="1276" spans="1:10" ht="11.1" customHeight="1">
      <c r="A1276" s="5"/>
      <c r="B1276" s="49"/>
      <c r="C1276" s="48"/>
      <c r="D1276" s="1172"/>
      <c r="E1276" s="30"/>
      <c r="F1276" s="84"/>
      <c r="G1276" s="84"/>
      <c r="H1276" s="84"/>
      <c r="I1276" s="54"/>
      <c r="J1276" s="30"/>
    </row>
    <row r="1277" spans="1:10" ht="11.1" customHeight="1">
      <c r="A1277" s="5"/>
      <c r="B1277" s="49"/>
      <c r="C1277" s="48"/>
      <c r="D1277" s="1172"/>
      <c r="E1277" s="30"/>
      <c r="F1277" s="84"/>
      <c r="G1277" s="84"/>
      <c r="H1277" s="84"/>
      <c r="I1277" s="54"/>
      <c r="J1277" s="30"/>
    </row>
    <row r="1278" spans="1:10" ht="11.1" customHeight="1">
      <c r="A1278" s="5"/>
      <c r="B1278" s="49"/>
      <c r="C1278" s="48"/>
      <c r="D1278" s="1172"/>
      <c r="E1278" s="30"/>
      <c r="F1278" s="84"/>
      <c r="G1278" s="84"/>
      <c r="H1278" s="84"/>
      <c r="I1278" s="54"/>
      <c r="J1278" s="30"/>
    </row>
    <row r="1279" spans="1:10" ht="11.1" customHeight="1">
      <c r="A1279" s="5"/>
      <c r="B1279" s="49"/>
      <c r="C1279" s="48"/>
      <c r="D1279" s="1172"/>
      <c r="E1279" s="30"/>
      <c r="F1279" s="84"/>
      <c r="G1279" s="84"/>
      <c r="H1279" s="84"/>
      <c r="I1279" s="54"/>
      <c r="J1279" s="30"/>
    </row>
    <row r="1280" spans="1:10" ht="11.1" customHeight="1">
      <c r="A1280" s="5"/>
      <c r="B1280" s="49"/>
      <c r="C1280" s="48"/>
      <c r="D1280" s="1172"/>
      <c r="E1280" s="30"/>
      <c r="F1280" s="84"/>
      <c r="G1280" s="84"/>
      <c r="H1280" s="84"/>
      <c r="I1280" s="54"/>
      <c r="J1280" s="30"/>
    </row>
    <row r="1281" spans="1:10" ht="11.1" customHeight="1">
      <c r="A1281" s="5"/>
      <c r="B1281" s="49"/>
      <c r="C1281" s="48"/>
      <c r="D1281" s="1172"/>
      <c r="E1281" s="30"/>
      <c r="F1281" s="84"/>
      <c r="G1281" s="84"/>
      <c r="H1281" s="84"/>
      <c r="I1281" s="54"/>
      <c r="J1281" s="30"/>
    </row>
    <row r="1282" spans="1:10" ht="11.1" customHeight="1">
      <c r="A1282" s="5"/>
      <c r="B1282" s="49"/>
      <c r="C1282" s="48"/>
      <c r="D1282" s="1172"/>
      <c r="E1282" s="30"/>
      <c r="F1282" s="84"/>
      <c r="G1282" s="84"/>
      <c r="H1282" s="84"/>
      <c r="I1282" s="54"/>
      <c r="J1282" s="30"/>
    </row>
    <row r="1283" spans="1:10" ht="11.1" customHeight="1">
      <c r="A1283" s="5"/>
      <c r="B1283" s="49"/>
      <c r="C1283" s="48"/>
      <c r="D1283" s="1172"/>
      <c r="E1283" s="30"/>
      <c r="F1283" s="84"/>
      <c r="G1283" s="84"/>
      <c r="H1283" s="84"/>
      <c r="I1283" s="54"/>
      <c r="J1283" s="30"/>
    </row>
    <row r="1284" spans="1:10" ht="11.1" customHeight="1">
      <c r="A1284" s="5"/>
      <c r="B1284" s="49"/>
      <c r="C1284" s="48"/>
      <c r="D1284" s="1172"/>
      <c r="E1284" s="30"/>
      <c r="F1284" s="84"/>
      <c r="G1284" s="84"/>
      <c r="H1284" s="84">
        <v>0</v>
      </c>
      <c r="I1284" s="54"/>
      <c r="J1284" s="30"/>
    </row>
    <row r="1285" spans="1:10" ht="11.1" customHeight="1">
      <c r="A1285" s="5"/>
      <c r="B1285" s="49"/>
      <c r="C1285" s="48"/>
      <c r="D1285" s="1172"/>
      <c r="E1285" s="30"/>
      <c r="F1285" s="84"/>
      <c r="G1285" s="84"/>
      <c r="H1285" s="84"/>
      <c r="I1285" s="54"/>
      <c r="J1285" s="30"/>
    </row>
    <row r="1286" spans="1:10" ht="11.1" customHeight="1">
      <c r="A1286" s="5"/>
      <c r="B1286" s="49"/>
      <c r="C1286" s="48"/>
      <c r="D1286" s="1172"/>
      <c r="E1286" s="30"/>
      <c r="F1286" s="84"/>
      <c r="G1286" s="84"/>
      <c r="H1286" s="84"/>
      <c r="I1286" s="54"/>
      <c r="J1286" s="30"/>
    </row>
    <row r="1287" spans="1:10" ht="11.1" customHeight="1">
      <c r="A1287" s="5"/>
      <c r="B1287" s="49"/>
      <c r="C1287" s="48"/>
      <c r="D1287" s="1172"/>
      <c r="E1287" s="30"/>
      <c r="F1287" s="84"/>
      <c r="G1287" s="84"/>
      <c r="H1287" s="84"/>
      <c r="I1287" s="54"/>
      <c r="J1287" s="30"/>
    </row>
    <row r="1288" spans="1:10" ht="11.1" customHeight="1">
      <c r="A1288" s="5"/>
      <c r="B1288" s="49"/>
      <c r="C1288" s="48"/>
      <c r="D1288" s="1172"/>
      <c r="E1288" s="30"/>
      <c r="F1288" s="84"/>
      <c r="G1288" s="84"/>
      <c r="H1288" s="84"/>
      <c r="I1288" s="54"/>
      <c r="J1288" s="30"/>
    </row>
    <row r="1289" spans="1:10" ht="11.1" customHeight="1">
      <c r="A1289" s="5"/>
      <c r="B1289" s="49"/>
      <c r="C1289" s="48"/>
      <c r="D1289" s="1172"/>
      <c r="E1289" s="30"/>
      <c r="F1289" s="84"/>
      <c r="G1289" s="84"/>
      <c r="H1289" s="84"/>
      <c r="I1289" s="54"/>
      <c r="J1289" s="30"/>
    </row>
    <row r="1290" spans="1:10" ht="11.1" customHeight="1">
      <c r="A1290" s="5"/>
      <c r="B1290" s="49" t="s">
        <v>137</v>
      </c>
      <c r="C1290" s="48"/>
      <c r="D1290" s="1172"/>
      <c r="E1290" s="30"/>
      <c r="F1290" s="84"/>
      <c r="G1290" s="84"/>
      <c r="H1290" s="84"/>
      <c r="I1290" s="54"/>
      <c r="J1290" s="30"/>
    </row>
    <row r="1291" spans="1:10" ht="11.1" customHeight="1">
      <c r="A1291" s="5"/>
      <c r="B1291" s="34"/>
      <c r="C1291" s="27"/>
      <c r="D1291" s="1157"/>
      <c r="E1291" s="28"/>
      <c r="F1291" s="28"/>
      <c r="G1291" s="25"/>
      <c r="H1291" s="28"/>
      <c r="I1291" s="25"/>
      <c r="J1291" s="25"/>
    </row>
    <row r="1292" spans="1:10" ht="11.1" customHeight="1">
      <c r="A1292" s="5"/>
      <c r="B1292" s="43"/>
      <c r="C1292" s="25"/>
      <c r="D1292" s="1157"/>
      <c r="E1292" s="28"/>
      <c r="F1292" s="35"/>
      <c r="G1292" s="41"/>
      <c r="H1292" s="28"/>
      <c r="I1292" s="25"/>
      <c r="J1292" s="25"/>
    </row>
    <row r="1293" spans="1:10" ht="11.1" customHeight="1">
      <c r="A1293" s="5"/>
      <c r="B1293" s="44"/>
      <c r="C1293" s="43"/>
      <c r="D1293" s="1173"/>
      <c r="E1293" s="43"/>
      <c r="F1293" s="45"/>
      <c r="G1293" s="25"/>
      <c r="H1293" s="28"/>
      <c r="I1293" s="25"/>
      <c r="J1293" s="5"/>
    </row>
    <row r="1294" spans="1:10" ht="11.1" customHeight="1">
      <c r="A1294" s="5"/>
      <c r="B1294" s="44"/>
      <c r="C1294" s="43"/>
      <c r="D1294" s="1173"/>
      <c r="E1294" s="43"/>
      <c r="F1294" s="45"/>
      <c r="G1294" s="25"/>
      <c r="H1294" s="28"/>
      <c r="I1294" s="25"/>
      <c r="J1294" s="5"/>
    </row>
    <row r="1295" spans="1:10" ht="11.1" customHeight="1">
      <c r="A1295" s="5"/>
      <c r="B1295" s="5"/>
      <c r="C1295" s="5"/>
      <c r="D1295" s="1174"/>
      <c r="E1295" s="5"/>
      <c r="F1295" s="5"/>
      <c r="G1295" s="5"/>
      <c r="H1295" s="5"/>
      <c r="I1295" s="5"/>
      <c r="J1295" s="5"/>
    </row>
    <row r="1296" spans="1:10" ht="11.1" customHeight="1">
      <c r="B1296" s="46"/>
      <c r="C1296" s="46"/>
      <c r="D1296" s="1175"/>
      <c r="E1296" s="46"/>
      <c r="F1296" s="46"/>
      <c r="G1296" s="46"/>
      <c r="H1296" s="46"/>
      <c r="I1296" s="5"/>
    </row>
    <row r="1297" spans="2:9" ht="11.1" customHeight="1">
      <c r="B1297" s="46"/>
      <c r="C1297" s="46"/>
      <c r="D1297" s="1175"/>
      <c r="E1297" s="46"/>
      <c r="F1297" s="46"/>
      <c r="G1297" s="46"/>
      <c r="H1297" s="46"/>
      <c r="I1297" s="5"/>
    </row>
    <row r="1298" spans="2:9" ht="11.1" customHeight="1">
      <c r="B1298"/>
      <c r="C1298"/>
      <c r="D1298" s="1176"/>
      <c r="E1298"/>
      <c r="F1298"/>
      <c r="G1298"/>
      <c r="H1298"/>
    </row>
    <row r="1299" spans="2:9" ht="11.1" customHeight="1">
      <c r="B1299"/>
      <c r="C1299"/>
      <c r="D1299" s="1176"/>
      <c r="E1299"/>
      <c r="F1299"/>
      <c r="G1299"/>
      <c r="H1299"/>
    </row>
    <row r="1300" spans="2:9" ht="11.1" customHeight="1">
      <c r="B1300"/>
      <c r="C1300"/>
      <c r="D1300" s="1176"/>
      <c r="E1300"/>
      <c r="F1300"/>
      <c r="G1300"/>
      <c r="H1300"/>
    </row>
    <row r="1301" spans="2:9" ht="11.1" customHeight="1">
      <c r="B1301"/>
      <c r="C1301"/>
      <c r="D1301" s="1176"/>
      <c r="E1301"/>
      <c r="F1301"/>
      <c r="G1301"/>
      <c r="H1301"/>
    </row>
    <row r="1302" spans="2:9" ht="11.1" customHeight="1">
      <c r="B1302"/>
      <c r="C1302"/>
      <c r="D1302" s="1176"/>
      <c r="E1302"/>
      <c r="F1302"/>
      <c r="G1302"/>
      <c r="H1302"/>
    </row>
    <row r="1303" spans="2:9" ht="11.1" customHeight="1">
      <c r="B1303"/>
      <c r="C1303"/>
      <c r="D1303" s="1176"/>
      <c r="E1303"/>
      <c r="F1303"/>
      <c r="G1303"/>
      <c r="H1303"/>
    </row>
    <row r="1304" spans="2:9" ht="11.1" customHeight="1">
      <c r="B1304"/>
      <c r="C1304"/>
      <c r="D1304" s="1176"/>
      <c r="E1304"/>
      <c r="F1304"/>
      <c r="G1304"/>
      <c r="H1304"/>
    </row>
    <row r="1305" spans="2:9" ht="11.1" customHeight="1">
      <c r="B1305"/>
      <c r="C1305"/>
      <c r="D1305" s="1176"/>
      <c r="E1305"/>
      <c r="F1305"/>
      <c r="G1305"/>
      <c r="H1305"/>
    </row>
    <row r="1306" spans="2:9" ht="11.1" customHeight="1">
      <c r="B1306"/>
      <c r="C1306"/>
      <c r="D1306" s="1176"/>
      <c r="E1306"/>
      <c r="F1306"/>
      <c r="G1306"/>
      <c r="H1306"/>
    </row>
    <row r="1307" spans="2:9" ht="11.1" customHeight="1">
      <c r="B1307" s="201" t="s">
        <v>138</v>
      </c>
      <c r="C1307"/>
      <c r="D1307" s="1176"/>
      <c r="E1307"/>
      <c r="F1307"/>
      <c r="G1307"/>
      <c r="H1307"/>
    </row>
    <row r="1308" spans="2:9" ht="11.1" customHeight="1">
      <c r="B1308"/>
      <c r="C1308"/>
      <c r="D1308" s="1176"/>
      <c r="E1308"/>
      <c r="F1308"/>
      <c r="G1308"/>
      <c r="H1308"/>
    </row>
    <row r="1309" spans="2:9" ht="11.1" customHeight="1">
      <c r="B1309"/>
      <c r="C1309"/>
      <c r="D1309" s="1176"/>
      <c r="E1309"/>
      <c r="F1309"/>
      <c r="G1309"/>
      <c r="H1309"/>
    </row>
    <row r="1310" spans="2:9" ht="11.1" customHeight="1">
      <c r="B1310"/>
      <c r="C1310"/>
      <c r="D1310" s="1176"/>
      <c r="E1310"/>
      <c r="F1310"/>
      <c r="G1310"/>
      <c r="H1310"/>
    </row>
    <row r="1311" spans="2:9" ht="11.1" customHeight="1">
      <c r="B1311"/>
      <c r="C1311"/>
      <c r="D1311" s="1176"/>
      <c r="E1311"/>
      <c r="F1311"/>
      <c r="G1311"/>
      <c r="H1311"/>
    </row>
    <row r="1312" spans="2:9" ht="11.1" customHeight="1">
      <c r="B1312"/>
      <c r="C1312"/>
      <c r="D1312" s="1176"/>
      <c r="E1312"/>
      <c r="F1312"/>
      <c r="G1312"/>
      <c r="H1312"/>
    </row>
    <row r="1313" spans="2:8" ht="11.1" customHeight="1">
      <c r="B1313"/>
      <c r="C1313"/>
      <c r="D1313" s="1176"/>
      <c r="E1313"/>
      <c r="F1313"/>
      <c r="G1313"/>
      <c r="H1313"/>
    </row>
    <row r="1314" spans="2:8" ht="11.1" customHeight="1">
      <c r="B1314"/>
      <c r="C1314"/>
      <c r="D1314" s="1176"/>
      <c r="E1314"/>
      <c r="F1314"/>
      <c r="G1314"/>
      <c r="H1314"/>
    </row>
    <row r="1315" spans="2:8" ht="11.1" customHeight="1">
      <c r="B1315"/>
      <c r="C1315"/>
      <c r="D1315" s="1176"/>
      <c r="E1315"/>
      <c r="F1315"/>
      <c r="G1315"/>
      <c r="H1315"/>
    </row>
    <row r="1316" spans="2:8" ht="11.1" customHeight="1">
      <c r="B1316"/>
      <c r="C1316"/>
      <c r="D1316" s="1176"/>
      <c r="E1316"/>
      <c r="F1316"/>
      <c r="G1316"/>
      <c r="H1316"/>
    </row>
    <row r="1317" spans="2:8" ht="11.1" customHeight="1">
      <c r="B1317"/>
      <c r="C1317"/>
      <c r="D1317" s="1176"/>
      <c r="E1317"/>
      <c r="F1317"/>
      <c r="G1317"/>
      <c r="H1317"/>
    </row>
    <row r="1318" spans="2:8" ht="11.1" customHeight="1">
      <c r="B1318"/>
      <c r="C1318"/>
      <c r="D1318" s="1176"/>
      <c r="E1318"/>
      <c r="F1318"/>
      <c r="G1318"/>
      <c r="H1318"/>
    </row>
    <row r="1319" spans="2:8" ht="11.1" customHeight="1">
      <c r="B1319"/>
      <c r="C1319"/>
      <c r="D1319" s="1176"/>
      <c r="E1319"/>
      <c r="F1319"/>
      <c r="G1319"/>
      <c r="H1319"/>
    </row>
    <row r="1320" spans="2:8" ht="11.1" customHeight="1">
      <c r="B1320"/>
      <c r="C1320"/>
      <c r="D1320" s="1176"/>
      <c r="E1320"/>
      <c r="F1320"/>
      <c r="G1320"/>
      <c r="H1320"/>
    </row>
    <row r="1321" spans="2:8" ht="11.1" customHeight="1">
      <c r="B1321"/>
      <c r="C1321"/>
      <c r="D1321" s="1176"/>
      <c r="E1321"/>
      <c r="F1321"/>
      <c r="G1321"/>
      <c r="H1321"/>
    </row>
    <row r="1322" spans="2:8" ht="11.1" customHeight="1">
      <c r="B1322"/>
      <c r="C1322"/>
      <c r="D1322" s="1176"/>
      <c r="E1322"/>
      <c r="F1322"/>
      <c r="G1322"/>
      <c r="H1322"/>
    </row>
    <row r="1323" spans="2:8" ht="11.1" customHeight="1">
      <c r="B1323"/>
      <c r="C1323"/>
      <c r="D1323" s="1176"/>
      <c r="E1323"/>
      <c r="F1323"/>
      <c r="G1323"/>
      <c r="H1323"/>
    </row>
    <row r="1324" spans="2:8" ht="11.1" customHeight="1">
      <c r="B1324"/>
      <c r="C1324"/>
      <c r="D1324" s="1176"/>
      <c r="E1324"/>
      <c r="F1324"/>
      <c r="G1324"/>
      <c r="H1324"/>
    </row>
    <row r="1325" spans="2:8" ht="11.1" customHeight="1">
      <c r="B1325" s="49" t="s">
        <v>92</v>
      </c>
      <c r="C1325"/>
      <c r="D1325" s="1176"/>
      <c r="E1325"/>
      <c r="F1325"/>
      <c r="G1325"/>
      <c r="H1325"/>
    </row>
    <row r="1326" spans="2:8" ht="11.1" customHeight="1">
      <c r="B1326"/>
      <c r="C1326"/>
      <c r="D1326" s="1176"/>
      <c r="E1326"/>
      <c r="F1326"/>
      <c r="G1326"/>
      <c r="H1326"/>
    </row>
    <row r="1327" spans="2:8" ht="11.1" customHeight="1">
      <c r="B1327"/>
      <c r="C1327"/>
      <c r="D1327" s="1176"/>
      <c r="E1327"/>
      <c r="F1327"/>
      <c r="G1327"/>
      <c r="H1327"/>
    </row>
    <row r="1328" spans="2:8" ht="11.1" customHeight="1">
      <c r="B1328"/>
      <c r="C1328"/>
      <c r="D1328" s="1176"/>
      <c r="E1328"/>
      <c r="F1328"/>
      <c r="G1328"/>
      <c r="H1328"/>
    </row>
    <row r="1329" spans="2:12" ht="11.1" customHeight="1">
      <c r="B1329"/>
      <c r="C1329"/>
      <c r="D1329" s="1176"/>
      <c r="E1329"/>
      <c r="F1329"/>
      <c r="G1329"/>
      <c r="H1329"/>
      <c r="L1329" s="1">
        <v>0</v>
      </c>
    </row>
    <row r="1330" spans="2:12" ht="11.1" customHeight="1">
      <c r="B1330"/>
      <c r="C1330"/>
      <c r="D1330" s="1176"/>
      <c r="E1330"/>
      <c r="F1330"/>
      <c r="G1330"/>
      <c r="H1330"/>
    </row>
    <row r="1331" spans="2:12" ht="11.1" customHeight="1">
      <c r="B1331"/>
      <c r="C1331"/>
      <c r="D1331" s="1176"/>
      <c r="E1331"/>
      <c r="F1331"/>
      <c r="G1331"/>
      <c r="H1331"/>
    </row>
    <row r="1332" spans="2:12" ht="11.1" customHeight="1">
      <c r="B1332"/>
      <c r="C1332"/>
      <c r="D1332" s="1176"/>
      <c r="E1332"/>
      <c r="F1332"/>
      <c r="G1332"/>
      <c r="H1332"/>
    </row>
    <row r="1333" spans="2:12" ht="11.1" customHeight="1">
      <c r="B1333"/>
      <c r="C1333"/>
      <c r="D1333" s="1176"/>
      <c r="E1333"/>
      <c r="F1333"/>
      <c r="G1333"/>
      <c r="H1333"/>
    </row>
    <row r="1334" spans="2:12" ht="11.1" customHeight="1">
      <c r="B1334"/>
      <c r="C1334"/>
      <c r="D1334" s="1176"/>
      <c r="E1334"/>
      <c r="F1334"/>
      <c r="G1334"/>
      <c r="H1334"/>
    </row>
    <row r="1335" spans="2:12" ht="11.1" customHeight="1">
      <c r="B1335"/>
      <c r="C1335"/>
      <c r="D1335" s="1176"/>
      <c r="E1335"/>
      <c r="F1335"/>
      <c r="G1335"/>
      <c r="H1335"/>
    </row>
    <row r="1336" spans="2:12" ht="11.1" customHeight="1">
      <c r="B1336"/>
      <c r="C1336"/>
      <c r="D1336" s="1176"/>
      <c r="E1336"/>
      <c r="F1336"/>
      <c r="G1336"/>
      <c r="H1336"/>
    </row>
    <row r="1337" spans="2:12" ht="11.1" customHeight="1">
      <c r="B1337"/>
      <c r="C1337"/>
      <c r="D1337" s="1176"/>
      <c r="E1337"/>
      <c r="F1337"/>
      <c r="G1337"/>
      <c r="H1337"/>
    </row>
    <row r="1338" spans="2:12" ht="11.1" customHeight="1">
      <c r="B1338"/>
      <c r="C1338"/>
      <c r="D1338" s="1176"/>
      <c r="E1338"/>
      <c r="F1338"/>
      <c r="G1338"/>
      <c r="H1338"/>
    </row>
    <row r="1339" spans="2:12" ht="11.1" customHeight="1">
      <c r="B1339"/>
      <c r="C1339"/>
      <c r="D1339" s="1176"/>
      <c r="E1339"/>
      <c r="F1339"/>
      <c r="G1339"/>
      <c r="H1339"/>
    </row>
    <row r="1340" spans="2:12" ht="11.1" customHeight="1">
      <c r="B1340"/>
      <c r="C1340"/>
      <c r="D1340" s="1176"/>
      <c r="E1340"/>
      <c r="F1340"/>
      <c r="G1340"/>
      <c r="H1340"/>
    </row>
    <row r="1341" spans="2:12" ht="11.1" customHeight="1">
      <c r="B1341"/>
      <c r="C1341"/>
      <c r="D1341" s="1176"/>
      <c r="E1341"/>
      <c r="F1341"/>
      <c r="G1341"/>
      <c r="H1341"/>
    </row>
    <row r="1342" spans="2:12" ht="11.1" customHeight="1">
      <c r="B1342"/>
      <c r="C1342"/>
      <c r="D1342" s="1176"/>
      <c r="E1342"/>
      <c r="F1342"/>
      <c r="G1342"/>
      <c r="H1342"/>
    </row>
    <row r="1343" spans="2:12" ht="11.1" customHeight="1">
      <c r="B1343"/>
      <c r="C1343"/>
      <c r="D1343" s="1176"/>
      <c r="E1343"/>
      <c r="F1343"/>
      <c r="G1343"/>
      <c r="H1343"/>
    </row>
    <row r="1344" spans="2:12" ht="11.1" customHeight="1">
      <c r="B1344" s="49" t="s">
        <v>139</v>
      </c>
      <c r="C1344"/>
      <c r="D1344" s="1176"/>
      <c r="E1344"/>
      <c r="F1344"/>
      <c r="G1344"/>
      <c r="H1344"/>
    </row>
    <row r="1345" spans="2:8" ht="11.1" customHeight="1">
      <c r="B1345"/>
      <c r="F1345"/>
      <c r="G1345"/>
      <c r="H1345"/>
    </row>
    <row r="1346" spans="2:8" ht="11.1" customHeight="1">
      <c r="B1346"/>
      <c r="F1346"/>
      <c r="G1346"/>
      <c r="H1346"/>
    </row>
    <row r="1347" spans="2:8" ht="11.1" customHeight="1">
      <c r="B1347"/>
      <c r="C1347"/>
      <c r="D1347" s="1176"/>
      <c r="E1347"/>
      <c r="F1347"/>
      <c r="G1347"/>
      <c r="H1347"/>
    </row>
    <row r="1348" spans="2:8" ht="11.1" customHeight="1"/>
    <row r="1349" spans="2:8" ht="11.1" customHeight="1">
      <c r="B1349"/>
      <c r="C1349"/>
      <c r="D1349" s="1176"/>
      <c r="E1349"/>
    </row>
    <row r="1350" spans="2:8" ht="11.1" customHeight="1">
      <c r="B1350"/>
      <c r="C1350"/>
      <c r="D1350" s="1176"/>
      <c r="E1350"/>
    </row>
    <row r="1351" spans="2:8" ht="11.1" customHeight="1"/>
    <row r="1352" spans="2:8" ht="11.1" customHeight="1"/>
    <row r="1353" spans="2:8" ht="11.1" customHeight="1"/>
    <row r="1354" spans="2:8" ht="11.1" customHeight="1"/>
    <row r="1355" spans="2:8" ht="11.1" customHeight="1"/>
    <row r="1356" spans="2:8" ht="11.1" customHeight="1"/>
    <row r="1357" spans="2:8" ht="11.1" customHeight="1"/>
    <row r="1358" spans="2:8" ht="11.1" customHeight="1"/>
    <row r="1359" spans="2:8" ht="11.1" customHeight="1"/>
    <row r="1360" spans="2:8" ht="11.1" customHeight="1"/>
    <row r="1361" spans="2:8" ht="11.1" customHeight="1"/>
    <row r="1362" spans="2:8" ht="11.1" customHeight="1">
      <c r="B1362" s="1" t="s">
        <v>104</v>
      </c>
    </row>
    <row r="1363" spans="2:8" ht="11.1" customHeight="1"/>
    <row r="1364" spans="2:8" ht="11.1" customHeight="1"/>
    <row r="1365" spans="2:8" ht="11.1" customHeight="1"/>
    <row r="1366" spans="2:8" ht="11.1" customHeight="1"/>
    <row r="1367" spans="2:8" ht="11.1" customHeight="1"/>
    <row r="1368" spans="2:8" ht="11.1" customHeight="1"/>
    <row r="1369" spans="2:8" ht="11.1" customHeight="1"/>
    <row r="1370" spans="2:8" ht="11.1" customHeight="1"/>
    <row r="1372" spans="2:8" ht="15.75">
      <c r="B1372" s="105"/>
      <c r="C1372" s="106"/>
      <c r="D1372" s="1177"/>
      <c r="E1372" s="106"/>
      <c r="F1372" s="106"/>
    </row>
    <row r="1373" spans="2:8">
      <c r="B1373" s="43"/>
      <c r="C1373" s="146"/>
      <c r="D1373" s="1178"/>
      <c r="E1373" s="48"/>
      <c r="F1373" s="119"/>
      <c r="G1373" s="139"/>
      <c r="H1373" s="120"/>
    </row>
    <row r="1374" spans="2:8">
      <c r="B1374"/>
      <c r="C1374"/>
      <c r="D1374" s="1176"/>
      <c r="E1374"/>
      <c r="F1374"/>
      <c r="G1374"/>
      <c r="H1374"/>
    </row>
    <row r="1375" spans="2:8">
      <c r="B1375"/>
      <c r="C1375"/>
      <c r="D1375" s="1176"/>
      <c r="E1375"/>
      <c r="F1375"/>
      <c r="G1375"/>
      <c r="H1375"/>
    </row>
    <row r="1376" spans="2:8">
      <c r="B1376"/>
      <c r="C1376"/>
      <c r="D1376" s="1176"/>
      <c r="E1376"/>
      <c r="F1376"/>
      <c r="G1376"/>
      <c r="H1376"/>
    </row>
    <row r="1377" spans="2:8">
      <c r="B1377"/>
      <c r="C1377"/>
      <c r="D1377" s="1176"/>
      <c r="E1377"/>
      <c r="F1377"/>
      <c r="G1377"/>
      <c r="H1377"/>
    </row>
    <row r="1378" spans="2:8">
      <c r="B1378"/>
      <c r="C1378"/>
      <c r="D1378" s="1176"/>
      <c r="E1378"/>
      <c r="F1378"/>
      <c r="G1378"/>
      <c r="H1378"/>
    </row>
    <row r="1379" spans="2:8">
      <c r="B1379" s="49" t="s">
        <v>133</v>
      </c>
    </row>
    <row r="1394" spans="2:2">
      <c r="B1394" s="201" t="s">
        <v>135</v>
      </c>
    </row>
    <row r="1409" spans="2:2">
      <c r="B1409" s="49" t="s">
        <v>134</v>
      </c>
    </row>
    <row r="1412" spans="2:2" ht="12" customHeight="1"/>
    <row r="1425" spans="2:2">
      <c r="B1425" s="201" t="s">
        <v>136</v>
      </c>
    </row>
    <row r="1441" spans="2:2">
      <c r="B1441" s="201" t="s">
        <v>154</v>
      </c>
    </row>
    <row r="1457" spans="2:2">
      <c r="B1457" s="201" t="s">
        <v>299</v>
      </c>
    </row>
    <row r="1473" spans="2:2">
      <c r="B1473" s="201" t="s">
        <v>290</v>
      </c>
    </row>
    <row r="1489" spans="2:2">
      <c r="B1489" s="201" t="s">
        <v>291</v>
      </c>
    </row>
    <row r="1514" spans="6:6">
      <c r="F1514" s="1" t="s">
        <v>74</v>
      </c>
    </row>
    <row r="1552" spans="5:5">
      <c r="E1552" s="1" t="s">
        <v>247</v>
      </c>
    </row>
  </sheetData>
  <mergeCells count="17">
    <mergeCell ref="D33:E33"/>
    <mergeCell ref="D28:E28"/>
    <mergeCell ref="F28:G28"/>
    <mergeCell ref="C666:J666"/>
    <mergeCell ref="F35:G35"/>
    <mergeCell ref="D30:E30"/>
    <mergeCell ref="D31:E31"/>
    <mergeCell ref="D32:E32"/>
    <mergeCell ref="F32:G32"/>
    <mergeCell ref="D35:E35"/>
    <mergeCell ref="F30:G30"/>
    <mergeCell ref="D34:E34"/>
    <mergeCell ref="F33:G33"/>
    <mergeCell ref="F34:G34"/>
    <mergeCell ref="F29:G29"/>
    <mergeCell ref="D29:E29"/>
    <mergeCell ref="F31:G31"/>
  </mergeCells>
  <phoneticPr fontId="69" type="noConversion"/>
  <printOptions verticalCentered="1" gridLinesSet="0"/>
  <pageMargins left="0" right="0" top="0.35" bottom="0.2" header="0.118110236220472" footer="0.118110236220472"/>
  <pageSetup paperSize="9" scale="70" orientation="portrait" horizontalDpi="300" verticalDpi="300" r:id="rId1"/>
  <headerFooter alignWithMargins="0">
    <oddHeader>&amp;L&amp;"Arial,Bold Italic"Strategic Planning and Product Development Department</oddHeader>
    <oddFooter xml:space="preserve">&amp;RPage &amp;P </oddFooter>
  </headerFooter>
  <rowBreaks count="15" manualBreakCount="15">
    <brk id="66" max="16383" man="1"/>
    <brk id="136" max="9" man="1"/>
    <brk id="190" max="9" man="1"/>
    <brk id="246" max="9" man="1"/>
    <brk id="349" max="9" man="1"/>
    <brk id="448" max="9" man="1"/>
    <brk id="532" max="9" man="1"/>
    <brk id="663" max="9" man="1"/>
    <brk id="746" max="9" man="1"/>
    <brk id="850" max="9" man="1"/>
    <brk id="950" max="9" man="1"/>
    <brk id="1049" max="9" man="1"/>
    <brk id="1235" max="9" man="1"/>
    <brk id="1324" max="9" man="1"/>
    <brk id="139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3"/>
  <sheetViews>
    <sheetView zoomScale="75" zoomScaleNormal="75" workbookViewId="0">
      <selection activeCell="G3" sqref="G3"/>
    </sheetView>
  </sheetViews>
  <sheetFormatPr defaultRowHeight="12.75"/>
  <cols>
    <col min="1" max="1" width="11.7109375" customWidth="1"/>
    <col min="2" max="2" width="14.7109375" customWidth="1"/>
    <col min="3" max="3" width="19.42578125" customWidth="1"/>
    <col min="4" max="5" width="13.7109375" customWidth="1"/>
    <col min="6" max="6" width="19.42578125" customWidth="1"/>
    <col min="7" max="7" width="17" customWidth="1"/>
    <col min="8" max="8" width="12.42578125" customWidth="1"/>
  </cols>
  <sheetData>
    <row r="2" spans="1:11" ht="26.25">
      <c r="A2" s="691" t="s">
        <v>158</v>
      </c>
      <c r="B2" s="692"/>
      <c r="C2" s="692"/>
      <c r="D2" s="692"/>
      <c r="E2" s="692"/>
      <c r="F2" s="692"/>
      <c r="G2" s="692"/>
      <c r="H2" s="693"/>
    </row>
    <row r="3" spans="1:11">
      <c r="A3" s="95" t="s">
        <v>159</v>
      </c>
      <c r="B3" s="95"/>
      <c r="C3" s="694" t="str">
        <f>'General(R)'!H9</f>
        <v>14/01/2004 (Wednesday)</v>
      </c>
      <c r="D3" s="95"/>
      <c r="E3" s="95"/>
      <c r="F3" s="95"/>
      <c r="G3" s="95"/>
      <c r="H3" s="695"/>
      <c r="I3" s="695"/>
      <c r="J3" s="695"/>
    </row>
    <row r="4" spans="1:11">
      <c r="A4" s="95"/>
      <c r="B4" s="95"/>
      <c r="C4" s="694"/>
      <c r="D4" s="95"/>
      <c r="E4" s="95"/>
      <c r="F4" s="95"/>
      <c r="G4" s="95"/>
      <c r="H4" s="695"/>
      <c r="I4" s="695"/>
      <c r="J4" s="695"/>
    </row>
    <row r="5" spans="1:11">
      <c r="A5" s="696" t="s">
        <v>160</v>
      </c>
      <c r="B5" s="95"/>
      <c r="C5" s="95" t="s">
        <v>161</v>
      </c>
      <c r="D5" s="95"/>
      <c r="E5" s="95"/>
      <c r="F5" s="95"/>
      <c r="G5" s="95"/>
      <c r="H5" s="695" t="s">
        <v>74</v>
      </c>
      <c r="I5" s="695" t="s">
        <v>74</v>
      </c>
      <c r="J5" s="695"/>
      <c r="K5" s="695"/>
    </row>
    <row r="6" spans="1:11">
      <c r="A6" s="95"/>
      <c r="B6" s="95"/>
      <c r="C6" s="95"/>
      <c r="D6" s="95"/>
      <c r="E6" s="95"/>
      <c r="F6" s="95"/>
      <c r="G6" s="95"/>
      <c r="H6" s="695"/>
      <c r="I6" s="695"/>
      <c r="J6" s="695"/>
    </row>
    <row r="7" spans="1:11">
      <c r="A7" s="95" t="s">
        <v>162</v>
      </c>
      <c r="B7" s="95"/>
      <c r="C7" s="697" t="s">
        <v>163</v>
      </c>
      <c r="D7" s="95"/>
      <c r="E7" s="95"/>
      <c r="F7" s="95"/>
      <c r="G7" s="95"/>
      <c r="H7" s="695"/>
      <c r="I7" s="695"/>
      <c r="J7" s="695"/>
    </row>
    <row r="8" spans="1:11">
      <c r="A8" s="695"/>
      <c r="B8" s="695"/>
      <c r="C8" s="697" t="s">
        <v>164</v>
      </c>
      <c r="D8" s="95"/>
      <c r="E8" s="95"/>
      <c r="F8" s="95"/>
      <c r="G8" s="695"/>
      <c r="H8" s="695"/>
      <c r="I8" s="695"/>
      <c r="J8" s="695"/>
    </row>
    <row r="9" spans="1:11">
      <c r="C9" s="697" t="s">
        <v>165</v>
      </c>
      <c r="D9" s="72"/>
      <c r="E9" s="72"/>
      <c r="F9" s="72"/>
    </row>
    <row r="10" spans="1:11">
      <c r="C10" s="697"/>
      <c r="D10" s="72"/>
      <c r="E10" s="72"/>
      <c r="F10" s="72"/>
    </row>
    <row r="11" spans="1:11" s="701" customFormat="1" ht="15.75" customHeight="1">
      <c r="A11" s="698" t="s">
        <v>33</v>
      </c>
      <c r="B11" s="699" t="s">
        <v>34</v>
      </c>
      <c r="C11" s="700" t="s">
        <v>35</v>
      </c>
      <c r="D11" s="700" t="s">
        <v>166</v>
      </c>
      <c r="E11" s="700" t="s">
        <v>166</v>
      </c>
      <c r="F11" s="699" t="s">
        <v>167</v>
      </c>
      <c r="G11" s="699" t="s">
        <v>205</v>
      </c>
      <c r="H11" s="700" t="s">
        <v>40</v>
      </c>
    </row>
    <row r="12" spans="1:11" s="701" customFormat="1" ht="15">
      <c r="A12" s="702" t="s">
        <v>23</v>
      </c>
      <c r="B12" s="703" t="s">
        <v>41</v>
      </c>
      <c r="C12" s="703" t="s">
        <v>42</v>
      </c>
      <c r="D12" s="703" t="s">
        <v>168</v>
      </c>
      <c r="E12" s="703" t="s">
        <v>169</v>
      </c>
      <c r="F12" s="703" t="s">
        <v>42</v>
      </c>
      <c r="G12" s="703" t="s">
        <v>42</v>
      </c>
      <c r="H12" s="703" t="s">
        <v>28</v>
      </c>
    </row>
    <row r="13" spans="1:11" s="701" customFormat="1" ht="18.75">
      <c r="A13" s="704" t="s">
        <v>206</v>
      </c>
      <c r="B13" s="705"/>
      <c r="C13" s="705"/>
      <c r="D13" s="705"/>
      <c r="E13" s="705"/>
      <c r="F13" s="705"/>
      <c r="G13" s="705"/>
      <c r="H13" s="705"/>
    </row>
    <row r="14" spans="1:11" s="701" customFormat="1" ht="15">
      <c r="A14" s="843">
        <f>'General(R)'!B74</f>
        <v>37987</v>
      </c>
      <c r="B14" s="706">
        <f>'General(R)'!C83</f>
        <v>827</v>
      </c>
      <c r="C14" s="706">
        <f>'General(R)'!D83</f>
        <v>825</v>
      </c>
      <c r="D14" s="706">
        <f>'General(R)'!E83</f>
        <v>832.5</v>
      </c>
      <c r="E14" s="706">
        <f>'General(R)'!F83</f>
        <v>822.5</v>
      </c>
      <c r="F14" s="706">
        <f>'General(R)'!G83</f>
        <v>823.5</v>
      </c>
      <c r="G14" s="706">
        <f>'General(R)'!H83</f>
        <v>823.5</v>
      </c>
      <c r="H14" s="706">
        <f>'General(R)'!I83</f>
        <v>-3.5</v>
      </c>
    </row>
    <row r="15" spans="1:11" s="701" customFormat="1" ht="15">
      <c r="A15" s="843">
        <f>'General(R)'!B75</f>
        <v>38018</v>
      </c>
      <c r="B15" s="706">
        <f>'General(R)'!C84</f>
        <v>831</v>
      </c>
      <c r="C15" s="706">
        <f>'General(R)'!D84</f>
        <v>828</v>
      </c>
      <c r="D15" s="706">
        <f>'General(R)'!E84</f>
        <v>836.5</v>
      </c>
      <c r="E15" s="706">
        <f>'General(R)'!F84</f>
        <v>827</v>
      </c>
      <c r="F15" s="706">
        <f>'General(R)'!G84</f>
        <v>828.5</v>
      </c>
      <c r="G15" s="706">
        <f>'General(R)'!H84</f>
        <v>828.5</v>
      </c>
      <c r="H15" s="706">
        <f>'General(R)'!I84</f>
        <v>-2.5</v>
      </c>
    </row>
    <row r="16" spans="1:11" s="701" customFormat="1" ht="15">
      <c r="A16" s="843">
        <f>'General(R)'!B76</f>
        <v>38047</v>
      </c>
      <c r="B16" s="706">
        <f>'General(R)'!C85</f>
        <v>835.5</v>
      </c>
      <c r="C16" s="706">
        <f>'General(R)'!D85</f>
        <v>0</v>
      </c>
      <c r="D16" s="706">
        <f>'General(R)'!E85</f>
        <v>0</v>
      </c>
      <c r="E16" s="706">
        <f>'General(R)'!F85</f>
        <v>0</v>
      </c>
      <c r="F16" s="706">
        <f>'General(R)'!G85</f>
        <v>0</v>
      </c>
      <c r="G16" s="706">
        <f>'General(R)'!H85</f>
        <v>833</v>
      </c>
      <c r="H16" s="706">
        <f>'General(R)'!I85</f>
        <v>-2.5</v>
      </c>
    </row>
    <row r="17" spans="1:8" s="701" customFormat="1" ht="15">
      <c r="A17" s="843">
        <f>'General(R)'!B77</f>
        <v>38140</v>
      </c>
      <c r="B17" s="706">
        <f>'General(R)'!C86</f>
        <v>835.5</v>
      </c>
      <c r="C17" s="707">
        <f>'General(R)'!D86</f>
        <v>0</v>
      </c>
      <c r="D17" s="708">
        <f>'General(R)'!E86</f>
        <v>0</v>
      </c>
      <c r="E17" s="709">
        <f>'General(R)'!F86</f>
        <v>0</v>
      </c>
      <c r="F17" s="707">
        <f>'General(R)'!G86</f>
        <v>0</v>
      </c>
      <c r="G17" s="706">
        <f>'General(R)'!H86</f>
        <v>833</v>
      </c>
      <c r="H17" s="706">
        <f>'General(R)'!I86</f>
        <v>-2.5</v>
      </c>
    </row>
    <row r="18" spans="1:8" s="701" customFormat="1" ht="18" customHeight="1">
      <c r="A18" s="704" t="s">
        <v>277</v>
      </c>
      <c r="B18" s="710">
        <f>'General(R)'!C87</f>
        <v>818.42</v>
      </c>
      <c r="C18" s="711">
        <f>'General(R)'!D87</f>
        <v>817.89</v>
      </c>
      <c r="D18" s="711">
        <f>'General(R)'!E87</f>
        <v>822.37</v>
      </c>
      <c r="E18" s="711">
        <f>'General(R)'!F87</f>
        <v>815.21</v>
      </c>
      <c r="F18" s="711">
        <f>'General(R)'!G87</f>
        <v>815.98</v>
      </c>
      <c r="G18" s="710" t="str">
        <f>'General(R)'!H87</f>
        <v>nil</v>
      </c>
      <c r="H18" s="710">
        <f>'General(R)'!I87</f>
        <v>-2.4399999999999409</v>
      </c>
    </row>
    <row r="19" spans="1:8" s="701" customFormat="1" ht="18.75">
      <c r="A19" s="712" t="s">
        <v>278</v>
      </c>
      <c r="B19" s="705"/>
      <c r="C19" s="705"/>
      <c r="D19" s="705"/>
      <c r="E19" s="705"/>
      <c r="F19" s="705"/>
      <c r="G19" s="711">
        <f>'General(R)'!H88</f>
        <v>7.5199999999999818</v>
      </c>
      <c r="H19" s="713"/>
    </row>
    <row r="20" spans="1:8" s="701" customFormat="1" ht="15.75">
      <c r="A20" s="714"/>
      <c r="B20" s="715"/>
      <c r="C20" s="715"/>
      <c r="D20" s="715"/>
      <c r="E20" s="715"/>
      <c r="F20" s="715"/>
      <c r="G20" s="716"/>
      <c r="H20" s="714"/>
    </row>
    <row r="21" spans="1:8" s="701" customFormat="1" ht="18" customHeight="1">
      <c r="A21" s="698" t="s">
        <v>33</v>
      </c>
      <c r="B21" s="717" t="s">
        <v>21</v>
      </c>
      <c r="C21" s="717"/>
      <c r="D21" s="717" t="s">
        <v>280</v>
      </c>
      <c r="E21" s="717"/>
      <c r="F21" s="717"/>
    </row>
    <row r="22" spans="1:8" s="701" customFormat="1" ht="16.5" customHeight="1">
      <c r="A22" s="702" t="s">
        <v>23</v>
      </c>
      <c r="B22" s="718" t="s">
        <v>24</v>
      </c>
      <c r="C22" s="719" t="s">
        <v>279</v>
      </c>
      <c r="D22" s="718" t="s">
        <v>26</v>
      </c>
      <c r="E22" s="718" t="s">
        <v>27</v>
      </c>
      <c r="F22" s="718" t="s">
        <v>28</v>
      </c>
    </row>
    <row r="23" spans="1:8" s="701" customFormat="1" ht="15">
      <c r="A23" s="704" t="s">
        <v>30</v>
      </c>
      <c r="B23" s="705"/>
      <c r="C23" s="705"/>
      <c r="D23" s="705"/>
      <c r="E23" s="705"/>
      <c r="F23" s="705"/>
    </row>
    <row r="24" spans="1:8" s="701" customFormat="1" ht="15">
      <c r="A24" s="843">
        <f>'General(R)'!B83</f>
        <v>37987</v>
      </c>
      <c r="B24" s="720">
        <f>'General(R)'!C74</f>
        <v>3074</v>
      </c>
      <c r="C24" s="720">
        <f>'General(R)'!D74</f>
        <v>30955</v>
      </c>
      <c r="D24" s="720">
        <f>'General(R)'!E74</f>
        <v>15027</v>
      </c>
      <c r="E24" s="720">
        <f>'General(R)'!F74</f>
        <v>15822</v>
      </c>
      <c r="F24" s="720">
        <f>'General(R)'!G74</f>
        <v>795</v>
      </c>
    </row>
    <row r="25" spans="1:8" s="701" customFormat="1" ht="15">
      <c r="A25" s="843">
        <f>'General(R)'!B84</f>
        <v>38018</v>
      </c>
      <c r="B25" s="720">
        <f>'General(R)'!C75</f>
        <v>250</v>
      </c>
      <c r="C25" s="720">
        <f>'General(R)'!D75</f>
        <v>1094</v>
      </c>
      <c r="D25" s="720">
        <f>'General(R)'!E75</f>
        <v>433</v>
      </c>
      <c r="E25" s="720">
        <f>'General(R)'!F75</f>
        <v>568</v>
      </c>
      <c r="F25" s="720">
        <f>'General(R)'!G75</f>
        <v>135</v>
      </c>
    </row>
    <row r="26" spans="1:8" s="701" customFormat="1" ht="15">
      <c r="A26" s="843">
        <f>'General(R)'!B85</f>
        <v>38047</v>
      </c>
      <c r="B26" s="720">
        <f>'General(R)'!C76</f>
        <v>0</v>
      </c>
      <c r="C26" s="720">
        <f>'General(R)'!D76</f>
        <v>11</v>
      </c>
      <c r="D26" s="720">
        <f>'General(R)'!E76</f>
        <v>16</v>
      </c>
      <c r="E26" s="720">
        <f>'General(R)'!F76</f>
        <v>16</v>
      </c>
      <c r="F26" s="720">
        <f>'General(R)'!G76</f>
        <v>0</v>
      </c>
    </row>
    <row r="27" spans="1:8" s="701" customFormat="1" ht="15">
      <c r="A27" s="843">
        <f>'General(R)'!B86</f>
        <v>38140</v>
      </c>
      <c r="B27" s="708">
        <f>'General(R)'!C77</f>
        <v>0</v>
      </c>
      <c r="C27" s="709">
        <f>'General(R)'!D77</f>
        <v>0</v>
      </c>
      <c r="D27" s="708">
        <f>'General(R)'!E77</f>
        <v>0</v>
      </c>
      <c r="E27" s="709">
        <f>'General(R)'!F77</f>
        <v>0</v>
      </c>
      <c r="F27" s="721">
        <f>'General(R)'!G77</f>
        <v>0</v>
      </c>
    </row>
    <row r="28" spans="1:8" s="701" customFormat="1" ht="15.75">
      <c r="A28" s="713" t="s">
        <v>32</v>
      </c>
      <c r="B28" s="722">
        <f>'General(R)'!C78</f>
        <v>3324</v>
      </c>
      <c r="C28" s="722">
        <f>'General(R)'!D78</f>
        <v>32060</v>
      </c>
      <c r="D28" s="722">
        <f>'General(R)'!E78</f>
        <v>15476</v>
      </c>
      <c r="E28" s="722">
        <f>'General(R)'!F78</f>
        <v>16406</v>
      </c>
      <c r="F28" s="723">
        <f>'General(R)'!G78</f>
        <v>930</v>
      </c>
    </row>
    <row r="29" spans="1:8" s="701" customFormat="1" ht="15.75">
      <c r="A29" s="714"/>
      <c r="B29" s="724"/>
      <c r="C29" s="724"/>
      <c r="D29" s="724"/>
      <c r="E29" s="724"/>
      <c r="F29" s="725"/>
    </row>
    <row r="30" spans="1:8" s="701" customFormat="1" ht="15">
      <c r="A30" s="696" t="s">
        <v>160</v>
      </c>
      <c r="B30" s="95"/>
      <c r="C30" s="95" t="s">
        <v>170</v>
      </c>
      <c r="D30" s="95"/>
      <c r="E30" s="95"/>
      <c r="F30" s="95"/>
      <c r="G30" s="95"/>
      <c r="H30" s="695"/>
    </row>
    <row r="31" spans="1:8" s="701" customFormat="1" ht="15" ph="1">
      <c r="A31" s="696"/>
      <c r="B31" s="95"/>
      <c r="C31" s="95"/>
      <c r="D31" s="95"/>
      <c r="E31" s="95"/>
      <c r="F31" s="95"/>
      <c r="G31" s="95"/>
      <c r="H31" s="695"/>
    </row>
    <row r="32" spans="1:8" s="701" customFormat="1" ht="15.75">
      <c r="A32" s="726" t="s">
        <v>162</v>
      </c>
      <c r="B32" s="727"/>
      <c r="C32" s="728" t="s">
        <v>171</v>
      </c>
      <c r="D32" s="726"/>
      <c r="E32" s="726"/>
      <c r="F32" s="726"/>
      <c r="G32" s="505"/>
      <c r="H32" s="729"/>
    </row>
    <row r="33" spans="1:8" s="701" customFormat="1" ht="15.75">
      <c r="A33" s="730"/>
      <c r="B33" s="727"/>
      <c r="C33" s="728" t="s">
        <v>172</v>
      </c>
      <c r="D33" s="726"/>
      <c r="E33" s="726"/>
      <c r="F33" s="726"/>
      <c r="G33" s="505"/>
      <c r="H33" s="729"/>
    </row>
    <row r="34" spans="1:8" s="701" customFormat="1" ht="15.75">
      <c r="A34" s="730"/>
      <c r="B34" s="727"/>
      <c r="C34" s="728" t="s">
        <v>173</v>
      </c>
      <c r="D34" s="726"/>
      <c r="E34" s="726"/>
      <c r="F34" s="726"/>
      <c r="G34" s="505"/>
      <c r="H34" s="729"/>
    </row>
    <row r="35" spans="1:8" s="701" customFormat="1" ht="15.75">
      <c r="A35" s="714"/>
      <c r="B35" s="724"/>
      <c r="C35" s="724"/>
      <c r="D35" s="724"/>
      <c r="E35" s="724"/>
      <c r="F35" s="725"/>
    </row>
    <row r="36" spans="1:8" s="701" customFormat="1" ht="15">
      <c r="A36" s="698" t="s">
        <v>33</v>
      </c>
      <c r="B36" s="699" t="s">
        <v>34</v>
      </c>
      <c r="C36" s="700" t="s">
        <v>35</v>
      </c>
      <c r="D36" s="700" t="s">
        <v>166</v>
      </c>
      <c r="E36" s="700" t="s">
        <v>166</v>
      </c>
      <c r="F36" s="699" t="s">
        <v>122</v>
      </c>
      <c r="G36" s="699" t="s">
        <v>123</v>
      </c>
      <c r="H36" s="700" t="s">
        <v>40</v>
      </c>
    </row>
    <row r="37" spans="1:8" s="701" customFormat="1" ht="15">
      <c r="A37" s="702" t="s">
        <v>23</v>
      </c>
      <c r="B37" s="703" t="s">
        <v>41</v>
      </c>
      <c r="C37" s="703" t="s">
        <v>42</v>
      </c>
      <c r="D37" s="703" t="s">
        <v>168</v>
      </c>
      <c r="E37" s="703" t="s">
        <v>169</v>
      </c>
      <c r="F37" s="703" t="s">
        <v>42</v>
      </c>
      <c r="G37" s="703" t="s">
        <v>42</v>
      </c>
      <c r="H37" s="703" t="s">
        <v>28</v>
      </c>
    </row>
    <row r="38" spans="1:8" s="701" customFormat="1" ht="18">
      <c r="A38" s="704" t="s">
        <v>207</v>
      </c>
      <c r="B38" s="705"/>
      <c r="C38" s="705"/>
      <c r="D38" s="705"/>
      <c r="E38" s="705"/>
      <c r="F38" s="705"/>
      <c r="G38" s="705"/>
      <c r="H38" s="705"/>
    </row>
    <row r="39" spans="1:8" s="701" customFormat="1" ht="15">
      <c r="A39" s="844">
        <f>'General(R)'!B114</f>
        <v>37987</v>
      </c>
      <c r="B39" s="732">
        <f>'General(R)'!C128</f>
        <v>1762</v>
      </c>
      <c r="C39" s="732">
        <f>'General(R)'!D128</f>
        <v>1770</v>
      </c>
      <c r="D39" s="732">
        <f>'General(R)'!E128</f>
        <v>1790</v>
      </c>
      <c r="E39" s="732">
        <f>'General(R)'!F128</f>
        <v>1768</v>
      </c>
      <c r="F39" s="733">
        <f>'General(R)'!G128</f>
        <v>1782</v>
      </c>
      <c r="G39" s="732">
        <f>'General(R)'!H128</f>
        <v>1781</v>
      </c>
      <c r="H39" s="705">
        <f t="shared" ref="H39:H47" si="0">G39-B39</f>
        <v>19</v>
      </c>
    </row>
    <row r="40" spans="1:8" s="701" customFormat="1" ht="15">
      <c r="A40" s="844">
        <f>'General(R)'!B115</f>
        <v>38018</v>
      </c>
      <c r="B40" s="732">
        <f>'General(R)'!C129</f>
        <v>1739</v>
      </c>
      <c r="C40" s="732">
        <f>'General(R)'!D129</f>
        <v>1751</v>
      </c>
      <c r="D40" s="732">
        <f>'General(R)'!E129</f>
        <v>1760</v>
      </c>
      <c r="E40" s="732">
        <f>'General(R)'!F129</f>
        <v>1744</v>
      </c>
      <c r="F40" s="733">
        <f>'General(R)'!G129</f>
        <v>1754</v>
      </c>
      <c r="G40" s="732">
        <f>'General(R)'!H129</f>
        <v>1757</v>
      </c>
      <c r="H40" s="705">
        <f t="shared" si="0"/>
        <v>18</v>
      </c>
    </row>
    <row r="41" spans="1:8" s="701" customFormat="1" ht="15">
      <c r="A41" s="844">
        <f>'General(R)'!B116</f>
        <v>38047</v>
      </c>
      <c r="B41" s="732">
        <f>'General(R)'!C130</f>
        <v>1725</v>
      </c>
      <c r="C41" s="732">
        <f>'General(R)'!D130</f>
        <v>1734</v>
      </c>
      <c r="D41" s="732">
        <f>'General(R)'!E130</f>
        <v>1746</v>
      </c>
      <c r="E41" s="732">
        <f>'General(R)'!F130</f>
        <v>1723</v>
      </c>
      <c r="F41" s="733">
        <f>'General(R)'!G130</f>
        <v>1736</v>
      </c>
      <c r="G41" s="732">
        <f>'General(R)'!H130</f>
        <v>1733</v>
      </c>
      <c r="H41" s="705">
        <f t="shared" si="0"/>
        <v>8</v>
      </c>
    </row>
    <row r="42" spans="1:8" s="701" customFormat="1" ht="15">
      <c r="A42" s="844">
        <f>'General(R)'!B117</f>
        <v>38079</v>
      </c>
      <c r="B42" s="732">
        <f>'General(R)'!C131</f>
        <v>1703</v>
      </c>
      <c r="C42" s="732">
        <f>'General(R)'!D131</f>
        <v>1713</v>
      </c>
      <c r="D42" s="732">
        <f>'General(R)'!E131</f>
        <v>1728</v>
      </c>
      <c r="E42" s="732">
        <f>'General(R)'!F131</f>
        <v>1703</v>
      </c>
      <c r="F42" s="733">
        <f>'General(R)'!G131</f>
        <v>1717</v>
      </c>
      <c r="G42" s="732">
        <f>'General(R)'!H131</f>
        <v>1712</v>
      </c>
      <c r="H42" s="705">
        <f t="shared" si="0"/>
        <v>9</v>
      </c>
    </row>
    <row r="43" spans="1:8" s="701" customFormat="1" ht="15">
      <c r="A43" s="844">
        <f>'General(R)'!B118</f>
        <v>38108</v>
      </c>
      <c r="B43" s="732">
        <f>'General(R)'!C132</f>
        <v>1690</v>
      </c>
      <c r="C43" s="732">
        <f>'General(R)'!D132</f>
        <v>1705</v>
      </c>
      <c r="D43" s="732">
        <f>'General(R)'!E132</f>
        <v>1715</v>
      </c>
      <c r="E43" s="732">
        <f>'General(R)'!F132</f>
        <v>1692</v>
      </c>
      <c r="F43" s="733">
        <f>'General(R)'!G132</f>
        <v>1703</v>
      </c>
      <c r="G43" s="732">
        <f>'General(R)'!H132</f>
        <v>1700</v>
      </c>
      <c r="H43" s="705">
        <f t="shared" si="0"/>
        <v>10</v>
      </c>
    </row>
    <row r="44" spans="1:8" s="701" customFormat="1" ht="15">
      <c r="A44" s="844">
        <f>'General(R)'!B119</f>
        <v>38140</v>
      </c>
      <c r="B44" s="732">
        <f>'General(R)'!C133</f>
        <v>1680</v>
      </c>
      <c r="C44" s="732">
        <f>'General(R)'!D133</f>
        <v>1690</v>
      </c>
      <c r="D44" s="732">
        <f>'General(R)'!E133</f>
        <v>1703</v>
      </c>
      <c r="E44" s="732">
        <f>'General(R)'!F133</f>
        <v>1690</v>
      </c>
      <c r="F44" s="733">
        <f>'General(R)'!G133</f>
        <v>1699</v>
      </c>
      <c r="G44" s="732">
        <f>'General(R)'!H133</f>
        <v>1693</v>
      </c>
      <c r="H44" s="705">
        <f t="shared" si="0"/>
        <v>13</v>
      </c>
    </row>
    <row r="45" spans="1:8" s="701" customFormat="1" ht="15">
      <c r="A45" s="844">
        <f>'General(R)'!B120</f>
        <v>38169</v>
      </c>
      <c r="B45" s="732">
        <f>'General(R)'!C134</f>
        <v>1671</v>
      </c>
      <c r="C45" s="732">
        <f>'General(R)'!D134</f>
        <v>0</v>
      </c>
      <c r="D45" s="732">
        <f>'General(R)'!E134</f>
        <v>0</v>
      </c>
      <c r="E45" s="732">
        <f>'General(R)'!F134</f>
        <v>0</v>
      </c>
      <c r="F45" s="733">
        <f>'General(R)'!G134</f>
        <v>0</v>
      </c>
      <c r="G45" s="732">
        <f>'General(R)'!H134</f>
        <v>1684</v>
      </c>
      <c r="H45" s="705">
        <f t="shared" si="0"/>
        <v>13</v>
      </c>
    </row>
    <row r="46" spans="1:8" s="701" customFormat="1" ht="15">
      <c r="A46" s="844">
        <f>'General(R)'!B121</f>
        <v>38232</v>
      </c>
      <c r="B46" s="732">
        <f>'General(R)'!C135</f>
        <v>1655</v>
      </c>
      <c r="C46" s="732">
        <f>'General(R)'!D135</f>
        <v>0</v>
      </c>
      <c r="D46" s="732">
        <f>'General(R)'!E135</f>
        <v>0</v>
      </c>
      <c r="E46" s="732">
        <f>'General(R)'!F135</f>
        <v>0</v>
      </c>
      <c r="F46" s="733">
        <f>'General(R)'!G135</f>
        <v>0</v>
      </c>
      <c r="G46" s="732">
        <f>'General(R)'!H135</f>
        <v>1668</v>
      </c>
      <c r="H46" s="705">
        <f t="shared" si="0"/>
        <v>13</v>
      </c>
    </row>
    <row r="47" spans="1:8" s="701" customFormat="1" ht="15">
      <c r="A47" s="844">
        <f>'General(R)'!B122</f>
        <v>38293</v>
      </c>
      <c r="B47" s="732">
        <f>'General(R)'!C136</f>
        <v>1655</v>
      </c>
      <c r="C47" s="732">
        <f>'General(R)'!D136</f>
        <v>0</v>
      </c>
      <c r="D47" s="732">
        <f>'General(R)'!E136</f>
        <v>0</v>
      </c>
      <c r="E47" s="732">
        <f>'General(R)'!F136</f>
        <v>0</v>
      </c>
      <c r="F47" s="733">
        <f>'General(R)'!G136</f>
        <v>0</v>
      </c>
      <c r="G47" s="732">
        <f>'General(R)'!H136</f>
        <v>1668</v>
      </c>
      <c r="H47" s="705">
        <f t="shared" si="0"/>
        <v>13</v>
      </c>
    </row>
    <row r="48" spans="1:8" s="701" customFormat="1" ht="15.75">
      <c r="A48" s="714"/>
      <c r="B48" s="724"/>
      <c r="C48" s="724"/>
      <c r="D48" s="724"/>
      <c r="E48" s="724"/>
      <c r="F48" s="725"/>
    </row>
    <row r="49" spans="1:7" s="701" customFormat="1" ht="18">
      <c r="A49" s="698" t="s">
        <v>33</v>
      </c>
      <c r="B49" s="717" t="s">
        <v>21</v>
      </c>
      <c r="C49" s="717"/>
      <c r="D49" s="717" t="s">
        <v>281</v>
      </c>
      <c r="E49" s="717"/>
      <c r="F49" s="717"/>
    </row>
    <row r="50" spans="1:7" s="701" customFormat="1" ht="18">
      <c r="A50" s="702" t="s">
        <v>23</v>
      </c>
      <c r="B50" s="718" t="s">
        <v>24</v>
      </c>
      <c r="C50" s="719" t="s">
        <v>279</v>
      </c>
      <c r="D50" s="718" t="s">
        <v>26</v>
      </c>
      <c r="E50" s="718" t="s">
        <v>27</v>
      </c>
      <c r="F50" s="718" t="s">
        <v>28</v>
      </c>
    </row>
    <row r="51" spans="1:7" s="701" customFormat="1" ht="15">
      <c r="A51" s="704" t="s">
        <v>129</v>
      </c>
      <c r="B51" s="705"/>
      <c r="C51" s="705"/>
      <c r="D51" s="705"/>
      <c r="E51" s="705"/>
      <c r="F51" s="705"/>
    </row>
    <row r="52" spans="1:7" s="701" customFormat="1" ht="15">
      <c r="A52" s="845">
        <f t="shared" ref="A52:A60" si="1">A39</f>
        <v>37987</v>
      </c>
      <c r="B52" s="734">
        <f>'General(R)'!C114</f>
        <v>202</v>
      </c>
      <c r="C52" s="736">
        <f>'General(R)'!D114</f>
        <v>2825</v>
      </c>
      <c r="D52" s="734">
        <f>'General(R)'!E114</f>
        <v>1100</v>
      </c>
      <c r="E52" s="734">
        <f>'General(R)'!F114</f>
        <v>994</v>
      </c>
      <c r="F52" s="735">
        <f>'General(R)'!G114</f>
        <v>-106</v>
      </c>
    </row>
    <row r="53" spans="1:7" s="701" customFormat="1" ht="15">
      <c r="A53" s="845">
        <f t="shared" si="1"/>
        <v>38018</v>
      </c>
      <c r="B53" s="734">
        <f>'General(R)'!C115</f>
        <v>432</v>
      </c>
      <c r="C53" s="736">
        <f>'General(R)'!D115</f>
        <v>3608</v>
      </c>
      <c r="D53" s="734">
        <f>'General(R)'!E115</f>
        <v>6214</v>
      </c>
      <c r="E53" s="734">
        <f>'General(R)'!F115</f>
        <v>6152</v>
      </c>
      <c r="F53" s="735">
        <f>'General(R)'!G115</f>
        <v>-62</v>
      </c>
    </row>
    <row r="54" spans="1:7" s="701" customFormat="1" ht="15">
      <c r="A54" s="845">
        <f t="shared" si="1"/>
        <v>38047</v>
      </c>
      <c r="B54" s="734">
        <f>'General(R)'!C116</f>
        <v>2244</v>
      </c>
      <c r="C54" s="736">
        <f>'General(R)'!D116</f>
        <v>23464</v>
      </c>
      <c r="D54" s="734">
        <f>'General(R)'!E116</f>
        <v>9346</v>
      </c>
      <c r="E54" s="734">
        <f>'General(R)'!F116</f>
        <v>9412</v>
      </c>
      <c r="F54" s="735">
        <f>'General(R)'!G116</f>
        <v>66</v>
      </c>
    </row>
    <row r="55" spans="1:7" s="701" customFormat="1" ht="15">
      <c r="A55" s="845">
        <f t="shared" si="1"/>
        <v>38079</v>
      </c>
      <c r="B55" s="734">
        <f>'General(R)'!C117</f>
        <v>711</v>
      </c>
      <c r="C55" s="736">
        <f>'General(R)'!D117</f>
        <v>5168</v>
      </c>
      <c r="D55" s="734">
        <f>'General(R)'!E117</f>
        <v>2689</v>
      </c>
      <c r="E55" s="734">
        <f>'General(R)'!F117</f>
        <v>2734</v>
      </c>
      <c r="F55" s="735">
        <f>'General(R)'!G117</f>
        <v>45</v>
      </c>
    </row>
    <row r="56" spans="1:7" s="701" customFormat="1" ht="15">
      <c r="A56" s="845">
        <f t="shared" si="1"/>
        <v>38108</v>
      </c>
      <c r="B56" s="734">
        <f>'General(R)'!C118</f>
        <v>203</v>
      </c>
      <c r="C56" s="736">
        <f>'General(R)'!D118</f>
        <v>1074</v>
      </c>
      <c r="D56" s="734">
        <f>'General(R)'!E118</f>
        <v>1052</v>
      </c>
      <c r="E56" s="734">
        <f>'General(R)'!F118</f>
        <v>1185</v>
      </c>
      <c r="F56" s="735">
        <f>'General(R)'!G118</f>
        <v>133</v>
      </c>
    </row>
    <row r="57" spans="1:7" s="701" customFormat="1" ht="15">
      <c r="A57" s="845">
        <f t="shared" si="1"/>
        <v>38140</v>
      </c>
      <c r="B57" s="734">
        <v>0</v>
      </c>
      <c r="C57" s="736">
        <v>0</v>
      </c>
      <c r="D57" s="734">
        <v>0</v>
      </c>
      <c r="E57" s="734">
        <v>0</v>
      </c>
      <c r="F57" s="1212">
        <f>'General(R)'!G119</f>
        <v>10</v>
      </c>
    </row>
    <row r="58" spans="1:7" s="701" customFormat="1" ht="15">
      <c r="A58" s="845">
        <f t="shared" si="1"/>
        <v>38169</v>
      </c>
      <c r="B58" s="734">
        <f>'General(R)'!C120</f>
        <v>0</v>
      </c>
      <c r="C58" s="736">
        <f>'General(R)'!D120</f>
        <v>25</v>
      </c>
      <c r="D58" s="734">
        <f>'General(R)'!E120</f>
        <v>136</v>
      </c>
      <c r="E58" s="734">
        <f>'General(R)'!F120</f>
        <v>136</v>
      </c>
      <c r="F58" s="1212">
        <f>'General(R)'!G120</f>
        <v>0</v>
      </c>
    </row>
    <row r="59" spans="1:7" s="701" customFormat="1" ht="15">
      <c r="A59" s="845">
        <f t="shared" si="1"/>
        <v>38232</v>
      </c>
      <c r="B59" s="734">
        <f>'General(R)'!C121</f>
        <v>0</v>
      </c>
      <c r="C59" s="736">
        <f>'General(R)'!D121</f>
        <v>0</v>
      </c>
      <c r="D59" s="734">
        <f>'General(R)'!E121</f>
        <v>70</v>
      </c>
      <c r="E59" s="734">
        <f>'General(R)'!F121</f>
        <v>70</v>
      </c>
      <c r="F59" s="1212">
        <f>'General(R)'!G121</f>
        <v>0</v>
      </c>
    </row>
    <row r="60" spans="1:7" s="701" customFormat="1" ht="15">
      <c r="A60" s="845">
        <f t="shared" si="1"/>
        <v>38293</v>
      </c>
      <c r="B60" s="734">
        <f>'General(R)'!C122</f>
        <v>0</v>
      </c>
      <c r="C60" s="736">
        <f>'General(R)'!D122</f>
        <v>0</v>
      </c>
      <c r="D60" s="734">
        <f>'General(R)'!E122</f>
        <v>0</v>
      </c>
      <c r="E60" s="734">
        <f>'General(R)'!F122</f>
        <v>0</v>
      </c>
      <c r="F60" s="1212">
        <v>0</v>
      </c>
    </row>
    <row r="61" spans="1:7" s="701" customFormat="1" ht="15.75">
      <c r="A61" s="713" t="s">
        <v>32</v>
      </c>
      <c r="B61" s="722">
        <f>'General(R)'!C123</f>
        <v>3867</v>
      </c>
      <c r="C61" s="722">
        <f>'General(R)'!D123</f>
        <v>36436</v>
      </c>
      <c r="D61" s="722">
        <f>'General(R)'!E123</f>
        <v>21067</v>
      </c>
      <c r="E61" s="722">
        <f>'General(R)'!F123</f>
        <v>21153</v>
      </c>
      <c r="F61" s="722">
        <f>'General(R)'!G123</f>
        <v>86</v>
      </c>
    </row>
    <row r="62" spans="1:7" s="701" customFormat="1" ht="15.75">
      <c r="A62" s="714"/>
      <c r="B62" s="724"/>
      <c r="C62" s="724"/>
      <c r="D62" s="724"/>
      <c r="E62" s="724"/>
      <c r="F62" s="725"/>
    </row>
    <row r="63" spans="1:7" s="701" customFormat="1" ht="15" ph="1">
      <c r="A63" s="696" t="s">
        <v>160</v>
      </c>
      <c r="B63" s="95"/>
      <c r="C63" s="95" t="s">
        <v>174</v>
      </c>
      <c r="D63" s="95"/>
      <c r="E63" s="95"/>
      <c r="F63" s="95"/>
      <c r="G63" s="95"/>
    </row>
    <row r="64" spans="1:7" s="701" customFormat="1" ht="15">
      <c r="A64" s="696"/>
      <c r="B64" s="95"/>
      <c r="C64" s="95"/>
      <c r="D64" s="95"/>
      <c r="E64" s="95"/>
      <c r="F64" s="95"/>
      <c r="G64" s="95"/>
    </row>
    <row r="65" spans="1:8" s="701" customFormat="1" ht="15.75">
      <c r="A65" s="726" t="s">
        <v>162</v>
      </c>
      <c r="B65" s="727"/>
      <c r="C65" s="728" t="s">
        <v>175</v>
      </c>
      <c r="D65" s="726"/>
      <c r="E65" s="726"/>
      <c r="F65" s="726"/>
      <c r="G65" s="505"/>
      <c r="H65" s="729"/>
    </row>
    <row r="66" spans="1:8" s="701" customFormat="1" ht="15.75">
      <c r="A66" s="730"/>
      <c r="B66" s="727"/>
      <c r="C66" s="728" t="s">
        <v>176</v>
      </c>
      <c r="D66" s="726"/>
      <c r="E66" s="726"/>
      <c r="F66" s="726"/>
      <c r="G66" s="505"/>
      <c r="H66" s="729"/>
    </row>
    <row r="67" spans="1:8" s="701" customFormat="1" ht="15.75">
      <c r="A67" s="730"/>
      <c r="B67" s="727"/>
      <c r="C67" s="728" t="s">
        <v>173</v>
      </c>
      <c r="D67" s="726"/>
      <c r="E67" s="726"/>
      <c r="F67" s="726"/>
      <c r="G67" s="505"/>
      <c r="H67" s="729"/>
    </row>
    <row r="68" spans="1:8" s="701" customFormat="1" ht="15.75">
      <c r="A68" s="714"/>
      <c r="B68" s="724"/>
      <c r="C68" s="724"/>
      <c r="D68" s="724"/>
      <c r="E68" s="724"/>
      <c r="F68" s="725"/>
    </row>
    <row r="69" spans="1:8" s="701" customFormat="1" ht="18">
      <c r="A69" s="698" t="s">
        <v>33</v>
      </c>
      <c r="B69" s="699" t="s">
        <v>34</v>
      </c>
      <c r="C69" s="700" t="s">
        <v>35</v>
      </c>
      <c r="D69" s="700" t="s">
        <v>166</v>
      </c>
      <c r="E69" s="700" t="s">
        <v>166</v>
      </c>
      <c r="F69" s="699" t="s">
        <v>205</v>
      </c>
      <c r="G69" s="700" t="s">
        <v>40</v>
      </c>
    </row>
    <row r="70" spans="1:8" s="701" customFormat="1" ht="15">
      <c r="A70" s="702" t="s">
        <v>23</v>
      </c>
      <c r="B70" s="703" t="s">
        <v>41</v>
      </c>
      <c r="C70" s="703" t="s">
        <v>42</v>
      </c>
      <c r="D70" s="703" t="s">
        <v>168</v>
      </c>
      <c r="E70" s="703" t="s">
        <v>169</v>
      </c>
      <c r="F70" s="703" t="s">
        <v>42</v>
      </c>
      <c r="G70" s="703" t="s">
        <v>28</v>
      </c>
    </row>
    <row r="71" spans="1:8" s="701" customFormat="1" ht="18">
      <c r="A71" s="704" t="s">
        <v>208</v>
      </c>
      <c r="B71" s="705"/>
      <c r="C71" s="705"/>
      <c r="D71" s="705"/>
      <c r="E71" s="705"/>
      <c r="F71" s="705"/>
      <c r="G71" s="705"/>
    </row>
    <row r="72" spans="1:8" s="701" customFormat="1" ht="15">
      <c r="A72" s="844">
        <f>'General(R)'!B169</f>
        <v>37987</v>
      </c>
      <c r="B72" s="737">
        <f>'General(R)'!C169</f>
        <v>96.99</v>
      </c>
      <c r="C72" s="737">
        <f>'General(R)'!D169</f>
        <v>0</v>
      </c>
      <c r="D72" s="737">
        <f>'General(R)'!E169</f>
        <v>0</v>
      </c>
      <c r="E72" s="737">
        <f>'General(R)'!F169</f>
        <v>0</v>
      </c>
      <c r="F72" s="737">
        <f>'General(R)'!G169</f>
        <v>96.99</v>
      </c>
      <c r="G72" s="738">
        <f>'General(R)'!H169</f>
        <v>0</v>
      </c>
    </row>
    <row r="73" spans="1:8" s="701" customFormat="1" ht="15">
      <c r="A73" s="844">
        <f>'General(R)'!B170</f>
        <v>38019</v>
      </c>
      <c r="B73" s="737">
        <f>'General(R)'!C170</f>
        <v>96.99</v>
      </c>
      <c r="C73" s="737">
        <f>'General(R)'!D170</f>
        <v>0</v>
      </c>
      <c r="D73" s="737">
        <f>'General(R)'!E170</f>
        <v>0</v>
      </c>
      <c r="E73" s="737">
        <f>'General(R)'!F170</f>
        <v>0</v>
      </c>
      <c r="F73" s="737">
        <f>'General(R)'!G170</f>
        <v>96.99</v>
      </c>
      <c r="G73" s="738">
        <f>'General(R)'!H170</f>
        <v>0</v>
      </c>
    </row>
    <row r="74" spans="1:8" s="701" customFormat="1" ht="15">
      <c r="A74" s="844">
        <f>'General(R)'!B171</f>
        <v>38047</v>
      </c>
      <c r="B74" s="737">
        <f>'General(R)'!C171</f>
        <v>96.97</v>
      </c>
      <c r="C74" s="737">
        <f>'General(R)'!D171</f>
        <v>0</v>
      </c>
      <c r="D74" s="737">
        <f>'General(R)'!E171</f>
        <v>0</v>
      </c>
      <c r="E74" s="737">
        <f>'General(R)'!F171</f>
        <v>0</v>
      </c>
      <c r="F74" s="737">
        <f>'General(R)'!G171</f>
        <v>96.97</v>
      </c>
      <c r="G74" s="738">
        <f>'General(R)'!H171</f>
        <v>0</v>
      </c>
    </row>
    <row r="75" spans="1:8" s="701" customFormat="1" ht="15">
      <c r="A75" s="844">
        <f>'General(R)'!B172</f>
        <v>38139</v>
      </c>
      <c r="B75" s="737">
        <f>'General(R)'!C172</f>
        <v>96.94</v>
      </c>
      <c r="C75" s="737">
        <f>'General(R)'!D172</f>
        <v>96.94</v>
      </c>
      <c r="D75" s="737">
        <f>'General(R)'!E172</f>
        <v>96.94</v>
      </c>
      <c r="E75" s="737">
        <f>'General(R)'!F172</f>
        <v>96.94</v>
      </c>
      <c r="F75" s="737">
        <f>'General(R)'!G172</f>
        <v>96.94</v>
      </c>
      <c r="G75" s="738">
        <f>'General(R)'!H172</f>
        <v>0</v>
      </c>
    </row>
    <row r="76" spans="1:8" s="701" customFormat="1" ht="15">
      <c r="A76" s="844">
        <f>'General(R)'!B173</f>
        <v>38231</v>
      </c>
      <c r="B76" s="737">
        <f>'General(R)'!C173</f>
        <v>96.86</v>
      </c>
      <c r="C76" s="737">
        <f>'General(R)'!D173</f>
        <v>96.86</v>
      </c>
      <c r="D76" s="737">
        <f>'General(R)'!E173</f>
        <v>96.86</v>
      </c>
      <c r="E76" s="737">
        <f>'General(R)'!F173</f>
        <v>96.86</v>
      </c>
      <c r="F76" s="737">
        <f>'General(R)'!G173</f>
        <v>96.86</v>
      </c>
      <c r="G76" s="738">
        <f>'General(R)'!H173</f>
        <v>0</v>
      </c>
    </row>
    <row r="77" spans="1:8" s="701" customFormat="1" ht="15">
      <c r="A77" s="844">
        <f>'General(R)'!B174</f>
        <v>38322</v>
      </c>
      <c r="B77" s="737">
        <f>'General(R)'!C174</f>
        <v>96.75</v>
      </c>
      <c r="C77" s="737">
        <f>'General(R)'!D174</f>
        <v>96.7</v>
      </c>
      <c r="D77" s="737">
        <f>'General(R)'!E174</f>
        <v>96.7</v>
      </c>
      <c r="E77" s="737">
        <f>'General(R)'!F174</f>
        <v>96.7</v>
      </c>
      <c r="F77" s="737">
        <f>'General(R)'!G174</f>
        <v>96.7</v>
      </c>
      <c r="G77" s="738">
        <f>'General(R)'!H174</f>
        <v>-4.9999999999997158E-2</v>
      </c>
    </row>
    <row r="78" spans="1:8" s="701" customFormat="1" ht="15">
      <c r="A78" s="844">
        <f>'General(R)'!B175</f>
        <v>38412</v>
      </c>
      <c r="B78" s="737">
        <f>'General(R)'!C175</f>
        <v>96.55</v>
      </c>
      <c r="C78" s="737">
        <f>'General(R)'!D175</f>
        <v>96.55</v>
      </c>
      <c r="D78" s="737">
        <f>'General(R)'!E175</f>
        <v>96.55</v>
      </c>
      <c r="E78" s="737">
        <f>'General(R)'!F175</f>
        <v>96.5</v>
      </c>
      <c r="F78" s="737">
        <f>'General(R)'!G175</f>
        <v>96.5</v>
      </c>
      <c r="G78" s="738">
        <f>'General(R)'!H175</f>
        <v>-4.9999999999997158E-2</v>
      </c>
    </row>
    <row r="79" spans="1:8" s="701" customFormat="1" ht="15">
      <c r="A79" s="844">
        <f>'General(R)'!B176</f>
        <v>38504</v>
      </c>
      <c r="B79" s="737">
        <f>'General(R)'!C176</f>
        <v>96.42</v>
      </c>
      <c r="C79" s="737">
        <f>'General(R)'!D176</f>
        <v>96.45</v>
      </c>
      <c r="D79" s="737">
        <f>'General(R)'!E176</f>
        <v>96.45</v>
      </c>
      <c r="E79" s="737">
        <f>'General(R)'!F176</f>
        <v>96.45</v>
      </c>
      <c r="F79" s="737">
        <f>'General(R)'!G176</f>
        <v>96.37</v>
      </c>
      <c r="G79" s="738">
        <f>'General(R)'!H176</f>
        <v>-4.9999999999997158E-2</v>
      </c>
    </row>
    <row r="80" spans="1:8" s="701" customFormat="1" ht="15">
      <c r="A80" s="844">
        <f>'General(R)'!B177</f>
        <v>38596</v>
      </c>
      <c r="B80" s="737">
        <f>'General(R)'!C177</f>
        <v>96.02</v>
      </c>
      <c r="C80" s="737">
        <f>'General(R)'!D177</f>
        <v>96.12</v>
      </c>
      <c r="D80" s="737">
        <f>'General(R)'!E177</f>
        <v>96.12</v>
      </c>
      <c r="E80" s="737">
        <f>'General(R)'!F177</f>
        <v>96.12</v>
      </c>
      <c r="F80" s="737">
        <f>'General(R)'!G177</f>
        <v>96.02</v>
      </c>
      <c r="G80" s="738">
        <f>'General(R)'!H177</f>
        <v>0</v>
      </c>
    </row>
    <row r="81" spans="1:7" s="701" customFormat="1" ht="15">
      <c r="A81" s="844">
        <f>'General(R)'!B178</f>
        <v>38687</v>
      </c>
      <c r="B81" s="737">
        <f>'General(R)'!C178</f>
        <v>95.85</v>
      </c>
      <c r="C81" s="737">
        <f>'General(R)'!D178</f>
        <v>95.95</v>
      </c>
      <c r="D81" s="737">
        <f>'General(R)'!E178</f>
        <v>95.95</v>
      </c>
      <c r="E81" s="737">
        <f>'General(R)'!F178</f>
        <v>95.95</v>
      </c>
      <c r="F81" s="737">
        <f>'General(R)'!G178</f>
        <v>95.85</v>
      </c>
      <c r="G81" s="738">
        <f>'General(R)'!H178</f>
        <v>0</v>
      </c>
    </row>
    <row r="82" spans="1:7" s="701" customFormat="1" ht="15">
      <c r="A82" s="844">
        <f>'General(R)'!B179</f>
        <v>38777</v>
      </c>
      <c r="B82" s="737">
        <f>'General(R)'!C179</f>
        <v>95.75</v>
      </c>
      <c r="C82" s="737">
        <f>'General(R)'!D179</f>
        <v>95.8</v>
      </c>
      <c r="D82" s="737">
        <f>'General(R)'!E179</f>
        <v>95.85</v>
      </c>
      <c r="E82" s="737">
        <f>'General(R)'!F179</f>
        <v>95.8</v>
      </c>
      <c r="F82" s="737">
        <f>'General(R)'!G179</f>
        <v>95.76</v>
      </c>
      <c r="G82" s="738">
        <f>'General(R)'!H179</f>
        <v>1.0000000000005116E-2</v>
      </c>
    </row>
    <row r="83" spans="1:7" s="701" customFormat="1" ht="15">
      <c r="A83" s="844">
        <f>'General(R)'!B180</f>
        <v>38869</v>
      </c>
      <c r="B83" s="737">
        <f>'General(R)'!C180</f>
        <v>95.55</v>
      </c>
      <c r="C83" s="737">
        <f>'General(R)'!D180</f>
        <v>95.62</v>
      </c>
      <c r="D83" s="737">
        <f>'General(R)'!E180</f>
        <v>95.65</v>
      </c>
      <c r="E83" s="737">
        <f>'General(R)'!F180</f>
        <v>95.58</v>
      </c>
      <c r="F83" s="737">
        <f>'General(R)'!G180</f>
        <v>95.58</v>
      </c>
      <c r="G83" s="738">
        <f>'General(R)'!H180</f>
        <v>3.0000000000001137E-2</v>
      </c>
    </row>
    <row r="84" spans="1:7" s="701" customFormat="1" ht="15">
      <c r="A84" s="844">
        <f>'General(R)'!B181</f>
        <v>38961</v>
      </c>
      <c r="B84" s="737">
        <f>'General(R)'!C181</f>
        <v>95.31</v>
      </c>
      <c r="C84" s="737">
        <f>'General(R)'!D181</f>
        <v>0</v>
      </c>
      <c r="D84" s="737">
        <f>'General(R)'!E181</f>
        <v>0</v>
      </c>
      <c r="E84" s="737">
        <f>'General(R)'!F181</f>
        <v>0</v>
      </c>
      <c r="F84" s="737">
        <f>'General(R)'!G181</f>
        <v>95.34</v>
      </c>
      <c r="G84" s="738">
        <f>'General(R)'!H181</f>
        <v>3.0000000000001137E-2</v>
      </c>
    </row>
    <row r="85" spans="1:7" s="701" customFormat="1" ht="15">
      <c r="A85" s="844">
        <f>'General(R)'!B182</f>
        <v>39052</v>
      </c>
      <c r="B85" s="737">
        <f>'General(R)'!C182</f>
        <v>95.09</v>
      </c>
      <c r="C85" s="737">
        <f>'General(R)'!D182</f>
        <v>95.19</v>
      </c>
      <c r="D85" s="737">
        <f>'General(R)'!E182</f>
        <v>95.19</v>
      </c>
      <c r="E85" s="737">
        <f>'General(R)'!F182</f>
        <v>95.09</v>
      </c>
      <c r="F85" s="737">
        <f>'General(R)'!G182</f>
        <v>95.09</v>
      </c>
      <c r="G85" s="738">
        <f>'General(R)'!H182</f>
        <v>0</v>
      </c>
    </row>
    <row r="86" spans="1:7" s="701" customFormat="1" ht="15">
      <c r="A86" s="844">
        <f>'General(R)'!B183</f>
        <v>39142</v>
      </c>
      <c r="B86" s="737">
        <f>'General(R)'!C183</f>
        <v>94.98</v>
      </c>
      <c r="C86" s="737">
        <f>'General(R)'!D183</f>
        <v>95.08</v>
      </c>
      <c r="D86" s="737">
        <f>'General(R)'!E183</f>
        <v>95.08</v>
      </c>
      <c r="E86" s="737">
        <f>'General(R)'!F183</f>
        <v>95.08</v>
      </c>
      <c r="F86" s="737">
        <f>'General(R)'!G183</f>
        <v>94.98</v>
      </c>
      <c r="G86" s="738">
        <f>'General(R)'!H183</f>
        <v>0</v>
      </c>
    </row>
    <row r="87" spans="1:7" s="701" customFormat="1" ht="15">
      <c r="A87" s="844">
        <f>'General(R)'!B184</f>
        <v>39234</v>
      </c>
      <c r="B87" s="737">
        <f>'General(R)'!C184</f>
        <v>94.8</v>
      </c>
      <c r="C87" s="737">
        <f>'General(R)'!D184</f>
        <v>0</v>
      </c>
      <c r="D87" s="737">
        <f>'General(R)'!E184</f>
        <v>0</v>
      </c>
      <c r="E87" s="737">
        <f>'General(R)'!F184</f>
        <v>0</v>
      </c>
      <c r="F87" s="737">
        <f>'General(R)'!G184</f>
        <v>94.8</v>
      </c>
      <c r="G87" s="738">
        <f>'General(R)'!H184</f>
        <v>0</v>
      </c>
    </row>
    <row r="88" spans="1:7" s="701" customFormat="1" ht="15">
      <c r="A88" s="844">
        <f>'General(R)'!B185</f>
        <v>39326</v>
      </c>
      <c r="B88" s="737">
        <f>'General(R)'!C185</f>
        <v>94.55</v>
      </c>
      <c r="C88" s="737">
        <f>'General(R)'!D185</f>
        <v>0</v>
      </c>
      <c r="D88" s="737">
        <f>'General(R)'!E185</f>
        <v>0</v>
      </c>
      <c r="E88" s="737">
        <f>'General(R)'!F185</f>
        <v>0</v>
      </c>
      <c r="F88" s="737">
        <f>'General(R)'!G185</f>
        <v>94.55</v>
      </c>
      <c r="G88" s="738">
        <f>'General(R)'!H185</f>
        <v>0</v>
      </c>
    </row>
    <row r="89" spans="1:7" s="701" customFormat="1" ht="15">
      <c r="A89" s="844">
        <f>'General(R)'!B186</f>
        <v>39417</v>
      </c>
      <c r="B89" s="737">
        <f>'General(R)'!C186</f>
        <v>94.41</v>
      </c>
      <c r="C89" s="737">
        <f>'General(R)'!D186</f>
        <v>0</v>
      </c>
      <c r="D89" s="737">
        <f>'General(R)'!E186</f>
        <v>0</v>
      </c>
      <c r="E89" s="737">
        <f>'General(R)'!F186</f>
        <v>0</v>
      </c>
      <c r="F89" s="737">
        <f>'General(R)'!G186</f>
        <v>94.41</v>
      </c>
      <c r="G89" s="738">
        <f>'General(R)'!H186</f>
        <v>0</v>
      </c>
    </row>
    <row r="90" spans="1:7" s="701" customFormat="1" ht="15">
      <c r="A90" s="844">
        <f>'General(R)'!B187</f>
        <v>39508</v>
      </c>
      <c r="B90" s="737">
        <f>'General(R)'!C187</f>
        <v>94.21</v>
      </c>
      <c r="C90" s="737">
        <f>'General(R)'!D187</f>
        <v>0</v>
      </c>
      <c r="D90" s="737">
        <f>'General(R)'!E187</f>
        <v>0</v>
      </c>
      <c r="E90" s="737">
        <f>'General(R)'!F187</f>
        <v>0</v>
      </c>
      <c r="F90" s="737">
        <f>'General(R)'!G187</f>
        <v>94.21</v>
      </c>
      <c r="G90" s="738">
        <f>'General(R)'!H187</f>
        <v>0</v>
      </c>
    </row>
    <row r="91" spans="1:7" s="701" customFormat="1" ht="15">
      <c r="A91" s="844">
        <f>'General(R)'!B188</f>
        <v>39600</v>
      </c>
      <c r="B91" s="737">
        <f>'General(R)'!C188</f>
        <v>94.04</v>
      </c>
      <c r="C91" s="737">
        <f>'General(R)'!D188</f>
        <v>0</v>
      </c>
      <c r="D91" s="737">
        <f>'General(R)'!E188</f>
        <v>0</v>
      </c>
      <c r="E91" s="737">
        <f>'General(R)'!F188</f>
        <v>0</v>
      </c>
      <c r="F91" s="737">
        <f>'General(R)'!G188</f>
        <v>94.04</v>
      </c>
      <c r="G91" s="738">
        <f>'General(R)'!H188</f>
        <v>0</v>
      </c>
    </row>
    <row r="92" spans="1:7" s="701" customFormat="1" ht="15">
      <c r="A92" s="844">
        <f>'General(R)'!B189</f>
        <v>39692</v>
      </c>
      <c r="B92" s="737">
        <f>'General(R)'!C189</f>
        <v>93.84</v>
      </c>
      <c r="C92" s="737">
        <f>'General(R)'!D189</f>
        <v>0</v>
      </c>
      <c r="D92" s="737">
        <f>'General(R)'!E189</f>
        <v>0</v>
      </c>
      <c r="E92" s="737">
        <f>'General(R)'!F189</f>
        <v>0</v>
      </c>
      <c r="F92" s="737">
        <f>'General(R)'!G189</f>
        <v>93.84</v>
      </c>
      <c r="G92" s="738">
        <f>'General(R)'!H189</f>
        <v>0</v>
      </c>
    </row>
    <row r="93" spans="1:7" s="701" customFormat="1" ht="15">
      <c r="A93" s="844">
        <f>'General(R)'!B190</f>
        <v>39783</v>
      </c>
      <c r="B93" s="737">
        <f>'General(R)'!C190</f>
        <v>93.58</v>
      </c>
      <c r="C93" s="737">
        <f>'General(R)'!D190</f>
        <v>0</v>
      </c>
      <c r="D93" s="737">
        <f>'General(R)'!E190</f>
        <v>0</v>
      </c>
      <c r="E93" s="737">
        <f>'General(R)'!F190</f>
        <v>0</v>
      </c>
      <c r="F93" s="737">
        <f>'General(R)'!G190</f>
        <v>93.58</v>
      </c>
      <c r="G93" s="738">
        <f>'General(R)'!H190</f>
        <v>0</v>
      </c>
    </row>
    <row r="94" spans="1:7" s="701" customFormat="1" ht="15">
      <c r="A94" s="1042"/>
      <c r="B94" s="1043"/>
      <c r="C94" s="1043"/>
      <c r="D94" s="1043"/>
      <c r="E94" s="1043"/>
      <c r="F94" s="1043"/>
      <c r="G94" s="1044"/>
    </row>
    <row r="95" spans="1:7" s="701" customFormat="1" ht="18" ph="1">
      <c r="A95" s="698" t="s">
        <v>33</v>
      </c>
      <c r="B95" s="717" t="s">
        <v>21</v>
      </c>
      <c r="C95" s="717"/>
      <c r="D95" s="717" t="s">
        <v>281</v>
      </c>
      <c r="E95" s="717"/>
      <c r="F95" s="717"/>
      <c r="G95" s="701"/>
    </row>
    <row r="96" spans="1:7" s="701" customFormat="1" ht="18">
      <c r="A96" s="702" t="s">
        <v>23</v>
      </c>
      <c r="B96" s="718" t="s">
        <v>24</v>
      </c>
      <c r="C96" s="719" t="s">
        <v>279</v>
      </c>
      <c r="D96" s="718" t="s">
        <v>26</v>
      </c>
      <c r="E96" s="718" t="s">
        <v>27</v>
      </c>
      <c r="F96" s="718" t="s">
        <v>28</v>
      </c>
    </row>
    <row r="97" spans="1:6" s="701" customFormat="1" ht="15">
      <c r="A97" s="704" t="s">
        <v>126</v>
      </c>
      <c r="B97" s="705"/>
      <c r="C97" s="705"/>
      <c r="D97" s="705"/>
      <c r="E97" s="705"/>
      <c r="F97" s="705"/>
    </row>
    <row r="98" spans="1:6" s="701" customFormat="1" ht="15">
      <c r="A98" s="845">
        <f>A72</f>
        <v>37987</v>
      </c>
      <c r="B98" s="739">
        <f>'General(R)'!C142</f>
        <v>0</v>
      </c>
      <c r="C98" s="740">
        <f>'General(R)'!D142</f>
        <v>0</v>
      </c>
      <c r="D98" s="731">
        <f>'General(R)'!E142</f>
        <v>0</v>
      </c>
      <c r="E98" s="731">
        <f>'General(R)'!F142</f>
        <v>0</v>
      </c>
      <c r="F98" s="741">
        <f>'General(R)'!G142</f>
        <v>0</v>
      </c>
    </row>
    <row r="99" spans="1:6" s="701" customFormat="1" ht="15">
      <c r="A99" s="845">
        <f>A73</f>
        <v>38019</v>
      </c>
      <c r="B99" s="739">
        <f>'General(R)'!C143</f>
        <v>0</v>
      </c>
      <c r="C99" s="740">
        <f>'General(R)'!D143</f>
        <v>0</v>
      </c>
      <c r="D99" s="731">
        <f>'General(R)'!E143</f>
        <v>0</v>
      </c>
      <c r="E99" s="731">
        <f>'General(R)'!F143</f>
        <v>0</v>
      </c>
      <c r="F99" s="741">
        <f>'General(R)'!G143</f>
        <v>0</v>
      </c>
    </row>
    <row r="100" spans="1:6" s="701" customFormat="1" ht="15">
      <c r="A100" s="845">
        <f t="shared" ref="A100:A112" si="2">A74</f>
        <v>38047</v>
      </c>
      <c r="B100" s="739">
        <f>'General(R)'!C144</f>
        <v>30</v>
      </c>
      <c r="C100" s="740">
        <f>'General(R)'!D144</f>
        <v>356</v>
      </c>
      <c r="D100" s="731">
        <f>'General(R)'!E144</f>
        <v>1657</v>
      </c>
      <c r="E100" s="731">
        <f>'General(R)'!F144</f>
        <v>1657</v>
      </c>
      <c r="F100" s="741">
        <f>'General(R)'!G144</f>
        <v>0</v>
      </c>
    </row>
    <row r="101" spans="1:6" s="701" customFormat="1" ht="15">
      <c r="A101" s="845">
        <f t="shared" si="2"/>
        <v>38139</v>
      </c>
      <c r="B101" s="739">
        <f>'General(R)'!C145</f>
        <v>556</v>
      </c>
      <c r="C101" s="740">
        <f>'General(R)'!D145</f>
        <v>2828</v>
      </c>
      <c r="D101" s="731">
        <f>'General(R)'!E145</f>
        <v>1320</v>
      </c>
      <c r="E101" s="731">
        <f>'General(R)'!F145</f>
        <v>1401</v>
      </c>
      <c r="F101" s="741">
        <f>'General(R)'!G145</f>
        <v>81</v>
      </c>
    </row>
    <row r="102" spans="1:6" s="701" customFormat="1" ht="15">
      <c r="A102" s="845">
        <f t="shared" si="2"/>
        <v>38231</v>
      </c>
      <c r="B102" s="739">
        <f>'General(R)'!C146</f>
        <v>530</v>
      </c>
      <c r="C102" s="740">
        <f>'General(R)'!D146</f>
        <v>2000</v>
      </c>
      <c r="D102" s="731">
        <f>'General(R)'!E146</f>
        <v>1481</v>
      </c>
      <c r="E102" s="731">
        <f>'General(R)'!F146</f>
        <v>1981</v>
      </c>
      <c r="F102" s="741">
        <f>'General(R)'!G146</f>
        <v>500</v>
      </c>
    </row>
    <row r="103" spans="1:6" s="701" customFormat="1" ht="15">
      <c r="A103" s="845">
        <f t="shared" si="2"/>
        <v>38322</v>
      </c>
      <c r="B103" s="739">
        <f>'General(R)'!C147</f>
        <v>50</v>
      </c>
      <c r="C103" s="740">
        <f>'General(R)'!D147</f>
        <v>569</v>
      </c>
      <c r="D103" s="731">
        <f>'General(R)'!E147</f>
        <v>1271</v>
      </c>
      <c r="E103" s="731">
        <f>'General(R)'!F147</f>
        <v>1271</v>
      </c>
      <c r="F103" s="741">
        <f>'General(R)'!G147</f>
        <v>0</v>
      </c>
    </row>
    <row r="104" spans="1:6" s="701" customFormat="1" ht="15">
      <c r="A104" s="845">
        <f t="shared" si="2"/>
        <v>38412</v>
      </c>
      <c r="B104" s="739">
        <f>'General(R)'!C148</f>
        <v>70</v>
      </c>
      <c r="C104" s="740">
        <f>'General(R)'!D148</f>
        <v>686</v>
      </c>
      <c r="D104" s="731">
        <f>'General(R)'!E148</f>
        <v>1054</v>
      </c>
      <c r="E104" s="731">
        <f>'General(R)'!F148</f>
        <v>1044</v>
      </c>
      <c r="F104" s="741">
        <f>'General(R)'!G148</f>
        <v>-10</v>
      </c>
    </row>
    <row r="105" spans="1:6" s="701" customFormat="1" ht="15">
      <c r="A105" s="845">
        <f t="shared" si="2"/>
        <v>38504</v>
      </c>
      <c r="B105" s="739">
        <f>'General(R)'!C149</f>
        <v>60</v>
      </c>
      <c r="C105" s="740">
        <f>'General(R)'!D149</f>
        <v>810</v>
      </c>
      <c r="D105" s="731">
        <f>'General(R)'!E149</f>
        <v>943</v>
      </c>
      <c r="E105" s="731">
        <f>'General(R)'!F149</f>
        <v>913</v>
      </c>
      <c r="F105" s="741">
        <f>'General(R)'!G149</f>
        <v>-30</v>
      </c>
    </row>
    <row r="106" spans="1:6" s="701" customFormat="1" ht="15">
      <c r="A106" s="845">
        <f t="shared" si="2"/>
        <v>38596</v>
      </c>
      <c r="B106" s="739">
        <f>'General(R)'!C150</f>
        <v>70</v>
      </c>
      <c r="C106" s="740">
        <f>'General(R)'!D150</f>
        <v>762</v>
      </c>
      <c r="D106" s="731">
        <f>'General(R)'!E150</f>
        <v>930</v>
      </c>
      <c r="E106" s="731">
        <f>'General(R)'!F150</f>
        <v>875</v>
      </c>
      <c r="F106" s="741">
        <f>'General(R)'!G150</f>
        <v>-55</v>
      </c>
    </row>
    <row r="107" spans="1:6" s="701" customFormat="1" ht="15">
      <c r="A107" s="845">
        <f t="shared" si="2"/>
        <v>38687</v>
      </c>
      <c r="B107" s="739">
        <f>'General(R)'!C151</f>
        <v>40</v>
      </c>
      <c r="C107" s="740">
        <f>'General(R)'!D151</f>
        <v>508</v>
      </c>
      <c r="D107" s="731">
        <f>'General(R)'!E151</f>
        <v>1018</v>
      </c>
      <c r="E107" s="731">
        <f>'General(R)'!F151</f>
        <v>998</v>
      </c>
      <c r="F107" s="741">
        <f>'General(R)'!G151</f>
        <v>-20</v>
      </c>
    </row>
    <row r="108" spans="1:6" s="701" customFormat="1" ht="15">
      <c r="A108" s="845">
        <f t="shared" si="2"/>
        <v>38777</v>
      </c>
      <c r="B108" s="739">
        <f>'General(R)'!C152</f>
        <v>100</v>
      </c>
      <c r="C108" s="740">
        <f>'General(R)'!D152</f>
        <v>1664</v>
      </c>
      <c r="D108" s="731">
        <f>'General(R)'!E152</f>
        <v>1121</v>
      </c>
      <c r="E108" s="731">
        <f>'General(R)'!F152</f>
        <v>1111</v>
      </c>
      <c r="F108" s="741">
        <f>'General(R)'!G152</f>
        <v>-10</v>
      </c>
    </row>
    <row r="109" spans="1:6" s="701" customFormat="1" ht="15">
      <c r="A109" s="845">
        <f t="shared" si="2"/>
        <v>38869</v>
      </c>
      <c r="B109" s="739">
        <f>'General(R)'!C153</f>
        <v>80</v>
      </c>
      <c r="C109" s="740">
        <f>'General(R)'!D153</f>
        <v>926</v>
      </c>
      <c r="D109" s="731">
        <f>'General(R)'!E153</f>
        <v>510</v>
      </c>
      <c r="E109" s="731">
        <f>'General(R)'!F153</f>
        <v>540</v>
      </c>
      <c r="F109" s="741">
        <f>'General(R)'!G153</f>
        <v>30</v>
      </c>
    </row>
    <row r="110" spans="1:6" s="701" customFormat="1" ht="15">
      <c r="A110" s="845">
        <f t="shared" si="2"/>
        <v>38961</v>
      </c>
      <c r="B110" s="739">
        <f>'General(R)'!C154</f>
        <v>30</v>
      </c>
      <c r="C110" s="740">
        <f>'General(R)'!D154</f>
        <v>1284</v>
      </c>
      <c r="D110" s="731">
        <f>'General(R)'!E154</f>
        <v>543</v>
      </c>
      <c r="E110" s="731">
        <f>'General(R)'!F154</f>
        <v>533</v>
      </c>
      <c r="F110" s="741">
        <f>'General(R)'!G154</f>
        <v>-10</v>
      </c>
    </row>
    <row r="111" spans="1:6" s="701" customFormat="1" ht="15">
      <c r="A111" s="845">
        <f t="shared" si="2"/>
        <v>39052</v>
      </c>
      <c r="B111" s="739">
        <f>'General(R)'!C155</f>
        <v>55</v>
      </c>
      <c r="C111" s="740">
        <f>'General(R)'!D155</f>
        <v>806</v>
      </c>
      <c r="D111" s="731">
        <f>'General(R)'!E155</f>
        <v>781</v>
      </c>
      <c r="E111" s="731">
        <f>'General(R)'!F155</f>
        <v>801</v>
      </c>
      <c r="F111" s="741">
        <f>'General(R)'!G155</f>
        <v>20</v>
      </c>
    </row>
    <row r="112" spans="1:6" s="701" customFormat="1" ht="15">
      <c r="A112" s="845">
        <f t="shared" si="2"/>
        <v>39142</v>
      </c>
      <c r="B112" s="739">
        <f>'General(R)'!C156</f>
        <v>65</v>
      </c>
      <c r="C112" s="740">
        <f>'General(R)'!D156</f>
        <v>444</v>
      </c>
      <c r="D112" s="731">
        <f>'General(R)'!E156</f>
        <v>794</v>
      </c>
      <c r="E112" s="731">
        <f>'General(R)'!F156</f>
        <v>814</v>
      </c>
      <c r="F112" s="741">
        <f>'General(R)'!G156</f>
        <v>20</v>
      </c>
    </row>
    <row r="113" spans="1:7" s="701" customFormat="1" ht="15">
      <c r="A113" s="845">
        <f t="shared" ref="A113:A119" si="3">A87</f>
        <v>39234</v>
      </c>
      <c r="B113" s="739">
        <f>'General(R)'!C157</f>
        <v>30</v>
      </c>
      <c r="C113" s="740">
        <f>'General(R)'!D157</f>
        <v>360</v>
      </c>
      <c r="D113" s="731">
        <f>'General(R)'!E157</f>
        <v>609</v>
      </c>
      <c r="E113" s="731">
        <f>'General(R)'!F157</f>
        <v>639</v>
      </c>
      <c r="F113" s="741">
        <f>'General(R)'!G157</f>
        <v>30</v>
      </c>
    </row>
    <row r="114" spans="1:7" s="701" customFormat="1" ht="15">
      <c r="A114" s="845">
        <f t="shared" si="3"/>
        <v>39326</v>
      </c>
      <c r="B114" s="739">
        <f>'General(R)'!C158</f>
        <v>30</v>
      </c>
      <c r="C114" s="740">
        <f>'General(R)'!D158</f>
        <v>345</v>
      </c>
      <c r="D114" s="731">
        <f>'General(R)'!E158</f>
        <v>616</v>
      </c>
      <c r="E114" s="731">
        <f>'General(R)'!F158</f>
        <v>646</v>
      </c>
      <c r="F114" s="741">
        <f>'General(R)'!G158</f>
        <v>30</v>
      </c>
    </row>
    <row r="115" spans="1:7" s="701" customFormat="1" ht="15">
      <c r="A115" s="845">
        <f t="shared" si="3"/>
        <v>39417</v>
      </c>
      <c r="B115" s="739">
        <f>'General(R)'!C159</f>
        <v>30</v>
      </c>
      <c r="C115" s="740">
        <f>'General(R)'!D159</f>
        <v>385</v>
      </c>
      <c r="D115" s="731">
        <f>'General(R)'!E159</f>
        <v>787</v>
      </c>
      <c r="E115" s="731">
        <f>'General(R)'!F159</f>
        <v>814</v>
      </c>
      <c r="F115" s="741">
        <f>'General(R)'!G159</f>
        <v>27</v>
      </c>
    </row>
    <row r="116" spans="1:7" s="701" customFormat="1" ht="15">
      <c r="A116" s="845">
        <f t="shared" si="3"/>
        <v>39508</v>
      </c>
      <c r="B116" s="739">
        <f>'General(R)'!C160</f>
        <v>30</v>
      </c>
      <c r="C116" s="740">
        <f>'General(R)'!D160</f>
        <v>415</v>
      </c>
      <c r="D116" s="731">
        <f>'General(R)'!E160</f>
        <v>642</v>
      </c>
      <c r="E116" s="731">
        <f>'General(R)'!F160</f>
        <v>669</v>
      </c>
      <c r="F116" s="741">
        <f>'General(R)'!G160</f>
        <v>27</v>
      </c>
    </row>
    <row r="117" spans="1:7" s="701" customFormat="1" ht="15">
      <c r="A117" s="845">
        <f t="shared" si="3"/>
        <v>39600</v>
      </c>
      <c r="B117" s="739">
        <f>'General(R)'!C161</f>
        <v>30</v>
      </c>
      <c r="C117" s="740">
        <f>'General(R)'!D161</f>
        <v>410</v>
      </c>
      <c r="D117" s="731">
        <f>'General(R)'!E161</f>
        <v>674</v>
      </c>
      <c r="E117" s="731">
        <f>'General(R)'!F161</f>
        <v>704</v>
      </c>
      <c r="F117" s="741">
        <f>'General(R)'!G161</f>
        <v>30</v>
      </c>
    </row>
    <row r="118" spans="1:7" s="701" customFormat="1" ht="15">
      <c r="A118" s="845">
        <f t="shared" si="3"/>
        <v>39692</v>
      </c>
      <c r="B118" s="739">
        <f>'General(R)'!C162</f>
        <v>30</v>
      </c>
      <c r="C118" s="740">
        <f>'General(R)'!D162</f>
        <v>410</v>
      </c>
      <c r="D118" s="731">
        <f>'General(R)'!E162</f>
        <v>230</v>
      </c>
      <c r="E118" s="731">
        <f>'General(R)'!F162</f>
        <v>260</v>
      </c>
      <c r="F118" s="741">
        <f>'General(R)'!G162</f>
        <v>30</v>
      </c>
    </row>
    <row r="119" spans="1:7" s="701" customFormat="1" ht="15">
      <c r="A119" s="845">
        <f t="shared" si="3"/>
        <v>39783</v>
      </c>
      <c r="B119" s="739">
        <f>'General(R)'!C163</f>
        <v>30</v>
      </c>
      <c r="C119" s="740">
        <f>'General(R)'!D163</f>
        <v>445</v>
      </c>
      <c r="D119" s="731">
        <f>'General(R)'!E163</f>
        <v>325</v>
      </c>
      <c r="E119" s="731">
        <f>'General(R)'!F163</f>
        <v>335</v>
      </c>
      <c r="F119" s="741">
        <f>'General(R)'!G163</f>
        <v>10</v>
      </c>
    </row>
    <row r="120" spans="1:7" s="701" customFormat="1" ht="15.75">
      <c r="A120" s="713" t="s">
        <v>32</v>
      </c>
      <c r="B120" s="742">
        <f>'General(R)'!C164</f>
        <v>1946</v>
      </c>
      <c r="C120" s="743">
        <f>'General(R)'!D164</f>
        <v>16413</v>
      </c>
      <c r="D120" s="722">
        <f>'General(R)'!E164</f>
        <v>17306</v>
      </c>
      <c r="E120" s="722">
        <f>'General(R)'!F164</f>
        <v>18006</v>
      </c>
      <c r="F120" s="723">
        <f>'General(R)'!G164</f>
        <v>700</v>
      </c>
    </row>
    <row r="121" spans="1:7" s="701" customFormat="1" ht="15.75">
      <c r="A121" s="714"/>
      <c r="B121" s="809"/>
      <c r="C121" s="810"/>
      <c r="D121" s="724"/>
      <c r="E121" s="724"/>
      <c r="F121" s="725"/>
    </row>
    <row r="122" spans="1:7" s="701" customFormat="1" ht="15">
      <c r="A122" s="696" t="s">
        <v>160</v>
      </c>
      <c r="B122" s="95"/>
      <c r="C122" s="95" t="s">
        <v>221</v>
      </c>
      <c r="D122" s="95"/>
      <c r="E122" s="95"/>
      <c r="F122" s="95"/>
    </row>
    <row r="123" spans="1:7" s="701" customFormat="1" ht="18">
      <c r="A123" s="744"/>
      <c r="B123" s="745"/>
      <c r="C123" s="745"/>
      <c r="D123" s="745"/>
      <c r="E123" s="745"/>
      <c r="F123" s="745"/>
    </row>
    <row r="124" spans="1:7" s="701" customFormat="1" ht="15">
      <c r="A124" s="95" t="s">
        <v>162</v>
      </c>
      <c r="B124" s="95"/>
      <c r="C124" s="697" t="s">
        <v>222</v>
      </c>
      <c r="D124" s="95"/>
      <c r="E124" s="95"/>
      <c r="F124" s="95"/>
    </row>
    <row r="125" spans="1:7" s="701" customFormat="1" ht="15">
      <c r="A125" s="695"/>
      <c r="B125" s="695"/>
      <c r="C125" s="697" t="s">
        <v>223</v>
      </c>
      <c r="D125" s="95"/>
      <c r="E125" s="95"/>
      <c r="F125" s="95"/>
    </row>
    <row r="126" spans="1:7" s="701" customFormat="1" ht="15">
      <c r="A126"/>
      <c r="B126"/>
      <c r="C126" s="697" t="s">
        <v>224</v>
      </c>
      <c r="D126" s="72"/>
      <c r="E126" s="72"/>
      <c r="F126" s="72"/>
    </row>
    <row r="127" spans="1:7" s="701" customFormat="1" ht="15.75" ph="1">
      <c r="A127" s="714"/>
      <c r="B127" s="809"/>
      <c r="C127" s="810"/>
      <c r="D127" s="724"/>
      <c r="E127" s="724"/>
      <c r="F127" s="725"/>
      <c r="G127" s="701"/>
    </row>
    <row r="128" spans="1:7" s="701" customFormat="1" ht="18">
      <c r="A128" s="698" t="s">
        <v>33</v>
      </c>
      <c r="B128" s="699" t="s">
        <v>34</v>
      </c>
      <c r="C128" s="700" t="s">
        <v>35</v>
      </c>
      <c r="D128" s="700" t="s">
        <v>166</v>
      </c>
      <c r="E128" s="700" t="s">
        <v>166</v>
      </c>
      <c r="F128" s="699" t="s">
        <v>205</v>
      </c>
      <c r="G128" s="700" t="s">
        <v>40</v>
      </c>
    </row>
    <row r="129" spans="1:8" s="701" customFormat="1" ht="15">
      <c r="A129" s="702" t="s">
        <v>23</v>
      </c>
      <c r="B129" s="703" t="s">
        <v>41</v>
      </c>
      <c r="C129" s="703" t="s">
        <v>42</v>
      </c>
      <c r="D129" s="703" t="s">
        <v>168</v>
      </c>
      <c r="E129" s="703" t="s">
        <v>169</v>
      </c>
      <c r="F129" s="703" t="s">
        <v>42</v>
      </c>
      <c r="G129" s="703" t="s">
        <v>28</v>
      </c>
    </row>
    <row r="130" spans="1:8" s="701" customFormat="1" ht="15" customHeight="1">
      <c r="A130" s="704" t="s">
        <v>282</v>
      </c>
      <c r="B130" s="705"/>
      <c r="C130" s="705"/>
      <c r="D130" s="705"/>
      <c r="E130" s="705"/>
      <c r="F130" s="705"/>
      <c r="G130" s="705"/>
    </row>
    <row r="131" spans="1:8" s="701" customFormat="1" ht="15">
      <c r="A131" s="843">
        <f>'General(R)'!B205</f>
        <v>38047</v>
      </c>
      <c r="B131" s="846">
        <f>'General(R)'!C205</f>
        <v>108.75</v>
      </c>
      <c r="C131" s="848">
        <f>'General(R)'!D205</f>
        <v>109</v>
      </c>
      <c r="D131" s="852">
        <f>'General(R)'!E205</f>
        <v>109</v>
      </c>
      <c r="E131" s="847">
        <f>'General(R)'!F205</f>
        <v>108.9</v>
      </c>
      <c r="F131" s="848">
        <f>'General(R)'!G205</f>
        <v>108.65</v>
      </c>
      <c r="G131" s="866">
        <f>'General(R)'!H205</f>
        <v>-9.9999999999994316E-2</v>
      </c>
    </row>
    <row r="132" spans="1:8" s="701" customFormat="1" ht="15">
      <c r="A132" s="843">
        <f>'General(R)'!B206</f>
        <v>38139</v>
      </c>
      <c r="B132" s="846">
        <f>'General(R)'!C206</f>
        <v>108.04</v>
      </c>
      <c r="C132" s="848">
        <f>'General(R)'!D206</f>
        <v>0</v>
      </c>
      <c r="D132" s="852">
        <f>'General(R)'!E206</f>
        <v>0</v>
      </c>
      <c r="E132" s="847">
        <f>'General(R)'!F206</f>
        <v>0</v>
      </c>
      <c r="F132" s="848">
        <f>'General(R)'!G206</f>
        <v>107.94</v>
      </c>
      <c r="G132" s="866">
        <f>'General(R)'!H206</f>
        <v>-0.10000000000000853</v>
      </c>
    </row>
    <row r="133" spans="1:8" s="701" customFormat="1" ht="15">
      <c r="A133" s="843">
        <f>'General(R)'!B207</f>
        <v>38231</v>
      </c>
      <c r="B133" s="846">
        <f>'General(R)'!C207</f>
        <v>107.45</v>
      </c>
      <c r="C133" s="848">
        <f>'General(R)'!D207</f>
        <v>0</v>
      </c>
      <c r="D133" s="852">
        <f>'General(R)'!E207</f>
        <v>0</v>
      </c>
      <c r="E133" s="847">
        <f>'General(R)'!F207</f>
        <v>0</v>
      </c>
      <c r="F133" s="848">
        <f>'General(R)'!G207</f>
        <v>107.35</v>
      </c>
      <c r="G133" s="866">
        <f>'General(R)'!H207</f>
        <v>-0.10000000000000853</v>
      </c>
    </row>
    <row r="134" spans="1:8" s="701" customFormat="1" ht="15">
      <c r="A134" s="843">
        <f>'General(R)'!B208</f>
        <v>38322</v>
      </c>
      <c r="B134" s="846">
        <f>'General(R)'!C208</f>
        <v>106.69</v>
      </c>
      <c r="C134" s="848">
        <f>'General(R)'!D208</f>
        <v>0</v>
      </c>
      <c r="D134" s="852">
        <f>'General(R)'!E208</f>
        <v>0</v>
      </c>
      <c r="E134" s="847">
        <f>'General(R)'!F208</f>
        <v>0</v>
      </c>
      <c r="F134" s="848">
        <f>'General(R)'!G208</f>
        <v>106.59</v>
      </c>
      <c r="G134" s="866">
        <f>'General(R)'!H208</f>
        <v>-9.9999999999994316E-2</v>
      </c>
    </row>
    <row r="135" spans="1:8" s="701" customFormat="1" ht="15.75">
      <c r="A135" s="714"/>
      <c r="B135" s="809"/>
      <c r="C135" s="810"/>
      <c r="D135" s="724"/>
      <c r="E135" s="724"/>
      <c r="F135" s="725"/>
    </row>
    <row r="136" spans="1:8" s="701" customFormat="1" ht="18">
      <c r="A136" s="698" t="s">
        <v>33</v>
      </c>
      <c r="B136" s="717" t="s">
        <v>21</v>
      </c>
      <c r="C136" s="717"/>
      <c r="D136" s="717" t="s">
        <v>280</v>
      </c>
      <c r="E136" s="717"/>
      <c r="F136" s="717"/>
    </row>
    <row r="137" spans="1:8" s="701" customFormat="1" ht="18">
      <c r="A137" s="702" t="s">
        <v>23</v>
      </c>
      <c r="B137" s="718" t="s">
        <v>24</v>
      </c>
      <c r="C137" s="719" t="s">
        <v>279</v>
      </c>
      <c r="D137" s="718" t="s">
        <v>26</v>
      </c>
      <c r="E137" s="718" t="s">
        <v>27</v>
      </c>
      <c r="F137" s="718" t="s">
        <v>28</v>
      </c>
      <c r="H137" s="851"/>
    </row>
    <row r="138" spans="1:8" s="701" customFormat="1" ht="15" customHeight="1">
      <c r="A138" s="704" t="s">
        <v>283</v>
      </c>
      <c r="B138" s="705"/>
      <c r="C138" s="705"/>
      <c r="D138" s="705"/>
      <c r="E138" s="705"/>
      <c r="F138" s="705"/>
    </row>
    <row r="139" spans="1:8" s="701" customFormat="1" ht="15">
      <c r="A139" s="843">
        <f>'General(R)'!B196</f>
        <v>38047</v>
      </c>
      <c r="B139" s="850">
        <f>'General(R)'!C196</f>
        <v>52</v>
      </c>
      <c r="C139" s="849">
        <f>'General(R)'!D196</f>
        <v>1310</v>
      </c>
      <c r="D139" s="853">
        <f>'General(R)'!E196</f>
        <v>998</v>
      </c>
      <c r="E139" s="850">
        <f>'General(R)'!F196</f>
        <v>1047</v>
      </c>
      <c r="F139" s="877">
        <f>'General(R)'!G196</f>
        <v>49</v>
      </c>
    </row>
    <row r="140" spans="1:8" s="701" customFormat="1" ht="15">
      <c r="A140" s="843">
        <f>'General(R)'!B197</f>
        <v>38139</v>
      </c>
      <c r="B140" s="850">
        <f>'General(R)'!C197</f>
        <v>0</v>
      </c>
      <c r="C140" s="849">
        <f>'General(R)'!D197</f>
        <v>0</v>
      </c>
      <c r="D140" s="853">
        <f>'General(R)'!E197</f>
        <v>0</v>
      </c>
      <c r="E140" s="850">
        <f>'General(R)'!F197</f>
        <v>0</v>
      </c>
      <c r="F140" s="877">
        <f>'General(R)'!G197</f>
        <v>0</v>
      </c>
    </row>
    <row r="141" spans="1:8" s="701" customFormat="1" ht="15">
      <c r="A141" s="843">
        <f>'General(R)'!B198</f>
        <v>38231</v>
      </c>
      <c r="B141" s="850">
        <f>'General(R)'!C198</f>
        <v>0</v>
      </c>
      <c r="C141" s="849">
        <f>'General(R)'!D198</f>
        <v>0</v>
      </c>
      <c r="D141" s="853">
        <f>'General(R)'!E198</f>
        <v>0</v>
      </c>
      <c r="E141" s="850">
        <f>'General(R)'!F198</f>
        <v>0</v>
      </c>
      <c r="F141" s="877">
        <f>'General(R)'!G198</f>
        <v>0</v>
      </c>
    </row>
    <row r="142" spans="1:8" s="701" customFormat="1" ht="15">
      <c r="A142" s="843">
        <f>'General(R)'!B199</f>
        <v>38322</v>
      </c>
      <c r="B142" s="850">
        <f>'General(R)'!C199</f>
        <v>0</v>
      </c>
      <c r="C142" s="849">
        <f>'General(R)'!D199</f>
        <v>0</v>
      </c>
      <c r="D142" s="853">
        <f>'General(R)'!E199</f>
        <v>0</v>
      </c>
      <c r="E142" s="850">
        <f>'General(R)'!F199</f>
        <v>0</v>
      </c>
      <c r="F142" s="877">
        <f>'General(R)'!G199</f>
        <v>0</v>
      </c>
    </row>
    <row r="143" spans="1:8" s="701" customFormat="1" ht="15.75">
      <c r="A143" s="713" t="s">
        <v>32</v>
      </c>
      <c r="B143" s="811">
        <f>'General(R)'!C200</f>
        <v>52</v>
      </c>
      <c r="C143" s="811">
        <f>'General(R)'!D200</f>
        <v>1310</v>
      </c>
      <c r="D143" s="811">
        <f>'General(R)'!E200</f>
        <v>998</v>
      </c>
      <c r="E143" s="811">
        <f>'General(R)'!F200</f>
        <v>1047</v>
      </c>
      <c r="F143" s="811">
        <f>'General(R)'!G200</f>
        <v>49</v>
      </c>
    </row>
    <row r="144" spans="1:8" s="701" customFormat="1" ht="15.75">
      <c r="A144" s="714"/>
      <c r="B144" s="1074"/>
      <c r="C144" s="1074"/>
      <c r="D144" s="1074"/>
      <c r="E144" s="1074"/>
      <c r="F144" s="1074"/>
    </row>
    <row r="145" spans="1:7" s="701" customFormat="1" ht="15">
      <c r="A145" s="696" t="s">
        <v>160</v>
      </c>
      <c r="B145" s="95"/>
      <c r="C145" s="95" t="s">
        <v>256</v>
      </c>
      <c r="D145" s="95"/>
      <c r="E145" s="95"/>
      <c r="F145" s="95"/>
    </row>
    <row r="146" spans="1:7" s="701" customFormat="1" ht="18">
      <c r="A146" s="744"/>
      <c r="B146" s="745"/>
      <c r="C146" s="745"/>
      <c r="D146" s="745"/>
      <c r="E146" s="745"/>
      <c r="F146" s="745"/>
    </row>
    <row r="147" spans="1:7" s="701" customFormat="1" ht="15">
      <c r="A147" s="95" t="s">
        <v>162</v>
      </c>
      <c r="B147" s="95"/>
      <c r="C147" s="697" t="s">
        <v>272</v>
      </c>
      <c r="D147" s="95"/>
      <c r="E147" s="95"/>
      <c r="F147" s="95"/>
    </row>
    <row r="148" spans="1:7" s="701" customFormat="1" ht="15">
      <c r="A148" s="695"/>
      <c r="B148" s="695"/>
      <c r="C148" s="697"/>
      <c r="D148" s="95"/>
      <c r="E148" s="95"/>
      <c r="F148" s="95"/>
    </row>
    <row r="149" spans="1:7" s="701" customFormat="1" ht="15">
      <c r="A149"/>
      <c r="B149"/>
      <c r="C149" s="697" t="s">
        <v>224</v>
      </c>
      <c r="D149" s="72"/>
      <c r="E149" s="72"/>
      <c r="F149" s="72"/>
    </row>
    <row r="150" spans="1:7" s="701" customFormat="1" ht="15.75">
      <c r="A150" s="714"/>
      <c r="B150" s="809"/>
      <c r="C150" s="810"/>
      <c r="D150" s="724"/>
      <c r="E150" s="724"/>
      <c r="F150" s="725"/>
    </row>
    <row r="151" spans="1:7" s="701" customFormat="1" ht="18">
      <c r="A151" s="698" t="s">
        <v>33</v>
      </c>
      <c r="B151" s="699" t="s">
        <v>34</v>
      </c>
      <c r="C151" s="700" t="s">
        <v>35</v>
      </c>
      <c r="D151" s="700" t="s">
        <v>166</v>
      </c>
      <c r="E151" s="700" t="s">
        <v>166</v>
      </c>
      <c r="F151" s="699" t="s">
        <v>205</v>
      </c>
      <c r="G151" s="700" t="s">
        <v>40</v>
      </c>
    </row>
    <row r="152" spans="1:7" s="701" customFormat="1" ht="15">
      <c r="A152" s="702" t="s">
        <v>23</v>
      </c>
      <c r="B152" s="703" t="s">
        <v>41</v>
      </c>
      <c r="C152" s="703" t="s">
        <v>42</v>
      </c>
      <c r="D152" s="703" t="s">
        <v>168</v>
      </c>
      <c r="E152" s="703" t="s">
        <v>169</v>
      </c>
      <c r="F152" s="703" t="s">
        <v>42</v>
      </c>
      <c r="G152" s="703" t="s">
        <v>28</v>
      </c>
    </row>
    <row r="153" spans="1:7" s="701" customFormat="1" ht="16.5" customHeight="1">
      <c r="A153" s="704" t="s">
        <v>267</v>
      </c>
      <c r="B153" s="705"/>
      <c r="C153" s="705"/>
      <c r="D153" s="705"/>
      <c r="E153" s="705"/>
      <c r="F153" s="705"/>
      <c r="G153" s="705"/>
    </row>
    <row r="154" spans="1:7" s="701" customFormat="1" ht="15">
      <c r="A154" s="843">
        <f>'General(R)'!B223</f>
        <v>38047</v>
      </c>
      <c r="B154" s="846">
        <f>'General(R)'!C223</f>
        <v>107</v>
      </c>
      <c r="C154" s="848">
        <f>'General(R)'!D223</f>
        <v>107.1</v>
      </c>
      <c r="D154" s="852">
        <f>'General(R)'!E223</f>
        <v>107.1</v>
      </c>
      <c r="E154" s="847">
        <f>'General(R)'!F223</f>
        <v>107.1</v>
      </c>
      <c r="F154" s="848">
        <f>'General(R)'!G223</f>
        <v>106.9</v>
      </c>
      <c r="G154" s="866">
        <f>'General(R)'!H223</f>
        <v>-9.9999999999994316E-2</v>
      </c>
    </row>
    <row r="155" spans="1:7" s="701" customFormat="1" ht="15">
      <c r="A155" s="843">
        <f>'General(R)'!B224</f>
        <v>38139</v>
      </c>
      <c r="B155" s="846">
        <f>'General(R)'!C224</f>
        <v>106.26</v>
      </c>
      <c r="C155" s="848">
        <f>'General(R)'!D224</f>
        <v>0</v>
      </c>
      <c r="D155" s="852">
        <f>'General(R)'!E224</f>
        <v>0</v>
      </c>
      <c r="E155" s="847">
        <f>'General(R)'!F224</f>
        <v>0</v>
      </c>
      <c r="F155" s="848">
        <f>'General(R)'!G224</f>
        <v>106.16</v>
      </c>
      <c r="G155" s="866">
        <f>'General(R)'!H224</f>
        <v>-0.10000000000000853</v>
      </c>
    </row>
    <row r="156" spans="1:7" s="701" customFormat="1" ht="15">
      <c r="A156" s="843">
        <f>'General(R)'!B225</f>
        <v>38231</v>
      </c>
      <c r="B156" s="846">
        <f>'General(R)'!C225</f>
        <v>105.53</v>
      </c>
      <c r="C156" s="848">
        <f>'General(R)'!D225</f>
        <v>0</v>
      </c>
      <c r="D156" s="852">
        <f>'General(R)'!D225</f>
        <v>0</v>
      </c>
      <c r="E156" s="847">
        <f>'General(R)'!F225</f>
        <v>0</v>
      </c>
      <c r="F156" s="848">
        <f>'General(R)'!G225</f>
        <v>105.43</v>
      </c>
      <c r="G156" s="866">
        <f>'General(R)'!H225</f>
        <v>-9.9999999999994316E-2</v>
      </c>
    </row>
    <row r="157" spans="1:7" s="701" customFormat="1" ht="15">
      <c r="A157" s="843">
        <f>'General(R)'!B226</f>
        <v>38322</v>
      </c>
      <c r="B157" s="846">
        <f>'General(R)'!C226</f>
        <v>104.75</v>
      </c>
      <c r="C157" s="848">
        <f>'General(R)'!D226</f>
        <v>0</v>
      </c>
      <c r="D157" s="852">
        <f>'General(R)'!E226</f>
        <v>0</v>
      </c>
      <c r="E157" s="847">
        <f>'General(R)'!F226</f>
        <v>0</v>
      </c>
      <c r="F157" s="848">
        <f>'General(R)'!G226</f>
        <v>104.65</v>
      </c>
      <c r="G157" s="866">
        <f>'General(R)'!H226</f>
        <v>-9.9999999999994316E-2</v>
      </c>
    </row>
    <row r="158" spans="1:7" s="701" customFormat="1" ht="15.75">
      <c r="A158" s="714"/>
      <c r="B158" s="809"/>
      <c r="C158" s="810"/>
      <c r="D158" s="724"/>
      <c r="E158" s="724"/>
      <c r="F158" s="725"/>
    </row>
    <row r="159" spans="1:7" s="701" customFormat="1" ht="18" ph="1">
      <c r="A159" s="698" t="s">
        <v>33</v>
      </c>
      <c r="B159" s="717" t="s">
        <v>21</v>
      </c>
      <c r="C159" s="717"/>
      <c r="D159" s="717" t="s">
        <v>280</v>
      </c>
      <c r="E159" s="717"/>
      <c r="F159" s="717"/>
      <c r="G159" s="701"/>
    </row>
    <row r="160" spans="1:7" s="701" customFormat="1" ht="18">
      <c r="A160" s="702" t="s">
        <v>23</v>
      </c>
      <c r="B160" s="718" t="s">
        <v>24</v>
      </c>
      <c r="C160" s="719" t="s">
        <v>279</v>
      </c>
      <c r="D160" s="718" t="s">
        <v>26</v>
      </c>
      <c r="E160" s="718" t="s">
        <v>27</v>
      </c>
      <c r="F160" s="718" t="s">
        <v>28</v>
      </c>
    </row>
    <row r="161" spans="1:7" s="701" customFormat="1" ht="16.5" customHeight="1">
      <c r="A161" s="704" t="s">
        <v>268</v>
      </c>
      <c r="B161" s="705"/>
      <c r="C161" s="705"/>
      <c r="D161" s="705"/>
      <c r="E161" s="705"/>
      <c r="F161" s="705"/>
    </row>
    <row r="162" spans="1:7" s="701" customFormat="1" ht="15">
      <c r="A162" s="843">
        <f>'General(R)'!B214</f>
        <v>38047</v>
      </c>
      <c r="B162" s="850">
        <f>'General(R)'!C214</f>
        <v>50</v>
      </c>
      <c r="C162" s="849">
        <f>'General(R)'!D214</f>
        <v>1120</v>
      </c>
      <c r="D162" s="853">
        <f>'General(R)'!E214</f>
        <v>220</v>
      </c>
      <c r="E162" s="850">
        <f>'General(R)'!F214</f>
        <v>220</v>
      </c>
      <c r="F162" s="741">
        <f>'General(R)'!G214</f>
        <v>0</v>
      </c>
    </row>
    <row r="163" spans="1:7" s="701" customFormat="1" ht="15">
      <c r="A163" s="843">
        <f>'General(R)'!B215</f>
        <v>38139</v>
      </c>
      <c r="B163" s="850">
        <f>'General(R)'!C215</f>
        <v>0</v>
      </c>
      <c r="C163" s="849">
        <f>'General(R)'!D215</f>
        <v>0</v>
      </c>
      <c r="D163" s="853">
        <f>'General(R)'!E215</f>
        <v>0</v>
      </c>
      <c r="E163" s="850">
        <f>'General(R)'!F215</f>
        <v>0</v>
      </c>
      <c r="F163" s="741">
        <f>'General(R)'!G215</f>
        <v>0</v>
      </c>
    </row>
    <row r="164" spans="1:7" s="701" customFormat="1" ht="15">
      <c r="A164" s="843">
        <f>'General(R)'!B216</f>
        <v>38231</v>
      </c>
      <c r="B164" s="850">
        <f>'General(R)'!C216</f>
        <v>0</v>
      </c>
      <c r="C164" s="849">
        <f>'General(R)'!D216</f>
        <v>0</v>
      </c>
      <c r="D164" s="853">
        <f>'General(R)'!E216</f>
        <v>0</v>
      </c>
      <c r="E164" s="850">
        <f>'General(R)'!F216</f>
        <v>0</v>
      </c>
      <c r="F164" s="741">
        <f>'General(R)'!G216</f>
        <v>0</v>
      </c>
    </row>
    <row r="165" spans="1:7" s="701" customFormat="1" ht="15">
      <c r="A165" s="843">
        <f>'General(R)'!B217</f>
        <v>38322</v>
      </c>
      <c r="B165" s="850">
        <f>'General(R)'!C217</f>
        <v>0</v>
      </c>
      <c r="C165" s="849">
        <f>'General(R)'!D217</f>
        <v>0</v>
      </c>
      <c r="D165" s="853">
        <f>'General(R)'!E217</f>
        <v>0</v>
      </c>
      <c r="E165" s="850">
        <f>'General(R)'!F217</f>
        <v>0</v>
      </c>
      <c r="F165" s="741">
        <f>'General(R)'!G217</f>
        <v>0</v>
      </c>
    </row>
    <row r="166" spans="1:7" s="701" customFormat="1" ht="15.75">
      <c r="A166" s="713" t="s">
        <v>32</v>
      </c>
      <c r="B166" s="811">
        <f>'General(R)'!C218</f>
        <v>50</v>
      </c>
      <c r="C166" s="811">
        <f>'General(R)'!D218</f>
        <v>1120</v>
      </c>
      <c r="D166" s="811">
        <f>'General(R)'!E218</f>
        <v>220</v>
      </c>
      <c r="E166" s="811">
        <f>'General(R)'!F218</f>
        <v>220</v>
      </c>
      <c r="F166" s="1081">
        <f>'General(R)'!G218</f>
        <v>0</v>
      </c>
    </row>
    <row r="167" spans="1:7" s="701" customFormat="1" ht="15.75">
      <c r="A167" s="714"/>
      <c r="B167" s="1074"/>
      <c r="C167" s="1074"/>
      <c r="D167" s="1074"/>
      <c r="E167" s="1074"/>
      <c r="F167" s="1074"/>
    </row>
    <row r="168" spans="1:7" s="701" customFormat="1" ht="15">
      <c r="A168" s="696" t="s">
        <v>160</v>
      </c>
      <c r="B168" s="95"/>
      <c r="C168" s="95" t="s">
        <v>257</v>
      </c>
      <c r="D168" s="95"/>
      <c r="E168" s="95"/>
      <c r="F168" s="95"/>
    </row>
    <row r="169" spans="1:7" s="701" customFormat="1" ht="18">
      <c r="A169" s="744"/>
      <c r="B169" s="745"/>
      <c r="C169" s="745"/>
      <c r="D169" s="745"/>
      <c r="E169" s="745"/>
      <c r="F169" s="745"/>
    </row>
    <row r="170" spans="1:7" s="701" customFormat="1" ht="15">
      <c r="A170" s="95" t="s">
        <v>162</v>
      </c>
      <c r="B170" s="95"/>
      <c r="C170" s="697" t="s">
        <v>271</v>
      </c>
      <c r="D170" s="95"/>
      <c r="E170" s="95"/>
      <c r="F170" s="95"/>
    </row>
    <row r="171" spans="1:7" s="701" customFormat="1" ht="15">
      <c r="A171" s="695"/>
      <c r="B171" s="695"/>
      <c r="C171" s="697"/>
      <c r="D171" s="95"/>
      <c r="E171" s="95"/>
      <c r="F171" s="95"/>
    </row>
    <row r="172" spans="1:7" s="701" customFormat="1" ht="15">
      <c r="A172"/>
      <c r="B172"/>
      <c r="C172" s="697" t="s">
        <v>224</v>
      </c>
      <c r="D172" s="72"/>
      <c r="E172" s="72"/>
      <c r="F172" s="72"/>
    </row>
    <row r="173" spans="1:7" s="701" customFormat="1" ht="15.75">
      <c r="A173" s="714"/>
      <c r="B173" s="809"/>
      <c r="C173" s="810"/>
      <c r="D173" s="724"/>
      <c r="E173" s="724"/>
      <c r="F173" s="725"/>
    </row>
    <row r="174" spans="1:7" s="701" customFormat="1" ht="18">
      <c r="A174" s="698" t="s">
        <v>33</v>
      </c>
      <c r="B174" s="699" t="s">
        <v>34</v>
      </c>
      <c r="C174" s="700" t="s">
        <v>35</v>
      </c>
      <c r="D174" s="700" t="s">
        <v>166</v>
      </c>
      <c r="E174" s="700" t="s">
        <v>166</v>
      </c>
      <c r="F174" s="699" t="s">
        <v>205</v>
      </c>
      <c r="G174" s="700" t="s">
        <v>40</v>
      </c>
    </row>
    <row r="175" spans="1:7" s="701" customFormat="1" ht="15">
      <c r="A175" s="702" t="s">
        <v>23</v>
      </c>
      <c r="B175" s="703" t="s">
        <v>41</v>
      </c>
      <c r="C175" s="703" t="s">
        <v>42</v>
      </c>
      <c r="D175" s="703" t="s">
        <v>168</v>
      </c>
      <c r="E175" s="703" t="s">
        <v>169</v>
      </c>
      <c r="F175" s="703" t="s">
        <v>42</v>
      </c>
      <c r="G175" s="703" t="s">
        <v>28</v>
      </c>
    </row>
    <row r="176" spans="1:7" s="701" customFormat="1" ht="17.25" customHeight="1">
      <c r="A176" s="704" t="s">
        <v>269</v>
      </c>
      <c r="B176" s="705"/>
      <c r="C176" s="705"/>
      <c r="D176" s="705"/>
      <c r="E176" s="705"/>
      <c r="F176" s="705"/>
      <c r="G176" s="705"/>
    </row>
    <row r="177" spans="1:11" s="701" customFormat="1" ht="15">
      <c r="A177" s="843">
        <f>'General(R)'!B241</f>
        <v>38047</v>
      </c>
      <c r="B177" s="846">
        <f>'General(R)'!C241</f>
        <v>109.1</v>
      </c>
      <c r="C177" s="848">
        <f>'General(R)'!D241</f>
        <v>0</v>
      </c>
      <c r="D177" s="852">
        <f>'General(R)'!E241</f>
        <v>0</v>
      </c>
      <c r="E177" s="847">
        <f>'General(R)'!F241</f>
        <v>0</v>
      </c>
      <c r="F177" s="848">
        <f>'General(R)'!G241</f>
        <v>109.1</v>
      </c>
      <c r="G177" s="866">
        <f>'General(R)'!H241</f>
        <v>0</v>
      </c>
    </row>
    <row r="178" spans="1:11" s="701" customFormat="1" ht="15">
      <c r="A178" s="843">
        <f>'General(R)'!B242</f>
        <v>38139</v>
      </c>
      <c r="B178" s="846">
        <f>'General(R)'!C242</f>
        <v>108.4</v>
      </c>
      <c r="C178" s="848">
        <f>'General(R)'!D242</f>
        <v>0</v>
      </c>
      <c r="D178" s="852">
        <f>'General(R)'!E242</f>
        <v>0</v>
      </c>
      <c r="E178" s="847">
        <f>'General(R)'!F242</f>
        <v>0</v>
      </c>
      <c r="F178" s="848">
        <f>'General(R)'!G242</f>
        <v>108.4</v>
      </c>
      <c r="G178" s="866">
        <f>'General(R)'!H242</f>
        <v>0</v>
      </c>
    </row>
    <row r="179" spans="1:11" s="701" customFormat="1" ht="15">
      <c r="A179" s="843">
        <f>'General(R)'!B243</f>
        <v>38231</v>
      </c>
      <c r="B179" s="846">
        <f>'General(R)'!C243</f>
        <v>107.71</v>
      </c>
      <c r="C179" s="848">
        <f>'General(R)'!D243</f>
        <v>0</v>
      </c>
      <c r="D179" s="852">
        <f>'General(R)'!E243</f>
        <v>0</v>
      </c>
      <c r="E179" s="847">
        <f>'General(R)'!F243</f>
        <v>0</v>
      </c>
      <c r="F179" s="848">
        <f>'General(R)'!G243</f>
        <v>107.71</v>
      </c>
      <c r="G179" s="866">
        <f>'General(R)'!H243</f>
        <v>0</v>
      </c>
    </row>
    <row r="180" spans="1:11" s="701" customFormat="1" ht="15">
      <c r="A180" s="843">
        <f>'General(R)'!B244</f>
        <v>38322</v>
      </c>
      <c r="B180" s="846">
        <f>'General(R)'!C244</f>
        <v>106.93</v>
      </c>
      <c r="C180" s="848">
        <f>'General(R)'!D244</f>
        <v>0</v>
      </c>
      <c r="D180" s="852">
        <f>'General(R)'!E244</f>
        <v>0</v>
      </c>
      <c r="E180" s="847">
        <f>'General(R)'!F244</f>
        <v>0</v>
      </c>
      <c r="F180" s="848">
        <f>'General(R)'!G244</f>
        <v>106.93</v>
      </c>
      <c r="G180" s="866">
        <f>'General(R)'!H244</f>
        <v>0</v>
      </c>
    </row>
    <row r="181" spans="1:11" s="701" customFormat="1" ht="15.75">
      <c r="A181" s="714"/>
      <c r="B181" s="809"/>
      <c r="C181" s="810"/>
      <c r="D181" s="724"/>
      <c r="E181" s="724"/>
      <c r="F181" s="725"/>
    </row>
    <row r="182" spans="1:11" s="701" customFormat="1" ht="18">
      <c r="A182" s="698" t="s">
        <v>33</v>
      </c>
      <c r="B182" s="717" t="s">
        <v>21</v>
      </c>
      <c r="C182" s="717"/>
      <c r="D182" s="717" t="s">
        <v>280</v>
      </c>
      <c r="E182" s="717"/>
      <c r="F182" s="717"/>
    </row>
    <row r="183" spans="1:11" s="701" customFormat="1" ht="18">
      <c r="A183" s="702" t="s">
        <v>23</v>
      </c>
      <c r="B183" s="718" t="s">
        <v>24</v>
      </c>
      <c r="C183" s="719" t="s">
        <v>279</v>
      </c>
      <c r="D183" s="718" t="s">
        <v>26</v>
      </c>
      <c r="E183" s="718" t="s">
        <v>27</v>
      </c>
      <c r="F183" s="718" t="s">
        <v>28</v>
      </c>
    </row>
    <row r="184" spans="1:11" s="701" customFormat="1" ht="17.25" customHeight="1">
      <c r="A184" s="704" t="s">
        <v>270</v>
      </c>
      <c r="B184" s="705"/>
      <c r="C184" s="705"/>
      <c r="D184" s="705"/>
      <c r="E184" s="705"/>
      <c r="F184" s="705"/>
    </row>
    <row r="185" spans="1:11" s="701" customFormat="1" ht="15">
      <c r="A185" s="843">
        <f>'General(R)'!B232</f>
        <v>38047</v>
      </c>
      <c r="B185" s="850">
        <f>'General(R)'!C232</f>
        <v>0</v>
      </c>
      <c r="C185" s="849">
        <f>'General(R)'!D232</f>
        <v>0</v>
      </c>
      <c r="D185" s="853">
        <f>'General(R)'!E232</f>
        <v>0</v>
      </c>
      <c r="E185" s="850">
        <f>'General(R)'!F232</f>
        <v>0</v>
      </c>
      <c r="F185" s="741">
        <f>'General(R)'!G232</f>
        <v>0</v>
      </c>
    </row>
    <row r="186" spans="1:11" s="701" customFormat="1" ht="15">
      <c r="A186" s="843">
        <f>'General(R)'!B233</f>
        <v>38139</v>
      </c>
      <c r="B186" s="850">
        <f>'General(R)'!C233</f>
        <v>0</v>
      </c>
      <c r="C186" s="849">
        <f>'General(R)'!D233</f>
        <v>0</v>
      </c>
      <c r="D186" s="853">
        <f>'General(R)'!E233</f>
        <v>0</v>
      </c>
      <c r="E186" s="850">
        <f>'General(R)'!F233</f>
        <v>0</v>
      </c>
      <c r="F186" s="741">
        <f>'General(R)'!G233</f>
        <v>0</v>
      </c>
    </row>
    <row r="187" spans="1:11" s="701" customFormat="1" ht="15">
      <c r="A187" s="843">
        <f>'General(R)'!B234</f>
        <v>38231</v>
      </c>
      <c r="B187" s="850">
        <f>'General(R)'!C234</f>
        <v>0</v>
      </c>
      <c r="C187" s="849">
        <f>'General(R)'!D234</f>
        <v>0</v>
      </c>
      <c r="D187" s="853">
        <f>'General(R)'!E234</f>
        <v>0</v>
      </c>
      <c r="E187" s="850">
        <f>'General(R)'!F234</f>
        <v>0</v>
      </c>
      <c r="F187" s="741">
        <f>'General(R)'!G234</f>
        <v>0</v>
      </c>
    </row>
    <row r="188" spans="1:11" s="701" customFormat="1" ht="15">
      <c r="A188" s="843">
        <f>'General(R)'!B235</f>
        <v>38322</v>
      </c>
      <c r="B188" s="850">
        <f>'General(R)'!C235</f>
        <v>0</v>
      </c>
      <c r="C188" s="849">
        <f>'General(R)'!D235</f>
        <v>0</v>
      </c>
      <c r="D188" s="853">
        <f>'General(R)'!E235</f>
        <v>0</v>
      </c>
      <c r="E188" s="850">
        <f>'General(R)'!F235</f>
        <v>0</v>
      </c>
      <c r="F188" s="741">
        <f>'General(R)'!G235</f>
        <v>0</v>
      </c>
    </row>
    <row r="189" spans="1:11" s="701" customFormat="1" ht="15.75">
      <c r="A189" s="713" t="str">
        <f>'General(R)'!B236</f>
        <v>Total</v>
      </c>
      <c r="B189" s="811">
        <f>'General(R)'!C236</f>
        <v>0</v>
      </c>
      <c r="C189" s="811">
        <f>'General(R)'!D236</f>
        <v>0</v>
      </c>
      <c r="D189" s="811">
        <f>'General(R)'!E236</f>
        <v>0</v>
      </c>
      <c r="E189" s="811">
        <f>'General(R)'!F236</f>
        <v>0</v>
      </c>
      <c r="F189" s="1081">
        <f>'General(R)'!G236</f>
        <v>0</v>
      </c>
    </row>
    <row r="190" spans="1:11" s="701" customFormat="1" ht="15.75">
      <c r="A190" s="714"/>
      <c r="B190" s="1074"/>
      <c r="C190" s="1074"/>
      <c r="D190" s="1074"/>
      <c r="E190" s="1074"/>
      <c r="F190" s="1074"/>
    </row>
    <row r="191" spans="1:11">
      <c r="A191" s="696" t="s">
        <v>160</v>
      </c>
      <c r="B191" s="95"/>
      <c r="C191" s="95" t="s">
        <v>177</v>
      </c>
      <c r="D191" s="95"/>
      <c r="E191" s="95"/>
      <c r="F191" s="95"/>
      <c r="G191" s="95"/>
      <c r="H191" s="695"/>
      <c r="I191" s="695"/>
      <c r="J191" s="695"/>
      <c r="K191" s="695"/>
    </row>
    <row r="192" spans="1:11" ht="10.5" customHeight="1">
      <c r="A192" s="744"/>
      <c r="B192" s="745"/>
      <c r="C192" s="745"/>
      <c r="D192" s="745"/>
      <c r="E192" s="745"/>
      <c r="F192" s="745"/>
      <c r="G192" s="745"/>
      <c r="H192" s="746"/>
    </row>
    <row r="193" spans="1:10">
      <c r="A193" s="95" t="s">
        <v>162</v>
      </c>
      <c r="B193" s="95"/>
      <c r="C193" s="697" t="s">
        <v>178</v>
      </c>
      <c r="D193" s="95"/>
      <c r="E193" s="95"/>
      <c r="F193" s="95"/>
      <c r="G193" s="95"/>
      <c r="H193" s="695"/>
      <c r="I193" s="695"/>
      <c r="J193" s="695"/>
    </row>
    <row r="194" spans="1:10">
      <c r="A194" s="695"/>
      <c r="B194" s="695"/>
      <c r="C194" s="697" t="s">
        <v>179</v>
      </c>
      <c r="D194" s="95"/>
      <c r="E194" s="95"/>
      <c r="F194" s="95"/>
      <c r="G194" s="695"/>
      <c r="H194" s="695"/>
      <c r="I194" s="695"/>
      <c r="J194" s="695"/>
    </row>
    <row r="195" spans="1:10">
      <c r="C195" s="697" t="s">
        <v>180</v>
      </c>
      <c r="D195" s="72"/>
      <c r="E195" s="72"/>
      <c r="F195" s="72"/>
    </row>
    <row r="196" spans="1:10" ht="13.5" thickBot="1">
      <c r="C196" s="697"/>
      <c r="D196" s="72"/>
      <c r="E196" s="72"/>
      <c r="F196" s="72"/>
    </row>
    <row r="197" spans="1:10" s="701" customFormat="1" ht="15">
      <c r="A197" s="812" t="str">
        <f>'General(R)'!B91</f>
        <v>Options</v>
      </c>
      <c r="B197" s="813" t="str">
        <f>'General(R)'!C91</f>
        <v>Volume</v>
      </c>
      <c r="C197" s="813"/>
      <c r="D197" s="813" t="str">
        <f>'General(R)'!E91</f>
        <v>Open Interest</v>
      </c>
      <c r="E197" s="813"/>
      <c r="F197" s="814"/>
    </row>
    <row r="198" spans="1:10" s="701" customFormat="1" ht="15">
      <c r="A198" s="815" t="str">
        <f>'General(R)'!B92</f>
        <v>Series</v>
      </c>
      <c r="B198" s="718" t="str">
        <f>'General(R)'!C92</f>
        <v xml:space="preserve">Current </v>
      </c>
      <c r="C198" s="718" t="str">
        <f>'General(R)'!D92</f>
        <v>MTD</v>
      </c>
      <c r="D198" s="718" t="str">
        <f>'General(R)'!E92</f>
        <v>Previous</v>
      </c>
      <c r="E198" s="718" t="str">
        <f>'General(R)'!F92</f>
        <v>Current</v>
      </c>
      <c r="F198" s="816" t="str">
        <f>'General(R)'!G92</f>
        <v>Change</v>
      </c>
    </row>
    <row r="199" spans="1:10" s="701" customFormat="1" ht="15.75">
      <c r="A199" s="747" t="str">
        <f>'General(R)'!B93</f>
        <v>Calls</v>
      </c>
      <c r="B199" s="705"/>
      <c r="C199" s="705"/>
      <c r="D199" s="748"/>
      <c r="E199" s="705"/>
      <c r="F199" s="749"/>
    </row>
    <row r="200" spans="1:10" s="701" customFormat="1" ht="15">
      <c r="A200" s="750">
        <f>'General(R)'!B94</f>
        <v>0</v>
      </c>
      <c r="B200" s="850">
        <f>'General(R)'!C94</f>
        <v>0</v>
      </c>
      <c r="C200" s="849">
        <f>'General(R)'!D94</f>
        <v>0</v>
      </c>
      <c r="D200" s="853">
        <f>'General(R)'!E94</f>
        <v>0</v>
      </c>
      <c r="E200" s="850">
        <f>'General(R)'!F94</f>
        <v>0</v>
      </c>
      <c r="F200" s="861">
        <f>'General(R)'!G94</f>
        <v>0</v>
      </c>
    </row>
    <row r="201" spans="1:10" s="701" customFormat="1" ht="15.75" thickBot="1">
      <c r="A201" s="750">
        <f>'General(R)'!B95</f>
        <v>0</v>
      </c>
      <c r="B201" s="854">
        <f>'General(R)'!C95</f>
        <v>0</v>
      </c>
      <c r="C201" s="855">
        <f>'General(R)'!D95</f>
        <v>0</v>
      </c>
      <c r="D201" s="858">
        <f>'General(R)'!E95</f>
        <v>0</v>
      </c>
      <c r="E201" s="854">
        <f>'General(R)'!F95</f>
        <v>0</v>
      </c>
      <c r="F201" s="862">
        <f>'General(R)'!G95</f>
        <v>0</v>
      </c>
    </row>
    <row r="202" spans="1:10" s="701" customFormat="1" ht="15.75" thickBot="1">
      <c r="A202" s="751" t="s">
        <v>50</v>
      </c>
      <c r="B202" s="856">
        <f>'General(R)'!C96</f>
        <v>0</v>
      </c>
      <c r="C202" s="857">
        <f>'General(R)'!D96</f>
        <v>0</v>
      </c>
      <c r="D202" s="859">
        <f>'General(R)'!E96</f>
        <v>0</v>
      </c>
      <c r="E202" s="856">
        <f>'General(R)'!F96</f>
        <v>0</v>
      </c>
      <c r="F202" s="860">
        <f>'General(R)'!G96</f>
        <v>0</v>
      </c>
    </row>
    <row r="203" spans="1:10" s="701" customFormat="1" ht="15.75">
      <c r="A203" s="752" t="str">
        <f>'General(R)'!B97</f>
        <v>Puts</v>
      </c>
      <c r="B203" s="753"/>
      <c r="C203" s="753"/>
      <c r="D203" s="754"/>
      <c r="E203" s="755"/>
      <c r="F203" s="756"/>
    </row>
    <row r="204" spans="1:10" s="701" customFormat="1" ht="15.75" thickBot="1">
      <c r="A204" s="750">
        <f>'General(R)'!B98</f>
        <v>0</v>
      </c>
      <c r="B204" s="854">
        <f>'General(R)'!C98</f>
        <v>0</v>
      </c>
      <c r="C204" s="855">
        <f>'General(R)'!D98</f>
        <v>0</v>
      </c>
      <c r="D204" s="858">
        <f>'General(R)'!E98</f>
        <v>0</v>
      </c>
      <c r="E204" s="854">
        <f>'General(R)'!F98</f>
        <v>0</v>
      </c>
      <c r="F204" s="862">
        <f>'General(R)'!G98</f>
        <v>0</v>
      </c>
    </row>
    <row r="205" spans="1:10" s="701" customFormat="1" ht="15.75" thickBot="1">
      <c r="A205" s="751" t="str">
        <f>'General(R)'!B99</f>
        <v>Sub-total</v>
      </c>
      <c r="B205" s="856">
        <f>'General(R)'!C99</f>
        <v>0</v>
      </c>
      <c r="C205" s="857">
        <f>'General(R)'!D99</f>
        <v>0</v>
      </c>
      <c r="D205" s="859">
        <f>'General(R)'!E99</f>
        <v>0</v>
      </c>
      <c r="E205" s="856">
        <f>'General(R)'!F99</f>
        <v>0</v>
      </c>
      <c r="F205" s="860">
        <f>'General(R)'!G99</f>
        <v>0</v>
      </c>
    </row>
    <row r="206" spans="1:10" s="701" customFormat="1" ht="16.5" thickBot="1">
      <c r="A206" s="757" t="s">
        <v>32</v>
      </c>
      <c r="B206" s="856">
        <f>'General(R)'!C100</f>
        <v>0</v>
      </c>
      <c r="C206" s="857">
        <f>'General(R)'!D100</f>
        <v>0</v>
      </c>
      <c r="D206" s="859">
        <f>'General(R)'!E100</f>
        <v>0</v>
      </c>
      <c r="E206" s="856">
        <f>'General(R)'!F100</f>
        <v>0</v>
      </c>
      <c r="F206" s="860">
        <f>'General(R)'!G100</f>
        <v>0</v>
      </c>
    </row>
    <row r="207" spans="1:10" s="701" customFormat="1" ht="12.75" customHeight="1" thickBot="1">
      <c r="A207" s="758"/>
      <c r="B207" s="759"/>
    </row>
    <row r="208" spans="1:10" s="701" customFormat="1" ht="15">
      <c r="A208" s="812" t="str">
        <f>'General(R)'!B102</f>
        <v>Contract</v>
      </c>
      <c r="B208" s="817" t="s">
        <v>34</v>
      </c>
      <c r="C208" s="818" t="s">
        <v>35</v>
      </c>
      <c r="D208" s="818" t="s">
        <v>36</v>
      </c>
      <c r="E208" s="818" t="s">
        <v>37</v>
      </c>
      <c r="F208" s="817" t="s">
        <v>38</v>
      </c>
      <c r="G208" s="817" t="s">
        <v>39</v>
      </c>
      <c r="H208" s="819" t="s">
        <v>40</v>
      </c>
    </row>
    <row r="209" spans="1:8" s="701" customFormat="1" ht="15">
      <c r="A209" s="820" t="str">
        <f>'General(R)'!B103</f>
        <v>Months</v>
      </c>
      <c r="B209" s="703" t="s">
        <v>41</v>
      </c>
      <c r="C209" s="703" t="s">
        <v>42</v>
      </c>
      <c r="D209" s="703" t="s">
        <v>42</v>
      </c>
      <c r="E209" s="703" t="s">
        <v>42</v>
      </c>
      <c r="F209" s="703" t="s">
        <v>42</v>
      </c>
      <c r="G209" s="703" t="s">
        <v>42</v>
      </c>
      <c r="H209" s="821" t="s">
        <v>28</v>
      </c>
    </row>
    <row r="210" spans="1:8" s="701" customFormat="1" ht="15.75">
      <c r="A210" s="760" t="str">
        <f>'General(R)'!B104</f>
        <v>Calls</v>
      </c>
      <c r="B210" s="705"/>
      <c r="C210" s="705"/>
      <c r="D210" s="705"/>
      <c r="E210" s="705"/>
      <c r="F210" s="705"/>
      <c r="G210" s="705"/>
      <c r="H210" s="749"/>
    </row>
    <row r="211" spans="1:8" s="701" customFormat="1" ht="15">
      <c r="A211" s="750">
        <f>'General(R)'!B105</f>
        <v>0</v>
      </c>
      <c r="B211" s="761">
        <f>'General(R)'!C105</f>
        <v>0</v>
      </c>
      <c r="C211" s="761">
        <f>'General(R)'!D105</f>
        <v>0</v>
      </c>
      <c r="D211" s="761">
        <f>'General(R)'!E105</f>
        <v>0</v>
      </c>
      <c r="E211" s="761">
        <f>'General(R)'!F105</f>
        <v>0</v>
      </c>
      <c r="F211" s="761">
        <f>'General(R)'!G105</f>
        <v>0</v>
      </c>
      <c r="G211" s="761">
        <f>'General(R)'!H105</f>
        <v>0</v>
      </c>
      <c r="H211" s="762">
        <f>'General(R)'!I105</f>
        <v>0</v>
      </c>
    </row>
    <row r="212" spans="1:8" s="701" customFormat="1" ht="15">
      <c r="A212" s="750">
        <f>'General(R)'!B106</f>
        <v>0</v>
      </c>
      <c r="B212" s="761">
        <f>'General(R)'!C106</f>
        <v>0</v>
      </c>
      <c r="C212" s="761">
        <f>'General(R)'!D106</f>
        <v>0</v>
      </c>
      <c r="D212" s="761">
        <f>'General(R)'!E106</f>
        <v>0</v>
      </c>
      <c r="E212" s="761">
        <f>'General(R)'!F106</f>
        <v>0</v>
      </c>
      <c r="F212" s="761">
        <f>'General(R)'!G106</f>
        <v>0</v>
      </c>
      <c r="G212" s="761">
        <f>'General(R)'!H106</f>
        <v>0</v>
      </c>
      <c r="H212" s="762">
        <f>'General(R)'!I106</f>
        <v>0</v>
      </c>
    </row>
    <row r="213" spans="1:8" s="701" customFormat="1" ht="15" customHeight="1">
      <c r="A213" s="763" t="str">
        <f>'General(R)'!B107</f>
        <v>Puts</v>
      </c>
      <c r="B213" s="764"/>
      <c r="C213" s="765"/>
      <c r="D213" s="765"/>
      <c r="E213" s="765"/>
      <c r="F213" s="765"/>
      <c r="G213" s="766"/>
      <c r="H213" s="767"/>
    </row>
    <row r="214" spans="1:8" s="701" customFormat="1" ht="15.75" thickBot="1">
      <c r="A214" s="768">
        <f>'General(R)'!B108</f>
        <v>0</v>
      </c>
      <c r="B214" s="769">
        <f>'General(R)'!C108</f>
        <v>0</v>
      </c>
      <c r="C214" s="769">
        <f>'General(R)'!D108</f>
        <v>0</v>
      </c>
      <c r="D214" s="769">
        <f>'General(R)'!E108</f>
        <v>0</v>
      </c>
      <c r="E214" s="769">
        <f>'General(R)'!F108</f>
        <v>0</v>
      </c>
      <c r="F214" s="769">
        <f>'General(R)'!G108</f>
        <v>0</v>
      </c>
      <c r="G214" s="769">
        <f>'General(R)'!H108</f>
        <v>0</v>
      </c>
      <c r="H214" s="770">
        <f>'General(R)'!I108</f>
        <v>0</v>
      </c>
    </row>
    <row r="215" spans="1:8" s="771" customFormat="1" ht="15" thickBot="1"/>
    <row r="216" spans="1:8" s="771" customFormat="1" ht="16.5" thickBot="1">
      <c r="A216" s="1216" t="s">
        <v>0</v>
      </c>
      <c r="B216" s="1217"/>
      <c r="C216" s="1217"/>
      <c r="D216" s="1218"/>
      <c r="E216" s="772"/>
    </row>
    <row r="217" spans="1:8" s="771" customFormat="1" ht="18.75">
      <c r="A217" s="773"/>
      <c r="B217" s="774"/>
      <c r="C217" s="775" t="s">
        <v>2</v>
      </c>
      <c r="D217" s="776" t="s">
        <v>284</v>
      </c>
      <c r="E217" s="777"/>
    </row>
    <row r="218" spans="1:8" s="771" customFormat="1" ht="15.75">
      <c r="A218" s="778" t="s">
        <v>4</v>
      </c>
      <c r="B218" s="779"/>
      <c r="C218" s="780">
        <f>'General(R)'!F25</f>
        <v>9239</v>
      </c>
      <c r="D218" s="781">
        <f>SUM(D219:D225)</f>
        <v>87339</v>
      </c>
    </row>
    <row r="219" spans="1:8" s="771" customFormat="1" ht="15.75" customHeight="1">
      <c r="A219" s="778" t="s">
        <v>218</v>
      </c>
      <c r="B219" s="779"/>
      <c r="C219" s="780">
        <f>'General(R)'!F18</f>
        <v>3324</v>
      </c>
      <c r="D219" s="781">
        <f>'General(R)'!D78</f>
        <v>32060</v>
      </c>
    </row>
    <row r="220" spans="1:8" s="771" customFormat="1" ht="15.75" customHeight="1">
      <c r="A220" s="778" t="s">
        <v>209</v>
      </c>
      <c r="B220" s="779"/>
      <c r="C220" s="780">
        <f>'General(R)'!F19</f>
        <v>0</v>
      </c>
      <c r="D220" s="781">
        <f>'General(R)'!D100</f>
        <v>0</v>
      </c>
    </row>
    <row r="221" spans="1:8" s="771" customFormat="1" ht="15.75" customHeight="1">
      <c r="A221" s="778" t="s">
        <v>219</v>
      </c>
      <c r="B221" s="779"/>
      <c r="C221" s="780">
        <f>'General(R)'!F20</f>
        <v>3867</v>
      </c>
      <c r="D221" s="781">
        <f>'General(R)'!D123</f>
        <v>36436</v>
      </c>
    </row>
    <row r="222" spans="1:8" s="771" customFormat="1" ht="15.75" customHeight="1">
      <c r="A222" s="778" t="s">
        <v>220</v>
      </c>
      <c r="B222" s="779"/>
      <c r="C222" s="780">
        <f>'General(R)'!F21</f>
        <v>1946</v>
      </c>
      <c r="D222" s="781">
        <f>'General(R)'!D164</f>
        <v>16413</v>
      </c>
    </row>
    <row r="223" spans="1:8" s="771" customFormat="1" ht="15.75" customHeight="1" ph="1">
      <c r="A223" s="778" t="s">
        <v>260</v>
      </c>
      <c r="B223" s="807"/>
      <c r="C223" s="780">
        <f>'General(R)'!F22</f>
        <v>52</v>
      </c>
      <c r="D223" s="808">
        <f>'General(R)'!D200</f>
        <v>1310</v>
      </c>
      <c r="E223" s="771"/>
      <c r="F223" s="771"/>
      <c r="G223" s="771"/>
      <c r="H223" s="771"/>
    </row>
    <row r="224" spans="1:8" s="771" customFormat="1" ht="15.75" customHeight="1">
      <c r="A224" s="778" t="s">
        <v>263</v>
      </c>
      <c r="B224" s="779"/>
      <c r="C224" s="787">
        <f>'General(R)'!F23</f>
        <v>50</v>
      </c>
      <c r="D224" s="781">
        <f>'General(R)'!D218</f>
        <v>1120</v>
      </c>
    </row>
    <row r="225" spans="1:5" s="771" customFormat="1" ht="15.75" customHeight="1">
      <c r="A225" s="778" t="s">
        <v>264</v>
      </c>
      <c r="B225" s="779"/>
      <c r="C225" s="787">
        <f>'General(R)'!F24</f>
        <v>0</v>
      </c>
      <c r="D225" s="781">
        <f>'General(R)'!D236</f>
        <v>0</v>
      </c>
    </row>
    <row r="226" spans="1:5" s="771" customFormat="1" ht="31.5">
      <c r="A226" s="782" t="s">
        <v>128</v>
      </c>
      <c r="B226" s="784" t="s">
        <v>7</v>
      </c>
      <c r="C226" s="783" t="str">
        <f>'General(R)'!D37</f>
        <v>16,854 (Highest since Jul-00)</v>
      </c>
      <c r="D226" s="785" t="str">
        <f>'General(R)'!H37</f>
        <v>(21/10/03)</v>
      </c>
    </row>
    <row r="227" spans="1:5" s="771" customFormat="1" ht="15.75">
      <c r="A227" s="1076" t="s">
        <v>98</v>
      </c>
      <c r="B227" s="1077"/>
      <c r="C227" s="1078">
        <f>'General(R)'!D38</f>
        <v>11238</v>
      </c>
      <c r="D227" s="1079" t="str">
        <f>'General(R)'!H38</f>
        <v>(07/09/98)</v>
      </c>
    </row>
    <row r="228" spans="1:5" s="771" customFormat="1" ht="15.75">
      <c r="A228" s="1076" t="s">
        <v>127</v>
      </c>
      <c r="B228" s="1077"/>
      <c r="C228" s="1078">
        <f>'General(R)'!D39</f>
        <v>105</v>
      </c>
      <c r="D228" s="1079" t="str">
        <f>'General(R)'!H39</f>
        <v>(01/12/00)</v>
      </c>
    </row>
    <row r="229" spans="1:5" s="771" customFormat="1" ht="15.75">
      <c r="A229" s="1076" t="s">
        <v>129</v>
      </c>
      <c r="B229" s="1077"/>
      <c r="C229" s="1078">
        <f>'General(R)'!D40</f>
        <v>14508</v>
      </c>
      <c r="D229" s="1079" t="str">
        <f>'General(R)'!H40</f>
        <v>(21/10/03)</v>
      </c>
    </row>
    <row r="230" spans="1:5" s="771" customFormat="1" ht="15.75">
      <c r="A230" s="1076" t="s">
        <v>126</v>
      </c>
      <c r="B230" s="1077"/>
      <c r="C230" s="1078">
        <f>'General(R)'!D41</f>
        <v>6001</v>
      </c>
      <c r="D230" s="1079" t="str">
        <f>'General(R)'!H41</f>
        <v>(21/07/03)</v>
      </c>
    </row>
    <row r="231" spans="1:5" s="771" customFormat="1" ht="15.75">
      <c r="A231" s="1076" t="s">
        <v>213</v>
      </c>
      <c r="B231" s="1077"/>
      <c r="C231" s="1078">
        <f>'General(R)'!D42</f>
        <v>3215</v>
      </c>
      <c r="D231" s="1079" t="str">
        <f>'General(R)'!H42</f>
        <v>(16/07/03)</v>
      </c>
    </row>
    <row r="232" spans="1:5" s="771" customFormat="1" ht="15.75">
      <c r="A232" s="1076" t="s">
        <v>250</v>
      </c>
      <c r="B232" s="1077"/>
      <c r="C232" s="1080">
        <f>'General(R)'!D43</f>
        <v>1</v>
      </c>
      <c r="D232" s="1079" t="str">
        <f>'General(R)'!H43</f>
        <v>(19/09/03)</v>
      </c>
    </row>
    <row r="233" spans="1:5" s="771" customFormat="1" ht="15.75">
      <c r="A233" s="1076" t="s">
        <v>265</v>
      </c>
      <c r="B233" s="1077"/>
      <c r="C233" s="1078">
        <f>'General(R)'!D44</f>
        <v>11</v>
      </c>
      <c r="D233" s="1079" t="str">
        <f>'General(R)'!H44</f>
        <v>(19/09/03)</v>
      </c>
    </row>
    <row r="234" spans="1:5" s="771" customFormat="1" ht="15.75">
      <c r="A234" s="778" t="s">
        <v>107</v>
      </c>
      <c r="B234" s="779"/>
      <c r="C234" s="786">
        <f>SUM(C235:C239)</f>
        <v>56612</v>
      </c>
      <c r="D234" s="788"/>
      <c r="E234" s="777"/>
    </row>
    <row r="235" spans="1:5" s="771" customFormat="1" ht="15.75">
      <c r="A235" s="778" t="s">
        <v>5</v>
      </c>
      <c r="B235" s="779"/>
      <c r="C235" s="787">
        <f>'General(R)'!F78</f>
        <v>16406</v>
      </c>
      <c r="D235" s="788"/>
    </row>
    <row r="236" spans="1:5" s="771" customFormat="1" ht="15.75">
      <c r="A236" s="778" t="s">
        <v>6</v>
      </c>
      <c r="B236" s="779"/>
      <c r="C236" s="787">
        <f>'General(R)'!F100</f>
        <v>0</v>
      </c>
      <c r="D236" s="788"/>
    </row>
    <row r="237" spans="1:5" s="771" customFormat="1" ht="15.75">
      <c r="A237" s="778" t="s">
        <v>119</v>
      </c>
      <c r="B237" s="779"/>
      <c r="C237" s="787">
        <f>'General(R)'!F123</f>
        <v>21153</v>
      </c>
      <c r="D237" s="788"/>
    </row>
    <row r="238" spans="1:5" s="771" customFormat="1" ht="15.75">
      <c r="A238" s="778" t="s">
        <v>120</v>
      </c>
      <c r="B238" s="779"/>
      <c r="C238" s="787">
        <f>'General(R)'!F164</f>
        <v>18006</v>
      </c>
      <c r="D238" s="788"/>
    </row>
    <row r="239" spans="1:5" s="771" customFormat="1" ht="15.75">
      <c r="A239" s="778" t="s">
        <v>212</v>
      </c>
      <c r="B239" s="779"/>
      <c r="C239" s="787">
        <f>'General(R)'!F200</f>
        <v>1047</v>
      </c>
      <c r="D239" s="788"/>
    </row>
    <row r="240" spans="1:5" s="771" customFormat="1" ht="15.75">
      <c r="A240" s="778" t="s">
        <v>248</v>
      </c>
      <c r="B240" s="779"/>
      <c r="C240" s="787">
        <f>'General(R)'!F218</f>
        <v>220</v>
      </c>
      <c r="D240" s="788"/>
    </row>
    <row r="241" spans="1:7" s="771" customFormat="1" ht="15.75">
      <c r="A241" s="778" t="s">
        <v>266</v>
      </c>
      <c r="B241" s="779"/>
      <c r="C241" s="787">
        <f>'General(R)'!F236</f>
        <v>0</v>
      </c>
      <c r="D241" s="788"/>
    </row>
    <row r="242" spans="1:7" s="771" customFormat="1" ht="15.75">
      <c r="A242" s="778" t="s">
        <v>108</v>
      </c>
      <c r="B242" s="779"/>
      <c r="C242" s="789"/>
      <c r="D242" s="788"/>
    </row>
    <row r="243" spans="1:7" s="771" customFormat="1" ht="15.75">
      <c r="A243" s="778" t="s">
        <v>5</v>
      </c>
      <c r="B243" s="779"/>
      <c r="C243" s="789">
        <f>'General(R)'!I78</f>
        <v>137618375</v>
      </c>
      <c r="D243" s="788"/>
      <c r="F243" s="790"/>
    </row>
    <row r="244" spans="1:7" s="771" customFormat="1" ht="15.75">
      <c r="A244" s="778" t="s">
        <v>6</v>
      </c>
      <c r="B244" s="779"/>
      <c r="C244" s="789">
        <f>'General(R)'!I100</f>
        <v>0</v>
      </c>
      <c r="D244" s="788"/>
      <c r="F244"/>
    </row>
    <row r="245" spans="1:7" s="771" customFormat="1" ht="15.75">
      <c r="A245" s="778" t="s">
        <v>181</v>
      </c>
      <c r="B245" s="779"/>
      <c r="C245" s="787">
        <f>'General(R)'!I123</f>
        <v>96675</v>
      </c>
      <c r="D245" s="788"/>
      <c r="F245"/>
    </row>
    <row r="246" spans="1:7" s="771" customFormat="1" ht="15.75">
      <c r="A246" s="778" t="s">
        <v>120</v>
      </c>
      <c r="B246" s="779"/>
      <c r="C246" s="789">
        <f>'General(R)'!I164</f>
        <v>1946000000</v>
      </c>
      <c r="D246" s="788"/>
      <c r="F246" s="791"/>
    </row>
    <row r="247" spans="1:7" s="771" customFormat="1" ht="15.75">
      <c r="A247" s="778" t="s">
        <v>212</v>
      </c>
      <c r="B247" s="779"/>
      <c r="C247" s="789">
        <f>'General(R)'!I200</f>
        <v>5200000</v>
      </c>
      <c r="D247" s="788"/>
      <c r="F247" s="791"/>
    </row>
    <row r="248" spans="1:7" s="771" customFormat="1" ht="15.75">
      <c r="A248" s="778" t="s">
        <v>248</v>
      </c>
      <c r="B248" s="779"/>
      <c r="C248" s="789">
        <f>'General(R)'!I218</f>
        <v>5000000</v>
      </c>
      <c r="D248" s="788"/>
      <c r="F248" s="791"/>
    </row>
    <row r="249" spans="1:7" s="771" customFormat="1" ht="15.75">
      <c r="A249" s="778" t="s">
        <v>266</v>
      </c>
      <c r="B249" s="779"/>
      <c r="C249" s="789">
        <f>'General(R)'!I236</f>
        <v>0</v>
      </c>
      <c r="D249" s="788"/>
      <c r="F249" s="791"/>
    </row>
    <row r="250" spans="1:7" s="771" customFormat="1" ht="15.75">
      <c r="A250" s="778" t="s">
        <v>105</v>
      </c>
      <c r="B250" s="779"/>
      <c r="C250" s="792">
        <f>F18</f>
        <v>815.98</v>
      </c>
      <c r="D250" s="788"/>
      <c r="F250"/>
    </row>
    <row r="251" spans="1:7" s="771" customFormat="1" ht="15.75">
      <c r="A251" s="778" t="s">
        <v>10</v>
      </c>
      <c r="B251" s="779"/>
      <c r="C251" s="792">
        <f>'General(R)'!F48</f>
        <v>823.5</v>
      </c>
      <c r="D251" s="788"/>
      <c r="F251"/>
    </row>
    <row r="252" spans="1:7" s="771" customFormat="1" ht="15.75">
      <c r="A252" s="778" t="s">
        <v>11</v>
      </c>
      <c r="B252" s="779"/>
      <c r="C252" s="792">
        <f>C251-C250</f>
        <v>7.5199999999999818</v>
      </c>
      <c r="D252" s="788"/>
      <c r="F252"/>
    </row>
    <row r="253" spans="1:7" s="771" customFormat="1" ht="16.5" thickBot="1">
      <c r="A253" s="793" t="s">
        <v>182</v>
      </c>
      <c r="B253" s="794"/>
      <c r="C253" s="795">
        <f>C250+0.3</f>
        <v>816.28</v>
      </c>
      <c r="D253" s="796"/>
      <c r="F253"/>
    </row>
    <row r="254" spans="1:7" s="771" customFormat="1" ht="11.25" customHeight="1">
      <c r="A254" s="797"/>
      <c r="B254" s="790"/>
      <c r="C254" s="798"/>
      <c r="D254" s="790"/>
      <c r="E254" s="790"/>
      <c r="F254"/>
      <c r="G254" s="790"/>
    </row>
    <row r="255" spans="1:7" s="771" customFormat="1" ht="15.75" ph="1">
      <c r="A255" s="799" t="s">
        <v>183</v>
      </c>
      <c r="B255" s="800"/>
      <c r="C255"/>
      <c r="D255"/>
      <c r="E255"/>
      <c r="F255"/>
      <c r="G255"/>
    </row>
    <row r="256" spans="1:7" s="771" customFormat="1" ht="14.25">
      <c r="A256" s="801" t="s">
        <v>184</v>
      </c>
      <c r="B256" s="72"/>
      <c r="C256" s="802" t="s">
        <v>185</v>
      </c>
      <c r="D256" s="791"/>
      <c r="E256" s="791"/>
      <c r="F256"/>
      <c r="G256" s="791"/>
    </row>
    <row r="257" spans="1:8" s="771" customFormat="1" ht="14.25">
      <c r="A257"/>
      <c r="B257"/>
      <c r="C257" s="802" t="s">
        <v>186</v>
      </c>
      <c r="D257"/>
      <c r="E257"/>
      <c r="F257"/>
      <c r="G257"/>
    </row>
    <row r="258" spans="1:8" s="771" customFormat="1" ht="14.25">
      <c r="A258" s="801" t="s">
        <v>187</v>
      </c>
      <c r="B258"/>
      <c r="C258" s="802" t="s">
        <v>188</v>
      </c>
      <c r="D258"/>
      <c r="E258"/>
      <c r="F258"/>
      <c r="G258"/>
    </row>
    <row r="259" spans="1:8" s="771" customFormat="1" ht="14.25">
      <c r="A259" s="801" t="s">
        <v>189</v>
      </c>
      <c r="B259"/>
      <c r="C259" s="802" t="s">
        <v>190</v>
      </c>
      <c r="D259"/>
      <c r="E259"/>
      <c r="F259"/>
      <c r="G259"/>
    </row>
    <row r="260" spans="1:8" s="771" customFormat="1" ht="14.25">
      <c r="A260" s="801" t="s">
        <v>191</v>
      </c>
      <c r="B260"/>
      <c r="C260" s="802" t="s">
        <v>192</v>
      </c>
      <c r="D260"/>
      <c r="E260"/>
      <c r="F260"/>
      <c r="G260"/>
    </row>
    <row r="261" spans="1:8" s="771" customFormat="1" ht="14.25">
      <c r="A261" s="801" t="s">
        <v>193</v>
      </c>
      <c r="B261"/>
      <c r="C261" s="802" t="s">
        <v>194</v>
      </c>
      <c r="D261"/>
      <c r="E261"/>
      <c r="F261"/>
      <c r="G261"/>
    </row>
    <row r="262" spans="1:8" s="771" customFormat="1" ht="14.25">
      <c r="A262" s="801" t="s">
        <v>215</v>
      </c>
      <c r="B262"/>
      <c r="C262" s="802" t="s">
        <v>217</v>
      </c>
      <c r="D262"/>
      <c r="E262"/>
      <c r="F262"/>
      <c r="G262"/>
    </row>
    <row r="263" spans="1:8" s="771" customFormat="1" ht="14.25">
      <c r="A263" s="1075" t="s">
        <v>261</v>
      </c>
      <c r="B263"/>
      <c r="C263" s="802" t="s">
        <v>258</v>
      </c>
      <c r="D263"/>
      <c r="E263"/>
      <c r="F263"/>
      <c r="G263"/>
    </row>
    <row r="264" spans="1:8" s="771" customFormat="1" ht="14.25">
      <c r="A264" s="1075" t="s">
        <v>262</v>
      </c>
      <c r="B264"/>
      <c r="C264" s="802" t="s">
        <v>259</v>
      </c>
      <c r="D264"/>
      <c r="E264"/>
      <c r="F264"/>
      <c r="G264"/>
    </row>
    <row r="265" spans="1:8" s="771" customFormat="1" ht="14.25">
      <c r="A265" s="72" t="s">
        <v>273</v>
      </c>
      <c r="B265"/>
      <c r="C265" s="803" t="s">
        <v>195</v>
      </c>
      <c r="D265"/>
      <c r="E265"/>
      <c r="F265" s="12"/>
      <c r="G265"/>
    </row>
    <row r="266" spans="1:8" s="771" customFormat="1" ht="14.25">
      <c r="A266" s="72" t="s">
        <v>274</v>
      </c>
      <c r="B266" s="72"/>
      <c r="C266" s="802" t="s">
        <v>196</v>
      </c>
      <c r="D266"/>
      <c r="E266"/>
      <c r="F266" s="12"/>
      <c r="G266"/>
    </row>
    <row r="267" spans="1:8" s="771" customFormat="1" ht="14.25">
      <c r="A267" s="72" t="s">
        <v>275</v>
      </c>
      <c r="B267" s="72"/>
      <c r="C267" s="802" t="s">
        <v>197</v>
      </c>
      <c r="D267"/>
      <c r="E267"/>
      <c r="F267" s="12"/>
      <c r="G267"/>
    </row>
    <row r="268" spans="1:8" ht="14.25">
      <c r="A268" s="72" t="s">
        <v>276</v>
      </c>
      <c r="B268" s="72"/>
      <c r="C268" s="802" t="s">
        <v>198</v>
      </c>
      <c r="F268" s="12"/>
      <c r="H268" s="771"/>
    </row>
    <row r="269" spans="1:8" ht="14.25">
      <c r="A269" s="72" t="s">
        <v>216</v>
      </c>
      <c r="B269" s="72"/>
      <c r="C269" s="802" t="s">
        <v>199</v>
      </c>
      <c r="F269" s="12"/>
      <c r="H269" s="771"/>
    </row>
    <row r="270" spans="1:8" ht="14.25">
      <c r="A270" s="72"/>
      <c r="B270" s="72"/>
      <c r="C270" s="802" t="s">
        <v>200</v>
      </c>
      <c r="F270" s="12"/>
      <c r="H270" s="771"/>
    </row>
    <row r="271" spans="1:8" ht="14.25">
      <c r="A271" s="72"/>
      <c r="B271" s="72"/>
      <c r="C271" s="802" t="s">
        <v>201</v>
      </c>
      <c r="F271" s="12"/>
      <c r="H271" s="771"/>
    </row>
    <row r="272" spans="1:8" ht="9" customHeight="1">
      <c r="A272" s="72"/>
      <c r="B272" s="72"/>
      <c r="C272" s="802"/>
      <c r="F272" s="12"/>
      <c r="H272" s="771"/>
    </row>
    <row r="273" spans="1:6" ht="15">
      <c r="A273" s="804" t="s">
        <v>202</v>
      </c>
      <c r="F273" s="12"/>
    </row>
    <row r="274" spans="1:6">
      <c r="F274" s="12"/>
    </row>
    <row r="275" spans="1:6">
      <c r="F275" s="12"/>
    </row>
    <row r="276" spans="1:6">
      <c r="F276" s="12"/>
    </row>
    <row r="277" spans="1:6">
      <c r="F277" s="12"/>
    </row>
    <row r="278" spans="1:6">
      <c r="F278" s="12"/>
    </row>
    <row r="279" spans="1:6">
      <c r="F279" s="12"/>
    </row>
    <row r="280" spans="1:6">
      <c r="F280" s="12"/>
    </row>
    <row r="281" spans="1:6">
      <c r="F281" s="12"/>
    </row>
    <row r="282" spans="1:6">
      <c r="F282" s="12"/>
    </row>
    <row r="283" spans="1:6">
      <c r="F283" s="12"/>
    </row>
    <row r="284" spans="1:6">
      <c r="F284" s="12"/>
    </row>
    <row r="285" spans="1:6">
      <c r="F285" s="12"/>
    </row>
    <row r="286" spans="1:6">
      <c r="F286" s="12"/>
    </row>
    <row r="287" spans="1:6">
      <c r="F287" s="12"/>
    </row>
    <row r="288" spans="1:6">
      <c r="F288" s="12"/>
    </row>
    <row r="289" spans="6:6">
      <c r="F289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5" spans="6:6">
      <c r="F295" s="12"/>
    </row>
    <row r="296" spans="6:6">
      <c r="F296" s="12"/>
    </row>
    <row r="297" spans="6:6">
      <c r="F297" s="12"/>
    </row>
    <row r="298" spans="6:6">
      <c r="F298" s="12"/>
    </row>
    <row r="299" spans="6:6">
      <c r="F299" s="12"/>
    </row>
    <row r="300" spans="6:6">
      <c r="F300" s="12"/>
    </row>
    <row r="303" spans="6:6">
      <c r="F303" s="12"/>
    </row>
    <row r="304" spans="6:6">
      <c r="F304" s="12"/>
    </row>
    <row r="305" spans="1:6">
      <c r="F305" s="12"/>
    </row>
    <row r="308" spans="1:6">
      <c r="F308" s="12"/>
    </row>
    <row r="309" spans="1:6">
      <c r="F309" s="12"/>
    </row>
    <row r="310" spans="1:6">
      <c r="F310" s="12"/>
    </row>
    <row r="311" spans="1:6">
      <c r="F311" s="12"/>
    </row>
    <row r="312" spans="1:6" ht="9" customHeight="1"/>
    <row r="313" spans="1:6" ht="15">
      <c r="A313" s="804" t="s">
        <v>203</v>
      </c>
      <c r="F313" s="12"/>
    </row>
    <row r="314" spans="1:6">
      <c r="F314" s="12"/>
    </row>
    <row r="315" spans="1:6">
      <c r="F315" s="12"/>
    </row>
    <row r="316" spans="1:6">
      <c r="F316" s="12"/>
    </row>
    <row r="317" spans="1:6">
      <c r="F317" s="12"/>
    </row>
    <row r="318" spans="1:6">
      <c r="F318" s="12"/>
    </row>
    <row r="319" spans="1:6">
      <c r="F319" s="12"/>
    </row>
    <row r="320" spans="1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5" spans="6:6">
      <c r="F325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  <row r="330" spans="6:6">
      <c r="F330" s="12"/>
    </row>
    <row r="331" spans="6:6">
      <c r="F331" s="12"/>
    </row>
    <row r="332" spans="6:6">
      <c r="F332" s="12"/>
    </row>
    <row r="333" spans="6:6">
      <c r="F333" s="12"/>
    </row>
    <row r="334" spans="6:6">
      <c r="F334" s="12"/>
    </row>
    <row r="335" spans="6:6">
      <c r="F335" s="12"/>
    </row>
    <row r="336" spans="6:6">
      <c r="F336" s="12"/>
    </row>
    <row r="337" spans="6:6">
      <c r="F337" s="12"/>
    </row>
    <row r="338" spans="6:6">
      <c r="F338" s="12"/>
    </row>
    <row r="339" spans="6:6">
      <c r="F339" s="12"/>
    </row>
    <row r="340" spans="6:6">
      <c r="F340" s="12"/>
    </row>
    <row r="341" spans="6:6">
      <c r="F341" s="12"/>
    </row>
    <row r="342" spans="6:6">
      <c r="F342" s="12"/>
    </row>
    <row r="343" spans="6:6">
      <c r="F343" s="12"/>
    </row>
    <row r="344" spans="6:6">
      <c r="F344" s="12"/>
    </row>
    <row r="347" spans="6:6">
      <c r="F347" s="12"/>
    </row>
    <row r="348" spans="6:6">
      <c r="F348" s="12"/>
    </row>
    <row r="349" spans="6:6">
      <c r="F349" s="12"/>
    </row>
    <row r="351" spans="6:6">
      <c r="F351" s="12"/>
    </row>
    <row r="358" spans="1:1" ht="15">
      <c r="A358" s="804" t="s">
        <v>227</v>
      </c>
    </row>
    <row r="395" spans="1:1" ht="15">
      <c r="A395" s="804" t="s">
        <v>228</v>
      </c>
    </row>
    <row r="433" spans="1:2" ht="15">
      <c r="A433" s="771" t="s">
        <v>210</v>
      </c>
    </row>
    <row r="434" spans="1:2" ht="14.25">
      <c r="A434" s="771" t="s">
        <v>204</v>
      </c>
    </row>
    <row r="443" spans="1:2">
      <c r="B443" t="s">
        <v>74</v>
      </c>
    </row>
  </sheetData>
  <mergeCells count="1">
    <mergeCell ref="A216:D216"/>
  </mergeCells>
  <phoneticPr fontId="69" type="noConversion"/>
  <pageMargins left="0.37" right="0" top="0.4" bottom="0.4" header="0.5" footer="0.5"/>
  <pageSetup paperSize="9" scale="71" orientation="portrait" horizontalDpi="300" verticalDpi="300" r:id="rId1"/>
  <headerFooter alignWithMargins="0">
    <oddFooter>&amp;RPage &amp;P</oddFooter>
  </headerFooter>
  <rowBreaks count="6" manualBreakCount="6">
    <brk id="62" max="7" man="1"/>
    <brk id="121" max="16383" man="1"/>
    <brk id="167" max="7" man="1"/>
    <brk id="215" max="16383" man="1"/>
    <brk id="272" max="7" man="1"/>
    <brk id="3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zoomScale="75" zoomScaleNormal="75" workbookViewId="0">
      <selection activeCell="J10" sqref="J10"/>
    </sheetView>
  </sheetViews>
  <sheetFormatPr defaultRowHeight="12.75"/>
  <cols>
    <col min="1" max="1" width="11.7109375" customWidth="1"/>
    <col min="2" max="2" width="12.28515625" customWidth="1"/>
    <col min="3" max="3" width="12.7109375" customWidth="1"/>
    <col min="4" max="4" width="10.85546875" customWidth="1"/>
    <col min="5" max="5" width="14.28515625" customWidth="1"/>
    <col min="6" max="6" width="16" customWidth="1"/>
    <col min="7" max="7" width="12.5703125" customWidth="1"/>
    <col min="8" max="9" width="11.140625" customWidth="1"/>
    <col min="10" max="11" width="12.7109375" bestFit="1" customWidth="1"/>
    <col min="12" max="12" width="11.5703125" customWidth="1"/>
  </cols>
  <sheetData>
    <row r="1" spans="1:14" ht="12.75" customHeight="1">
      <c r="M1" s="1016"/>
    </row>
    <row r="2" spans="1:14">
      <c r="B2" s="95"/>
      <c r="D2" s="95"/>
      <c r="E2" s="95"/>
      <c r="F2" s="95"/>
      <c r="G2" s="1015"/>
      <c r="H2" s="695"/>
      <c r="I2" s="695"/>
      <c r="J2" s="695"/>
    </row>
    <row r="3" spans="1:14" ht="26.25">
      <c r="A3" s="1241" t="s">
        <v>247</v>
      </c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</row>
    <row r="4" spans="1:14" ht="20.25" customHeight="1">
      <c r="B4" s="1014"/>
      <c r="C4" s="1014"/>
      <c r="D4" s="1014"/>
      <c r="E4" s="1014" t="s">
        <v>159</v>
      </c>
      <c r="F4" s="1014"/>
      <c r="G4" s="1014" t="str">
        <f>'General(R)'!H9</f>
        <v>14/01/2004 (Wednesday)</v>
      </c>
      <c r="H4" s="1014"/>
      <c r="I4" s="1014"/>
      <c r="J4" s="1014"/>
      <c r="K4" s="1014"/>
      <c r="L4" s="1014"/>
      <c r="M4" s="1014"/>
      <c r="N4" s="1014"/>
    </row>
    <row r="5" spans="1:14" ht="12" customHeight="1">
      <c r="A5" s="95"/>
      <c r="B5" s="95" t="s">
        <v>242</v>
      </c>
      <c r="C5" s="937"/>
      <c r="D5" s="95"/>
      <c r="E5" s="95"/>
      <c r="F5" s="95"/>
      <c r="G5" s="95"/>
      <c r="H5" s="695"/>
      <c r="I5" s="695"/>
      <c r="J5" s="695"/>
    </row>
    <row r="6" spans="1:14" ht="11.25" customHeight="1" thickBot="1">
      <c r="L6" s="938"/>
    </row>
    <row r="7" spans="1:14" s="695" customFormat="1" ht="13.5" thickBot="1">
      <c r="A7" s="1238" t="s">
        <v>0</v>
      </c>
      <c r="B7" s="1239"/>
      <c r="C7" s="1239"/>
      <c r="D7" s="1239"/>
      <c r="E7" s="1239"/>
      <c r="F7" s="1239"/>
      <c r="G7" s="1240"/>
    </row>
    <row r="8" spans="1:14" s="695" customFormat="1" ht="13.5" thickBot="1">
      <c r="A8" s="939" t="s">
        <v>231</v>
      </c>
      <c r="B8" s="940"/>
      <c r="C8" s="941" t="s">
        <v>2</v>
      </c>
      <c r="D8" s="942" t="s">
        <v>25</v>
      </c>
      <c r="E8" s="943" t="s">
        <v>9</v>
      </c>
      <c r="F8" s="939" t="s">
        <v>232</v>
      </c>
      <c r="G8" s="944"/>
      <c r="J8" s="695" t="s">
        <v>247</v>
      </c>
    </row>
    <row r="9" spans="1:14" s="695" customFormat="1" ht="15.75" customHeight="1">
      <c r="A9" s="945" t="s">
        <v>32</v>
      </c>
      <c r="B9" s="946"/>
      <c r="C9" s="947">
        <f>'General(R)'!F25</f>
        <v>9239</v>
      </c>
      <c r="D9" s="948">
        <f>SUM(D10:D14)</f>
        <v>86219</v>
      </c>
      <c r="E9" s="1048">
        <f>SUM(E10:E14)</f>
        <v>56612</v>
      </c>
      <c r="F9" s="1045"/>
      <c r="G9" s="107"/>
      <c r="I9" s="695" t="s">
        <v>243</v>
      </c>
    </row>
    <row r="10" spans="1:14" s="695" customFormat="1" ht="15.75" customHeight="1">
      <c r="A10" s="949" t="s">
        <v>5</v>
      </c>
      <c r="B10" s="950"/>
      <c r="C10" s="951">
        <f>'General(R)'!F18</f>
        <v>3324</v>
      </c>
      <c r="D10" s="952">
        <f>'General(R)'!D78</f>
        <v>32060</v>
      </c>
      <c r="E10" s="951">
        <f>'General(R)'!F78</f>
        <v>16406</v>
      </c>
      <c r="F10" s="1046">
        <f>'General(R)'!I78</f>
        <v>137618375</v>
      </c>
      <c r="G10" s="953"/>
    </row>
    <row r="11" spans="1:14" s="695" customFormat="1" ht="15.75" customHeight="1">
      <c r="A11" s="949" t="s">
        <v>6</v>
      </c>
      <c r="B11" s="950"/>
      <c r="C11" s="951">
        <f>'General(R)'!F19</f>
        <v>0</v>
      </c>
      <c r="D11" s="952">
        <f>'General(R)'!D100</f>
        <v>0</v>
      </c>
      <c r="E11" s="951">
        <f>'General(R)'!F100</f>
        <v>0</v>
      </c>
      <c r="F11" s="1046">
        <f>'General(R)'!I100</f>
        <v>0</v>
      </c>
      <c r="G11" s="954"/>
      <c r="I11" s="695" t="s">
        <v>300</v>
      </c>
    </row>
    <row r="12" spans="1:14" s="695" customFormat="1" ht="15.75" customHeight="1">
      <c r="A12" s="949" t="s">
        <v>119</v>
      </c>
      <c r="B12" s="950"/>
      <c r="C12" s="951">
        <f>'General(R)'!F20</f>
        <v>3867</v>
      </c>
      <c r="D12" s="952">
        <f>'General(R)'!D123</f>
        <v>36436</v>
      </c>
      <c r="E12" s="951">
        <f>'General(R)'!F123</f>
        <v>21153</v>
      </c>
      <c r="F12" s="1047">
        <f>'General(R)'!I123</f>
        <v>96675</v>
      </c>
      <c r="G12" s="953" t="s">
        <v>233</v>
      </c>
    </row>
    <row r="13" spans="1:14" s="695" customFormat="1" ht="15.75" customHeight="1">
      <c r="A13" s="949" t="s">
        <v>120</v>
      </c>
      <c r="B13" s="950"/>
      <c r="C13" s="951">
        <f>'General(R)'!F21</f>
        <v>1946</v>
      </c>
      <c r="D13" s="952">
        <f>'General(R)'!D164</f>
        <v>16413</v>
      </c>
      <c r="E13" s="951">
        <f>'General(R)'!F164</f>
        <v>18006</v>
      </c>
      <c r="F13" s="1046">
        <f>'General(R)'!I164</f>
        <v>1946000000</v>
      </c>
      <c r="G13" s="955"/>
    </row>
    <row r="14" spans="1:14" s="695" customFormat="1" ht="15.75" customHeight="1">
      <c r="A14" s="1083" t="s">
        <v>212</v>
      </c>
      <c r="B14" s="1084"/>
      <c r="C14" s="1085">
        <f>'General(R)'!F22</f>
        <v>52</v>
      </c>
      <c r="D14" s="1086">
        <f>'General(R)'!D200</f>
        <v>1310</v>
      </c>
      <c r="E14" s="1085">
        <f>'General(R)'!F200</f>
        <v>1047</v>
      </c>
      <c r="F14" s="1087">
        <f>'General(R)'!I200</f>
        <v>5200000</v>
      </c>
      <c r="G14" s="1088"/>
    </row>
    <row r="15" spans="1:14" s="695" customFormat="1" ht="15.75" customHeight="1">
      <c r="A15" s="1083" t="s">
        <v>248</v>
      </c>
      <c r="B15" s="1094"/>
      <c r="C15" s="1047">
        <f>'General(R)'!F23</f>
        <v>50</v>
      </c>
      <c r="D15" s="951">
        <f>'General(R)'!D218</f>
        <v>1120</v>
      </c>
      <c r="E15" s="951">
        <f>'General(R)'!F218</f>
        <v>220</v>
      </c>
      <c r="F15" s="1089">
        <f>'General(R)'!I218</f>
        <v>5000000</v>
      </c>
      <c r="G15" s="953"/>
    </row>
    <row r="16" spans="1:14" s="695" customFormat="1" ht="15.75" customHeight="1" thickBot="1">
      <c r="A16" s="956" t="s">
        <v>266</v>
      </c>
      <c r="B16" s="1095"/>
      <c r="C16" s="1090">
        <f>'General(R)'!F24</f>
        <v>0</v>
      </c>
      <c r="D16" s="1091">
        <f>'General(R)'!D236</f>
        <v>0</v>
      </c>
      <c r="E16" s="1091">
        <f>'General(R)'!F236</f>
        <v>0</v>
      </c>
      <c r="F16" s="1092">
        <f>'General(R)'!I236</f>
        <v>0</v>
      </c>
      <c r="G16" s="1093"/>
    </row>
    <row r="17" spans="1:13" s="695" customFormat="1" ht="6" customHeight="1">
      <c r="A17" s="95"/>
      <c r="B17" s="95"/>
      <c r="C17" s="694"/>
      <c r="D17" s="95"/>
      <c r="E17" s="95"/>
      <c r="F17" s="95"/>
      <c r="G17" s="95"/>
    </row>
    <row r="18" spans="1:13" s="695" customFormat="1">
      <c r="A18" s="696" t="s">
        <v>160</v>
      </c>
      <c r="B18" s="95"/>
      <c r="C18" s="95" t="s">
        <v>161</v>
      </c>
      <c r="D18" s="95"/>
      <c r="E18" s="95"/>
      <c r="F18" s="95"/>
      <c r="G18" s="95"/>
    </row>
    <row r="19" spans="1:13" s="695" customFormat="1" ht="15.75" customHeight="1">
      <c r="A19" s="957" t="s">
        <v>33</v>
      </c>
      <c r="B19" s="958" t="s">
        <v>34</v>
      </c>
      <c r="C19" s="959" t="s">
        <v>35</v>
      </c>
      <c r="D19" s="959" t="s">
        <v>166</v>
      </c>
      <c r="E19" s="959" t="s">
        <v>166</v>
      </c>
      <c r="F19" s="958" t="s">
        <v>167</v>
      </c>
      <c r="G19" s="958" t="s">
        <v>234</v>
      </c>
      <c r="H19" s="959" t="s">
        <v>40</v>
      </c>
      <c r="I19" s="960" t="s">
        <v>21</v>
      </c>
      <c r="J19" s="960"/>
      <c r="K19" s="960" t="s">
        <v>9</v>
      </c>
      <c r="L19" s="960"/>
      <c r="M19" s="960"/>
    </row>
    <row r="20" spans="1:13" s="695" customFormat="1">
      <c r="A20" s="961" t="s">
        <v>23</v>
      </c>
      <c r="B20" s="962" t="s">
        <v>41</v>
      </c>
      <c r="C20" s="962" t="s">
        <v>42</v>
      </c>
      <c r="D20" s="962" t="s">
        <v>168</v>
      </c>
      <c r="E20" s="962" t="s">
        <v>169</v>
      </c>
      <c r="F20" s="962" t="s">
        <v>42</v>
      </c>
      <c r="G20" s="962" t="s">
        <v>42</v>
      </c>
      <c r="H20" s="962" t="s">
        <v>28</v>
      </c>
      <c r="I20" s="963" t="s">
        <v>24</v>
      </c>
      <c r="J20" s="964" t="s">
        <v>25</v>
      </c>
      <c r="K20" s="963" t="s">
        <v>26</v>
      </c>
      <c r="L20" s="963" t="s">
        <v>27</v>
      </c>
      <c r="M20" s="963" t="s">
        <v>28</v>
      </c>
    </row>
    <row r="21" spans="1:13" s="695" customFormat="1" ht="14.25">
      <c r="A21" s="965" t="s">
        <v>235</v>
      </c>
      <c r="B21" s="966"/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</row>
    <row r="22" spans="1:13" s="695" customFormat="1">
      <c r="A22" s="967">
        <f>'General(R)'!B83</f>
        <v>37987</v>
      </c>
      <c r="B22" s="968">
        <f>'General(R)'!C83</f>
        <v>827</v>
      </c>
      <c r="C22" s="968">
        <f>'General(R)'!D83</f>
        <v>825</v>
      </c>
      <c r="D22" s="968">
        <f>'General(R)'!E83</f>
        <v>832.5</v>
      </c>
      <c r="E22" s="968">
        <f>'General(R)'!F83</f>
        <v>822.5</v>
      </c>
      <c r="F22" s="968">
        <f>'General(R)'!G83</f>
        <v>823.5</v>
      </c>
      <c r="G22" s="968">
        <f>'General(R)'!H83</f>
        <v>823.5</v>
      </c>
      <c r="H22" s="968">
        <f>'General(R)'!I83</f>
        <v>-3.5</v>
      </c>
      <c r="I22" s="969">
        <f>'General(R)'!C74</f>
        <v>3074</v>
      </c>
      <c r="J22" s="969">
        <f>'General(R)'!D74</f>
        <v>30955</v>
      </c>
      <c r="K22" s="969">
        <f>'General(R)'!E74</f>
        <v>15027</v>
      </c>
      <c r="L22" s="969">
        <f>'General(R)'!F74</f>
        <v>15822</v>
      </c>
      <c r="M22" s="969">
        <f>'General(R)'!G74</f>
        <v>795</v>
      </c>
    </row>
    <row r="23" spans="1:13" s="695" customFormat="1">
      <c r="A23" s="967">
        <f>'General(R)'!B84</f>
        <v>38018</v>
      </c>
      <c r="B23" s="968">
        <f>'General(R)'!C84</f>
        <v>831</v>
      </c>
      <c r="C23" s="968">
        <f>'General(R)'!D84</f>
        <v>828</v>
      </c>
      <c r="D23" s="968">
        <f>'General(R)'!E84</f>
        <v>836.5</v>
      </c>
      <c r="E23" s="968">
        <f>'General(R)'!F84</f>
        <v>827</v>
      </c>
      <c r="F23" s="968">
        <f>'General(R)'!G84</f>
        <v>828.5</v>
      </c>
      <c r="G23" s="968">
        <f>'General(R)'!H84</f>
        <v>828.5</v>
      </c>
      <c r="H23" s="968">
        <f>'General(R)'!I84</f>
        <v>-2.5</v>
      </c>
      <c r="I23" s="969">
        <f>'General(R)'!C75</f>
        <v>250</v>
      </c>
      <c r="J23" s="969">
        <f>'General(R)'!D75</f>
        <v>1094</v>
      </c>
      <c r="K23" s="969">
        <f>'General(R)'!E75</f>
        <v>433</v>
      </c>
      <c r="L23" s="969">
        <f>'General(R)'!F75</f>
        <v>568</v>
      </c>
      <c r="M23" s="969">
        <f>'General(R)'!G75</f>
        <v>135</v>
      </c>
    </row>
    <row r="24" spans="1:13" s="695" customFormat="1">
      <c r="A24" s="967">
        <f>'General(R)'!B85</f>
        <v>38047</v>
      </c>
      <c r="B24" s="968">
        <f>'General(R)'!C85</f>
        <v>835.5</v>
      </c>
      <c r="C24" s="968">
        <f>'General(R)'!D85</f>
        <v>0</v>
      </c>
      <c r="D24" s="968">
        <f>'General(R)'!E85</f>
        <v>0</v>
      </c>
      <c r="E24" s="968">
        <f>'General(R)'!F85</f>
        <v>0</v>
      </c>
      <c r="F24" s="968">
        <f>'General(R)'!G85</f>
        <v>0</v>
      </c>
      <c r="G24" s="968">
        <f>'General(R)'!H85</f>
        <v>833</v>
      </c>
      <c r="H24" s="968">
        <f>'General(R)'!I85</f>
        <v>-2.5</v>
      </c>
      <c r="I24" s="969">
        <f>'General(R)'!C76</f>
        <v>0</v>
      </c>
      <c r="J24" s="969">
        <f>'General(R)'!D76</f>
        <v>11</v>
      </c>
      <c r="K24" s="969">
        <f>'General(R)'!E76</f>
        <v>16</v>
      </c>
      <c r="L24" s="969">
        <f>'General(R)'!F76</f>
        <v>16</v>
      </c>
      <c r="M24" s="969">
        <f>'General(R)'!G76</f>
        <v>0</v>
      </c>
    </row>
    <row r="25" spans="1:13" s="695" customFormat="1">
      <c r="A25" s="967">
        <f>'General(R)'!B86</f>
        <v>38140</v>
      </c>
      <c r="B25" s="968">
        <f>'General(R)'!C86</f>
        <v>835.5</v>
      </c>
      <c r="C25" s="968">
        <f>'General(R)'!D86</f>
        <v>0</v>
      </c>
      <c r="D25" s="968">
        <f>'General(R)'!E86</f>
        <v>0</v>
      </c>
      <c r="E25" s="968">
        <f>'General(R)'!F86</f>
        <v>0</v>
      </c>
      <c r="F25" s="968">
        <f>'General(R)'!G86</f>
        <v>0</v>
      </c>
      <c r="G25" s="968">
        <f>'General(R)'!H86</f>
        <v>833</v>
      </c>
      <c r="H25" s="968">
        <f>'General(R)'!I86</f>
        <v>-2.5</v>
      </c>
      <c r="I25" s="969">
        <f>'General(R)'!C77</f>
        <v>0</v>
      </c>
      <c r="J25" s="969">
        <f>'General(R)'!D77</f>
        <v>0</v>
      </c>
      <c r="K25" s="969">
        <f>'General(R)'!E77</f>
        <v>0</v>
      </c>
      <c r="L25" s="969">
        <f>'General(R)'!F77</f>
        <v>0</v>
      </c>
      <c r="M25" s="969">
        <f>'General(R)'!G77</f>
        <v>0</v>
      </c>
    </row>
    <row r="26" spans="1:13" s="695" customFormat="1">
      <c r="A26" s="970" t="s">
        <v>32</v>
      </c>
      <c r="B26" s="971"/>
      <c r="C26" s="972"/>
      <c r="D26" s="972"/>
      <c r="E26" s="972"/>
      <c r="F26" s="972"/>
      <c r="G26" s="971"/>
      <c r="H26" s="971"/>
      <c r="I26" s="973">
        <f>'General(R)'!C78</f>
        <v>3324</v>
      </c>
      <c r="J26" s="973">
        <f>'General(R)'!D78</f>
        <v>32060</v>
      </c>
      <c r="K26" s="973">
        <f>'General(R)'!E78</f>
        <v>15476</v>
      </c>
      <c r="L26" s="973">
        <f>'General(R)'!F78</f>
        <v>16406</v>
      </c>
      <c r="M26" s="973">
        <f>'General(R)'!G78</f>
        <v>930</v>
      </c>
    </row>
    <row r="27" spans="1:13" s="695" customFormat="1">
      <c r="A27" s="965" t="s">
        <v>43</v>
      </c>
      <c r="B27" s="971">
        <f>'General(R)'!C87</f>
        <v>818.42</v>
      </c>
      <c r="C27" s="972">
        <f>'General(R)'!D87</f>
        <v>817.89</v>
      </c>
      <c r="D27" s="972">
        <f>'General(R)'!E87</f>
        <v>822.37</v>
      </c>
      <c r="E27" s="972">
        <f>'General(R)'!F87</f>
        <v>815.21</v>
      </c>
      <c r="F27" s="972">
        <f>'General(R)'!G87</f>
        <v>815.98</v>
      </c>
      <c r="G27" s="971" t="str">
        <f>'General(R)'!H87</f>
        <v>nil</v>
      </c>
      <c r="H27" s="971">
        <f>'General(R)'!I87</f>
        <v>-2.4399999999999409</v>
      </c>
    </row>
    <row r="28" spans="1:13" s="695" customFormat="1">
      <c r="A28" s="974" t="s">
        <v>44</v>
      </c>
      <c r="B28" s="966"/>
      <c r="C28" s="966"/>
      <c r="D28" s="966"/>
      <c r="E28" s="966"/>
      <c r="F28" s="966"/>
      <c r="G28" s="972">
        <f>'General(R)'!H88</f>
        <v>7.5199999999999818</v>
      </c>
      <c r="H28" s="975"/>
    </row>
    <row r="29" spans="1:13" s="695" customFormat="1" ht="6.75" customHeight="1">
      <c r="A29" s="114"/>
      <c r="B29" s="115"/>
      <c r="C29" s="115"/>
      <c r="D29" s="115"/>
      <c r="E29" s="115"/>
      <c r="F29" s="115"/>
      <c r="G29" s="976"/>
      <c r="H29" s="114"/>
    </row>
    <row r="30" spans="1:13" s="695" customFormat="1" ph="1">
      <c r="A30" s="696" t="s">
        <v>160</v>
      </c>
      <c r="B30" s="95"/>
      <c r="C30" s="95" t="s">
        <v>170</v>
      </c>
      <c r="D30" s="95"/>
      <c r="E30" s="95"/>
      <c r="F30" s="95"/>
      <c r="G30" s="95"/>
      <c r="H30" s="695"/>
      <c r="I30" s="695"/>
      <c r="J30" s="695"/>
      <c r="K30" s="695"/>
      <c r="L30" s="695"/>
      <c r="M30" s="695"/>
    </row>
    <row r="31" spans="1:13" s="695" customFormat="1">
      <c r="A31" s="957" t="s">
        <v>33</v>
      </c>
      <c r="B31" s="958" t="s">
        <v>34</v>
      </c>
      <c r="C31" s="959" t="s">
        <v>35</v>
      </c>
      <c r="D31" s="959" t="s">
        <v>166</v>
      </c>
      <c r="E31" s="959" t="s">
        <v>166</v>
      </c>
      <c r="F31" s="958" t="s">
        <v>122</v>
      </c>
      <c r="G31" s="958" t="s">
        <v>123</v>
      </c>
      <c r="H31" s="959" t="s">
        <v>40</v>
      </c>
      <c r="I31" s="960" t="s">
        <v>21</v>
      </c>
      <c r="J31" s="960"/>
      <c r="K31" s="960" t="s">
        <v>230</v>
      </c>
      <c r="L31" s="960"/>
      <c r="M31" s="960"/>
    </row>
    <row r="32" spans="1:13" s="695" customFormat="1">
      <c r="A32" s="961" t="s">
        <v>23</v>
      </c>
      <c r="B32" s="962" t="s">
        <v>41</v>
      </c>
      <c r="C32" s="962" t="s">
        <v>42</v>
      </c>
      <c r="D32" s="962" t="s">
        <v>168</v>
      </c>
      <c r="E32" s="962" t="s">
        <v>169</v>
      </c>
      <c r="F32" s="962" t="s">
        <v>42</v>
      </c>
      <c r="G32" s="962" t="s">
        <v>42</v>
      </c>
      <c r="H32" s="962" t="s">
        <v>28</v>
      </c>
      <c r="I32" s="963" t="s">
        <v>24</v>
      </c>
      <c r="J32" s="964" t="s">
        <v>25</v>
      </c>
      <c r="K32" s="963" t="s">
        <v>26</v>
      </c>
      <c r="L32" s="963" t="s">
        <v>27</v>
      </c>
      <c r="M32" s="963" t="s">
        <v>28</v>
      </c>
    </row>
    <row r="33" spans="1:13" s="695" customFormat="1">
      <c r="A33" s="965" t="s">
        <v>129</v>
      </c>
      <c r="B33" s="966"/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</row>
    <row r="34" spans="1:13" s="695" customFormat="1">
      <c r="A34" s="977">
        <f>'General(R)'!B114</f>
        <v>37987</v>
      </c>
      <c r="B34" s="978">
        <f>'General(R)'!C128</f>
        <v>1762</v>
      </c>
      <c r="C34" s="979">
        <f>'General(R)'!D128</f>
        <v>1770</v>
      </c>
      <c r="D34" s="978">
        <f>'General(R)'!E128</f>
        <v>1790</v>
      </c>
      <c r="E34" s="978">
        <f>'General(R)'!F128</f>
        <v>1768</v>
      </c>
      <c r="F34" s="980">
        <f>'General(R)'!G128</f>
        <v>1782</v>
      </c>
      <c r="G34" s="978">
        <f>'General(R)'!H128</f>
        <v>1781</v>
      </c>
      <c r="H34" s="966">
        <f t="shared" ref="H34:H41" si="0">G34-B34</f>
        <v>19</v>
      </c>
      <c r="I34" s="981">
        <f>'General(R)'!C114</f>
        <v>202</v>
      </c>
      <c r="J34" s="981">
        <f>'General(R)'!D114</f>
        <v>2825</v>
      </c>
      <c r="K34" s="981">
        <f>'General(R)'!E114</f>
        <v>1100</v>
      </c>
      <c r="L34" s="981">
        <f>'General(R)'!F114</f>
        <v>994</v>
      </c>
      <c r="M34" s="981">
        <f>'General(R)'!G114</f>
        <v>-106</v>
      </c>
    </row>
    <row r="35" spans="1:13" s="695" customFormat="1">
      <c r="A35" s="977">
        <f>'General(R)'!B115</f>
        <v>38018</v>
      </c>
      <c r="B35" s="978">
        <f>'General(R)'!C129</f>
        <v>1739</v>
      </c>
      <c r="C35" s="979">
        <f>'General(R)'!D129</f>
        <v>1751</v>
      </c>
      <c r="D35" s="978">
        <f>'General(R)'!E129</f>
        <v>1760</v>
      </c>
      <c r="E35" s="978">
        <f>'General(R)'!F129</f>
        <v>1744</v>
      </c>
      <c r="F35" s="980">
        <f>'General(R)'!G129</f>
        <v>1754</v>
      </c>
      <c r="G35" s="978">
        <f>'General(R)'!H129</f>
        <v>1757</v>
      </c>
      <c r="H35" s="966">
        <f t="shared" si="0"/>
        <v>18</v>
      </c>
      <c r="I35" s="981">
        <f>'General(R)'!C115</f>
        <v>432</v>
      </c>
      <c r="J35" s="981">
        <f>'General(R)'!D115</f>
        <v>3608</v>
      </c>
      <c r="K35" s="981">
        <f>'General(R)'!E115</f>
        <v>6214</v>
      </c>
      <c r="L35" s="981">
        <f>'General(R)'!F115</f>
        <v>6152</v>
      </c>
      <c r="M35" s="981">
        <f>'General(R)'!G115</f>
        <v>-62</v>
      </c>
    </row>
    <row r="36" spans="1:13" s="695" customFormat="1">
      <c r="A36" s="977">
        <f>'General(R)'!B116</f>
        <v>38047</v>
      </c>
      <c r="B36" s="978">
        <f>'General(R)'!C130</f>
        <v>1725</v>
      </c>
      <c r="C36" s="979">
        <f>'General(R)'!D130</f>
        <v>1734</v>
      </c>
      <c r="D36" s="978">
        <f>'General(R)'!E130</f>
        <v>1746</v>
      </c>
      <c r="E36" s="978">
        <f>'General(R)'!F130</f>
        <v>1723</v>
      </c>
      <c r="F36" s="980">
        <f>'General(R)'!G130</f>
        <v>1736</v>
      </c>
      <c r="G36" s="978">
        <f>'General(R)'!H130</f>
        <v>1733</v>
      </c>
      <c r="H36" s="966">
        <f t="shared" si="0"/>
        <v>8</v>
      </c>
      <c r="I36" s="981">
        <f>'General(R)'!C116</f>
        <v>2244</v>
      </c>
      <c r="J36" s="981">
        <f>'General(R)'!D116</f>
        <v>23464</v>
      </c>
      <c r="K36" s="981">
        <f>'General(R)'!E116</f>
        <v>9346</v>
      </c>
      <c r="L36" s="981">
        <f>'General(R)'!F116</f>
        <v>9412</v>
      </c>
      <c r="M36" s="981">
        <f>'General(R)'!G116</f>
        <v>66</v>
      </c>
    </row>
    <row r="37" spans="1:13" s="695" customFormat="1">
      <c r="A37" s="977">
        <f>'General(R)'!B117</f>
        <v>38079</v>
      </c>
      <c r="B37" s="978">
        <f>'General(R)'!C131</f>
        <v>1703</v>
      </c>
      <c r="C37" s="979">
        <f>'General(R)'!D131</f>
        <v>1713</v>
      </c>
      <c r="D37" s="978">
        <f>'General(R)'!E131</f>
        <v>1728</v>
      </c>
      <c r="E37" s="978">
        <f>'General(R)'!F131</f>
        <v>1703</v>
      </c>
      <c r="F37" s="980">
        <f>'General(R)'!G131</f>
        <v>1717</v>
      </c>
      <c r="G37" s="978">
        <f>'General(R)'!H131</f>
        <v>1712</v>
      </c>
      <c r="H37" s="966">
        <f t="shared" si="0"/>
        <v>9</v>
      </c>
      <c r="I37" s="981">
        <f>'General(R)'!C117</f>
        <v>711</v>
      </c>
      <c r="J37" s="981">
        <f>'General(R)'!D117</f>
        <v>5168</v>
      </c>
      <c r="K37" s="981">
        <f>'General(R)'!E117</f>
        <v>2689</v>
      </c>
      <c r="L37" s="981">
        <f>'General(R)'!F117</f>
        <v>2734</v>
      </c>
      <c r="M37" s="981">
        <f>'General(R)'!G117</f>
        <v>45</v>
      </c>
    </row>
    <row r="38" spans="1:13" s="695" customFormat="1">
      <c r="A38" s="977">
        <f>'General(R)'!B118</f>
        <v>38108</v>
      </c>
      <c r="B38" s="978">
        <f>'General(R)'!C132</f>
        <v>1690</v>
      </c>
      <c r="C38" s="979">
        <f>'General(R)'!D132</f>
        <v>1705</v>
      </c>
      <c r="D38" s="978">
        <f>'General(R)'!E132</f>
        <v>1715</v>
      </c>
      <c r="E38" s="978">
        <f>'General(R)'!F132</f>
        <v>1692</v>
      </c>
      <c r="F38" s="980">
        <f>'General(R)'!G132</f>
        <v>1703</v>
      </c>
      <c r="G38" s="978">
        <f>'General(R)'!H132</f>
        <v>1700</v>
      </c>
      <c r="H38" s="966">
        <f t="shared" si="0"/>
        <v>10</v>
      </c>
      <c r="I38" s="981">
        <f>'General(R)'!C118</f>
        <v>203</v>
      </c>
      <c r="J38" s="981">
        <f>'General(R)'!D118</f>
        <v>1074</v>
      </c>
      <c r="K38" s="981">
        <f>'General(R)'!E118</f>
        <v>1052</v>
      </c>
      <c r="L38" s="981">
        <f>'General(R)'!F118</f>
        <v>1185</v>
      </c>
      <c r="M38" s="981">
        <f>'General(R)'!G118</f>
        <v>133</v>
      </c>
    </row>
    <row r="39" spans="1:13" s="695" customFormat="1">
      <c r="A39" s="977">
        <f>'General(R)'!B120</f>
        <v>38169</v>
      </c>
      <c r="B39" s="978">
        <f>'General(R)'!C134</f>
        <v>1671</v>
      </c>
      <c r="C39" s="979">
        <f>'General(R)'!D134</f>
        <v>0</v>
      </c>
      <c r="D39" s="978">
        <f>'General(R)'!E134</f>
        <v>0</v>
      </c>
      <c r="E39" s="978">
        <f>'General(R)'!F134</f>
        <v>0</v>
      </c>
      <c r="F39" s="980">
        <f>'General(R)'!G134</f>
        <v>0</v>
      </c>
      <c r="G39" s="978">
        <f>'General(R)'!H134</f>
        <v>1684</v>
      </c>
      <c r="H39" s="966">
        <f t="shared" si="0"/>
        <v>13</v>
      </c>
      <c r="I39" s="981">
        <f>'General(R)'!C120</f>
        <v>0</v>
      </c>
      <c r="J39" s="981">
        <f>'General(R)'!D120</f>
        <v>25</v>
      </c>
      <c r="K39" s="981">
        <f>'General(R)'!E120</f>
        <v>136</v>
      </c>
      <c r="L39" s="981">
        <f>'General(R)'!F120</f>
        <v>136</v>
      </c>
      <c r="M39" s="981">
        <f>'General(R)'!G120</f>
        <v>0</v>
      </c>
    </row>
    <row r="40" spans="1:13" s="695" customFormat="1">
      <c r="A40" s="977">
        <f>'General(R)'!B121</f>
        <v>38232</v>
      </c>
      <c r="B40" s="978">
        <f>'General(R)'!C135</f>
        <v>1655</v>
      </c>
      <c r="C40" s="979">
        <f>'General(R)'!D135</f>
        <v>0</v>
      </c>
      <c r="D40" s="978">
        <f>'General(R)'!E135</f>
        <v>0</v>
      </c>
      <c r="E40" s="978">
        <f>'General(R)'!F135</f>
        <v>0</v>
      </c>
      <c r="F40" s="980">
        <f>'General(R)'!G135</f>
        <v>0</v>
      </c>
      <c r="G40" s="978">
        <f>'General(R)'!H135</f>
        <v>1668</v>
      </c>
      <c r="H40" s="966">
        <f t="shared" si="0"/>
        <v>13</v>
      </c>
      <c r="I40" s="981">
        <f>'General(R)'!C121</f>
        <v>0</v>
      </c>
      <c r="J40" s="981">
        <f>'General(R)'!D121</f>
        <v>0</v>
      </c>
      <c r="K40" s="981">
        <f>'General(R)'!E121</f>
        <v>70</v>
      </c>
      <c r="L40" s="981">
        <f>'General(R)'!F121</f>
        <v>70</v>
      </c>
      <c r="M40" s="981">
        <f>'General(R)'!G121</f>
        <v>0</v>
      </c>
    </row>
    <row r="41" spans="1:13" s="695" customFormat="1">
      <c r="A41" s="977">
        <f>'General(R)'!B122</f>
        <v>38293</v>
      </c>
      <c r="B41" s="978">
        <f>'General(R)'!C136</f>
        <v>1655</v>
      </c>
      <c r="C41" s="979">
        <f>'General(R)'!D136</f>
        <v>0</v>
      </c>
      <c r="D41" s="978">
        <f>'General(R)'!E136</f>
        <v>0</v>
      </c>
      <c r="E41" s="978">
        <f>'General(R)'!F136</f>
        <v>0</v>
      </c>
      <c r="F41" s="980">
        <f>'General(R)'!G136</f>
        <v>0</v>
      </c>
      <c r="G41" s="978">
        <f>'General(R)'!H136</f>
        <v>1668</v>
      </c>
      <c r="H41" s="966">
        <f t="shared" si="0"/>
        <v>13</v>
      </c>
      <c r="I41" s="981">
        <f>'General(R)'!C122</f>
        <v>0</v>
      </c>
      <c r="J41" s="981">
        <f>'General(R)'!D122</f>
        <v>0</v>
      </c>
      <c r="K41" s="981">
        <f>'General(R)'!E122</f>
        <v>0</v>
      </c>
      <c r="L41" s="981">
        <f>'General(R)'!F122</f>
        <v>0</v>
      </c>
      <c r="M41" s="981">
        <f>'General(R)'!G122</f>
        <v>0</v>
      </c>
    </row>
    <row r="42" spans="1:13" s="695" customFormat="1">
      <c r="A42" s="977" t="s">
        <v>32</v>
      </c>
      <c r="B42" s="979"/>
      <c r="C42" s="979"/>
      <c r="D42" s="979"/>
      <c r="E42" s="979"/>
      <c r="F42" s="980"/>
      <c r="G42" s="979"/>
      <c r="H42" s="966"/>
      <c r="I42" s="982">
        <f>'General(R)'!C123</f>
        <v>3867</v>
      </c>
      <c r="J42" s="982">
        <f>'General(R)'!D123</f>
        <v>36436</v>
      </c>
      <c r="K42" s="982">
        <f>'General(R)'!E123</f>
        <v>21067</v>
      </c>
      <c r="L42" s="982">
        <f>'General(R)'!F123</f>
        <v>21153</v>
      </c>
      <c r="M42" s="982">
        <f>'General(R)'!G123</f>
        <v>86</v>
      </c>
    </row>
    <row r="43" spans="1:13" s="695" customFormat="1" ht="6" customHeight="1">
      <c r="A43" s="114"/>
      <c r="B43" s="983"/>
      <c r="C43" s="983"/>
      <c r="D43" s="983"/>
      <c r="E43" s="983"/>
      <c r="F43" s="984"/>
    </row>
    <row r="44" spans="1:13" s="695" customFormat="1">
      <c r="A44" s="696" t="s">
        <v>160</v>
      </c>
      <c r="B44" s="95"/>
      <c r="C44" s="95" t="s">
        <v>174</v>
      </c>
      <c r="D44" s="95"/>
      <c r="E44" s="95"/>
      <c r="F44" s="95"/>
      <c r="G44" s="95"/>
    </row>
    <row r="45" spans="1:13" s="695" customFormat="1">
      <c r="A45" s="957" t="s">
        <v>33</v>
      </c>
      <c r="B45" s="958" t="s">
        <v>34</v>
      </c>
      <c r="C45" s="959" t="s">
        <v>35</v>
      </c>
      <c r="D45" s="959" t="s">
        <v>166</v>
      </c>
      <c r="E45" s="959" t="s">
        <v>166</v>
      </c>
      <c r="F45" s="958" t="s">
        <v>234</v>
      </c>
      <c r="G45" s="959" t="s">
        <v>40</v>
      </c>
      <c r="H45" s="960" t="s">
        <v>21</v>
      </c>
      <c r="I45" s="960"/>
      <c r="J45" s="960" t="s">
        <v>230</v>
      </c>
      <c r="K45" s="960"/>
      <c r="L45" s="960"/>
    </row>
    <row r="46" spans="1:13" s="695" customFormat="1">
      <c r="A46" s="961" t="s">
        <v>23</v>
      </c>
      <c r="B46" s="962" t="s">
        <v>41</v>
      </c>
      <c r="C46" s="962" t="s">
        <v>42</v>
      </c>
      <c r="D46" s="962" t="s">
        <v>168</v>
      </c>
      <c r="E46" s="962" t="s">
        <v>169</v>
      </c>
      <c r="F46" s="962" t="s">
        <v>42</v>
      </c>
      <c r="G46" s="962" t="s">
        <v>28</v>
      </c>
      <c r="H46" s="963" t="s">
        <v>24</v>
      </c>
      <c r="I46" s="964" t="s">
        <v>25</v>
      </c>
      <c r="J46" s="963" t="s">
        <v>26</v>
      </c>
      <c r="K46" s="963" t="s">
        <v>27</v>
      </c>
      <c r="L46" s="963" t="s">
        <v>28</v>
      </c>
    </row>
    <row r="47" spans="1:13" s="695" customFormat="1">
      <c r="A47" s="965" t="s">
        <v>126</v>
      </c>
      <c r="B47" s="966"/>
      <c r="C47" s="966"/>
      <c r="D47" s="966"/>
      <c r="E47" s="966"/>
      <c r="F47" s="966"/>
      <c r="G47" s="966"/>
      <c r="H47" s="966"/>
      <c r="I47" s="966"/>
      <c r="J47" s="966"/>
      <c r="K47" s="966"/>
      <c r="L47" s="966"/>
    </row>
    <row r="48" spans="1:13" s="695" customFormat="1">
      <c r="A48" s="977">
        <f>'General(R)'!B169</f>
        <v>37987</v>
      </c>
      <c r="B48" s="985">
        <f>'General(R)'!C169</f>
        <v>96.99</v>
      </c>
      <c r="C48" s="985">
        <f>'General(R)'!D169</f>
        <v>0</v>
      </c>
      <c r="D48" s="985">
        <f>'General(R)'!E169</f>
        <v>0</v>
      </c>
      <c r="E48" s="985">
        <f>'General(R)'!F169</f>
        <v>0</v>
      </c>
      <c r="F48" s="985">
        <f>'General(R)'!G169</f>
        <v>96.99</v>
      </c>
      <c r="G48" s="985">
        <f>'General(R)'!H169</f>
        <v>0</v>
      </c>
      <c r="H48" s="986">
        <f>'General(R)'!C141</f>
        <v>0</v>
      </c>
      <c r="I48" s="986">
        <f>'General(R)'!D141</f>
        <v>0</v>
      </c>
      <c r="J48" s="986">
        <f>'General(R)'!E142</f>
        <v>0</v>
      </c>
      <c r="K48" s="986">
        <f>'General(R)'!F142</f>
        <v>0</v>
      </c>
      <c r="L48" s="986">
        <f>'General(R)'!G142</f>
        <v>0</v>
      </c>
    </row>
    <row r="49" spans="1:12" s="695" customFormat="1">
      <c r="A49" s="977">
        <f>'General(R)'!B170</f>
        <v>38019</v>
      </c>
      <c r="B49" s="985">
        <f>'General(R)'!C170</f>
        <v>96.99</v>
      </c>
      <c r="C49" s="985">
        <f>'General(R)'!D170</f>
        <v>0</v>
      </c>
      <c r="D49" s="985">
        <f>'General(R)'!E170</f>
        <v>0</v>
      </c>
      <c r="E49" s="985">
        <f>'General(R)'!F170</f>
        <v>0</v>
      </c>
      <c r="F49" s="985">
        <f>'General(R)'!G170</f>
        <v>96.99</v>
      </c>
      <c r="G49" s="985">
        <f>'General(R)'!H170</f>
        <v>0</v>
      </c>
      <c r="H49" s="986">
        <f>'General(R)'!C142</f>
        <v>0</v>
      </c>
      <c r="I49" s="986">
        <f>'General(R)'!D142</f>
        <v>0</v>
      </c>
      <c r="J49" s="986">
        <f>'General(R)'!E143</f>
        <v>0</v>
      </c>
      <c r="K49" s="986">
        <f>'General(R)'!F143</f>
        <v>0</v>
      </c>
      <c r="L49" s="986">
        <f>'General(R)'!G143</f>
        <v>0</v>
      </c>
    </row>
    <row r="50" spans="1:12" s="695" customFormat="1">
      <c r="A50" s="977">
        <f>'General(R)'!B171</f>
        <v>38047</v>
      </c>
      <c r="B50" s="985">
        <f>'General(R)'!C171</f>
        <v>96.97</v>
      </c>
      <c r="C50" s="985">
        <f>'General(R)'!D171</f>
        <v>0</v>
      </c>
      <c r="D50" s="985">
        <f>'General(R)'!E171</f>
        <v>0</v>
      </c>
      <c r="E50" s="985">
        <f>'General(R)'!F171</f>
        <v>0</v>
      </c>
      <c r="F50" s="985">
        <f>'General(R)'!G171</f>
        <v>96.97</v>
      </c>
      <c r="G50" s="985">
        <f>'General(R)'!H171</f>
        <v>0</v>
      </c>
      <c r="H50" s="986">
        <f>'General(R)'!C144</f>
        <v>30</v>
      </c>
      <c r="I50" s="986">
        <f>'General(R)'!D144</f>
        <v>356</v>
      </c>
      <c r="J50" s="986">
        <f>'General(R)'!E144</f>
        <v>1657</v>
      </c>
      <c r="K50" s="986">
        <f>'General(R)'!F144</f>
        <v>1657</v>
      </c>
      <c r="L50" s="986">
        <f>'General(R)'!G144</f>
        <v>0</v>
      </c>
    </row>
    <row r="51" spans="1:12" s="695" customFormat="1">
      <c r="A51" s="977">
        <f>'General(R)'!B172</f>
        <v>38139</v>
      </c>
      <c r="B51" s="985">
        <f>'General(R)'!C172</f>
        <v>96.94</v>
      </c>
      <c r="C51" s="985">
        <f>'General(R)'!D172</f>
        <v>96.94</v>
      </c>
      <c r="D51" s="985">
        <f>'General(R)'!E172</f>
        <v>96.94</v>
      </c>
      <c r="E51" s="985">
        <f>'General(R)'!F172</f>
        <v>96.94</v>
      </c>
      <c r="F51" s="985">
        <f>'General(R)'!G172</f>
        <v>96.94</v>
      </c>
      <c r="G51" s="985">
        <f>'General(R)'!H172</f>
        <v>0</v>
      </c>
      <c r="H51" s="986">
        <f>'General(R)'!C145</f>
        <v>556</v>
      </c>
      <c r="I51" s="986">
        <f>'General(R)'!D145</f>
        <v>2828</v>
      </c>
      <c r="J51" s="986">
        <f>'General(R)'!E145</f>
        <v>1320</v>
      </c>
      <c r="K51" s="986">
        <f>'General(R)'!F145</f>
        <v>1401</v>
      </c>
      <c r="L51" s="986">
        <f>'General(R)'!G145</f>
        <v>81</v>
      </c>
    </row>
    <row r="52" spans="1:12" s="695" customFormat="1">
      <c r="A52" s="977">
        <f>'General(R)'!B173</f>
        <v>38231</v>
      </c>
      <c r="B52" s="985">
        <f>'General(R)'!C173</f>
        <v>96.86</v>
      </c>
      <c r="C52" s="985">
        <f>'General(R)'!D173</f>
        <v>96.86</v>
      </c>
      <c r="D52" s="985">
        <f>'General(R)'!E173</f>
        <v>96.86</v>
      </c>
      <c r="E52" s="985">
        <f>'General(R)'!F173</f>
        <v>96.86</v>
      </c>
      <c r="F52" s="985">
        <f>'General(R)'!G173</f>
        <v>96.86</v>
      </c>
      <c r="G52" s="985">
        <f>'General(R)'!H173</f>
        <v>0</v>
      </c>
      <c r="H52" s="986">
        <f>'General(R)'!C146</f>
        <v>530</v>
      </c>
      <c r="I52" s="986">
        <f>'General(R)'!D146</f>
        <v>2000</v>
      </c>
      <c r="J52" s="986">
        <f>'General(R)'!E146</f>
        <v>1481</v>
      </c>
      <c r="K52" s="986">
        <f>'General(R)'!F146</f>
        <v>1981</v>
      </c>
      <c r="L52" s="986">
        <f>'General(R)'!G146</f>
        <v>500</v>
      </c>
    </row>
    <row r="53" spans="1:12" s="695" customFormat="1">
      <c r="A53" s="977">
        <f>'General(R)'!B174</f>
        <v>38322</v>
      </c>
      <c r="B53" s="985">
        <f>'General(R)'!C174</f>
        <v>96.75</v>
      </c>
      <c r="C53" s="985">
        <f>'General(R)'!D174</f>
        <v>96.7</v>
      </c>
      <c r="D53" s="985">
        <f>'General(R)'!E174</f>
        <v>96.7</v>
      </c>
      <c r="E53" s="985">
        <f>'General(R)'!F174</f>
        <v>96.7</v>
      </c>
      <c r="F53" s="985">
        <f>'General(R)'!G174</f>
        <v>96.7</v>
      </c>
      <c r="G53" s="985">
        <f>'General(R)'!H174</f>
        <v>-4.9999999999997158E-2</v>
      </c>
      <c r="H53" s="986">
        <f>'General(R)'!C147</f>
        <v>50</v>
      </c>
      <c r="I53" s="986">
        <f>'General(R)'!D147</f>
        <v>569</v>
      </c>
      <c r="J53" s="986">
        <f>'General(R)'!E147</f>
        <v>1271</v>
      </c>
      <c r="K53" s="986">
        <f>'General(R)'!F147</f>
        <v>1271</v>
      </c>
      <c r="L53" s="986">
        <f>'General(R)'!G147</f>
        <v>0</v>
      </c>
    </row>
    <row r="54" spans="1:12" s="695" customFormat="1">
      <c r="A54" s="977">
        <f>'General(R)'!B175</f>
        <v>38412</v>
      </c>
      <c r="B54" s="985">
        <f>'General(R)'!C175</f>
        <v>96.55</v>
      </c>
      <c r="C54" s="985">
        <f>'General(R)'!D175</f>
        <v>96.55</v>
      </c>
      <c r="D54" s="985">
        <f>'General(R)'!E175</f>
        <v>96.55</v>
      </c>
      <c r="E54" s="985">
        <f>'General(R)'!F175</f>
        <v>96.5</v>
      </c>
      <c r="F54" s="985">
        <f>'General(R)'!G175</f>
        <v>96.5</v>
      </c>
      <c r="G54" s="985">
        <f>'General(R)'!H175</f>
        <v>-4.9999999999997158E-2</v>
      </c>
      <c r="H54" s="986">
        <f>'General(R)'!C148</f>
        <v>70</v>
      </c>
      <c r="I54" s="986">
        <f>'General(R)'!D148</f>
        <v>686</v>
      </c>
      <c r="J54" s="986">
        <f>'General(R)'!E148</f>
        <v>1054</v>
      </c>
      <c r="K54" s="986">
        <f>'General(R)'!F148</f>
        <v>1044</v>
      </c>
      <c r="L54" s="986">
        <f>'General(R)'!G148</f>
        <v>-10</v>
      </c>
    </row>
    <row r="55" spans="1:12" s="695" customFormat="1">
      <c r="A55" s="977">
        <f>'General(R)'!B176</f>
        <v>38504</v>
      </c>
      <c r="B55" s="985">
        <f>'General(R)'!C176</f>
        <v>96.42</v>
      </c>
      <c r="C55" s="985">
        <f>'General(R)'!D176</f>
        <v>96.45</v>
      </c>
      <c r="D55" s="985">
        <f>'General(R)'!E176</f>
        <v>96.45</v>
      </c>
      <c r="E55" s="985">
        <f>'General(R)'!F176</f>
        <v>96.45</v>
      </c>
      <c r="F55" s="985">
        <f>'General(R)'!G176</f>
        <v>96.37</v>
      </c>
      <c r="G55" s="985">
        <f>'General(R)'!H176</f>
        <v>-4.9999999999997158E-2</v>
      </c>
      <c r="H55" s="986">
        <f>'General(R)'!C149</f>
        <v>60</v>
      </c>
      <c r="I55" s="986">
        <f>'General(R)'!D149</f>
        <v>810</v>
      </c>
      <c r="J55" s="986">
        <f>'General(R)'!E149</f>
        <v>943</v>
      </c>
      <c r="K55" s="986">
        <f>'General(R)'!F149</f>
        <v>913</v>
      </c>
      <c r="L55" s="986">
        <f>'General(R)'!G149</f>
        <v>-30</v>
      </c>
    </row>
    <row r="56" spans="1:12" s="695" customFormat="1">
      <c r="A56" s="977">
        <f>'General(R)'!B177</f>
        <v>38596</v>
      </c>
      <c r="B56" s="985">
        <f>'General(R)'!C177</f>
        <v>96.02</v>
      </c>
      <c r="C56" s="985">
        <f>'General(R)'!D177</f>
        <v>96.12</v>
      </c>
      <c r="D56" s="985">
        <f>'General(R)'!E177</f>
        <v>96.12</v>
      </c>
      <c r="E56" s="985">
        <f>'General(R)'!F177</f>
        <v>96.12</v>
      </c>
      <c r="F56" s="985">
        <f>'General(R)'!G177</f>
        <v>96.02</v>
      </c>
      <c r="G56" s="985">
        <f>'General(R)'!H177</f>
        <v>0</v>
      </c>
      <c r="H56" s="986">
        <f>'General(R)'!C150</f>
        <v>70</v>
      </c>
      <c r="I56" s="986">
        <f>'General(R)'!D150</f>
        <v>762</v>
      </c>
      <c r="J56" s="986">
        <f>'General(R)'!E150</f>
        <v>930</v>
      </c>
      <c r="K56" s="986">
        <f>'General(R)'!F150</f>
        <v>875</v>
      </c>
      <c r="L56" s="986">
        <f>'General(R)'!G150</f>
        <v>-55</v>
      </c>
    </row>
    <row r="57" spans="1:12" s="695" customFormat="1">
      <c r="A57" s="977">
        <f>'General(R)'!B178</f>
        <v>38687</v>
      </c>
      <c r="B57" s="985">
        <f>'General(R)'!C178</f>
        <v>95.85</v>
      </c>
      <c r="C57" s="985">
        <f>'General(R)'!D178</f>
        <v>95.95</v>
      </c>
      <c r="D57" s="985">
        <f>'General(R)'!E178</f>
        <v>95.95</v>
      </c>
      <c r="E57" s="985">
        <f>'General(R)'!F178</f>
        <v>95.95</v>
      </c>
      <c r="F57" s="985">
        <f>'General(R)'!G178</f>
        <v>95.85</v>
      </c>
      <c r="G57" s="985">
        <f>'General(R)'!H178</f>
        <v>0</v>
      </c>
      <c r="H57" s="986">
        <f>'General(R)'!C151</f>
        <v>40</v>
      </c>
      <c r="I57" s="986">
        <f>'General(R)'!D151</f>
        <v>508</v>
      </c>
      <c r="J57" s="986">
        <f>'General(R)'!E151</f>
        <v>1018</v>
      </c>
      <c r="K57" s="986">
        <f>'General(R)'!F151</f>
        <v>998</v>
      </c>
      <c r="L57" s="986">
        <f>'General(R)'!G151</f>
        <v>-20</v>
      </c>
    </row>
    <row r="58" spans="1:12" s="695" customFormat="1">
      <c r="A58" s="977">
        <f>'General(R)'!B179</f>
        <v>38777</v>
      </c>
      <c r="B58" s="985">
        <f>'General(R)'!C179</f>
        <v>95.75</v>
      </c>
      <c r="C58" s="985">
        <f>'General(R)'!D179</f>
        <v>95.8</v>
      </c>
      <c r="D58" s="985">
        <f>'General(R)'!E179</f>
        <v>95.85</v>
      </c>
      <c r="E58" s="985">
        <f>'General(R)'!F179</f>
        <v>95.8</v>
      </c>
      <c r="F58" s="985">
        <f>'General(R)'!G179</f>
        <v>95.76</v>
      </c>
      <c r="G58" s="985">
        <f>'General(R)'!H179</f>
        <v>1.0000000000005116E-2</v>
      </c>
      <c r="H58" s="986">
        <f>'General(R)'!C152</f>
        <v>100</v>
      </c>
      <c r="I58" s="986">
        <f>'General(R)'!D152</f>
        <v>1664</v>
      </c>
      <c r="J58" s="986">
        <f>'General(R)'!E152</f>
        <v>1121</v>
      </c>
      <c r="K58" s="986">
        <f>'General(R)'!F152</f>
        <v>1111</v>
      </c>
      <c r="L58" s="986">
        <f>'General(R)'!G152</f>
        <v>-10</v>
      </c>
    </row>
    <row r="59" spans="1:12" s="695" customFormat="1">
      <c r="A59" s="977">
        <f>'General(R)'!B180</f>
        <v>38869</v>
      </c>
      <c r="B59" s="985">
        <f>'General(R)'!C180</f>
        <v>95.55</v>
      </c>
      <c r="C59" s="985">
        <f>'General(R)'!D180</f>
        <v>95.62</v>
      </c>
      <c r="D59" s="985">
        <f>'General(R)'!E180</f>
        <v>95.65</v>
      </c>
      <c r="E59" s="985">
        <f>'General(R)'!F180</f>
        <v>95.58</v>
      </c>
      <c r="F59" s="985">
        <f>'General(R)'!G180</f>
        <v>95.58</v>
      </c>
      <c r="G59" s="985">
        <f>'General(R)'!H180</f>
        <v>3.0000000000001137E-2</v>
      </c>
      <c r="H59" s="986">
        <f>'General(R)'!C153</f>
        <v>80</v>
      </c>
      <c r="I59" s="986">
        <f>'General(R)'!D153</f>
        <v>926</v>
      </c>
      <c r="J59" s="986">
        <f>'General(R)'!E153</f>
        <v>510</v>
      </c>
      <c r="K59" s="986">
        <f>'General(R)'!F153</f>
        <v>540</v>
      </c>
      <c r="L59" s="986">
        <f>'General(R)'!G153</f>
        <v>30</v>
      </c>
    </row>
    <row r="60" spans="1:12" s="695" customFormat="1">
      <c r="A60" s="977">
        <f>'General(R)'!B181</f>
        <v>38961</v>
      </c>
      <c r="B60" s="985">
        <f>'General(R)'!C181</f>
        <v>95.31</v>
      </c>
      <c r="C60" s="985">
        <f>'General(R)'!D181</f>
        <v>0</v>
      </c>
      <c r="D60" s="985">
        <f>'General(R)'!E181</f>
        <v>0</v>
      </c>
      <c r="E60" s="985">
        <f>'General(R)'!F181</f>
        <v>0</v>
      </c>
      <c r="F60" s="985">
        <f>'General(R)'!G181</f>
        <v>95.34</v>
      </c>
      <c r="G60" s="985">
        <f>'General(R)'!H181</f>
        <v>3.0000000000001137E-2</v>
      </c>
      <c r="H60" s="986">
        <f>'General(R)'!C154</f>
        <v>30</v>
      </c>
      <c r="I60" s="986">
        <f>'General(R)'!D154</f>
        <v>1284</v>
      </c>
      <c r="J60" s="986">
        <f>'General(R)'!E154</f>
        <v>543</v>
      </c>
      <c r="K60" s="986">
        <f>'General(R)'!F154</f>
        <v>533</v>
      </c>
      <c r="L60" s="986">
        <f>'General(R)'!G154</f>
        <v>-10</v>
      </c>
    </row>
    <row r="61" spans="1:12" s="695" customFormat="1">
      <c r="A61" s="977">
        <f>'General(R)'!B182</f>
        <v>39052</v>
      </c>
      <c r="B61" s="985">
        <f>'General(R)'!C182</f>
        <v>95.09</v>
      </c>
      <c r="C61" s="985">
        <f>'General(R)'!D182</f>
        <v>95.19</v>
      </c>
      <c r="D61" s="985">
        <f>'General(R)'!E182</f>
        <v>95.19</v>
      </c>
      <c r="E61" s="985">
        <f>'General(R)'!F182</f>
        <v>95.09</v>
      </c>
      <c r="F61" s="985">
        <f>'General(R)'!G182</f>
        <v>95.09</v>
      </c>
      <c r="G61" s="985">
        <f>'General(R)'!H182</f>
        <v>0</v>
      </c>
      <c r="H61" s="986">
        <f>'General(R)'!C155</f>
        <v>55</v>
      </c>
      <c r="I61" s="986">
        <f>'General(R)'!D155</f>
        <v>806</v>
      </c>
      <c r="J61" s="986">
        <f>'General(R)'!E155</f>
        <v>781</v>
      </c>
      <c r="K61" s="986">
        <f>'General(R)'!F155</f>
        <v>801</v>
      </c>
      <c r="L61" s="986">
        <f>'General(R)'!G155</f>
        <v>20</v>
      </c>
    </row>
    <row r="62" spans="1:12" s="695" customFormat="1" ph="1">
      <c r="A62" s="977">
        <f>'General(R)'!B183</f>
        <v>39142</v>
      </c>
      <c r="B62" s="985">
        <f>'General(R)'!C183</f>
        <v>94.98</v>
      </c>
      <c r="C62" s="985">
        <f>'General(R)'!D183</f>
        <v>95.08</v>
      </c>
      <c r="D62" s="985">
        <f>'General(R)'!E183</f>
        <v>95.08</v>
      </c>
      <c r="E62" s="985">
        <f>'General(R)'!F183</f>
        <v>95.08</v>
      </c>
      <c r="F62" s="985">
        <f>'General(R)'!G183</f>
        <v>94.98</v>
      </c>
      <c r="G62" s="985">
        <f>'General(R)'!H183</f>
        <v>0</v>
      </c>
      <c r="H62" s="986">
        <f>'General(R)'!C156</f>
        <v>65</v>
      </c>
      <c r="I62" s="986">
        <f>'General(R)'!D156</f>
        <v>444</v>
      </c>
      <c r="J62" s="986">
        <f>'General(R)'!E156</f>
        <v>794</v>
      </c>
      <c r="K62" s="986">
        <f>'General(R)'!F156</f>
        <v>814</v>
      </c>
      <c r="L62" s="986">
        <f>'General(R)'!G156</f>
        <v>20</v>
      </c>
    </row>
    <row r="63" spans="1:12" s="695" customFormat="1">
      <c r="A63" s="977">
        <f>'General(R)'!B184</f>
        <v>39234</v>
      </c>
      <c r="B63" s="985">
        <f>'General(R)'!C184</f>
        <v>94.8</v>
      </c>
      <c r="C63" s="985">
        <f>'General(R)'!D184</f>
        <v>0</v>
      </c>
      <c r="D63" s="985">
        <f>'General(R)'!E184</f>
        <v>0</v>
      </c>
      <c r="E63" s="985">
        <f>'General(R)'!F184</f>
        <v>0</v>
      </c>
      <c r="F63" s="985">
        <f>'General(R)'!G184</f>
        <v>94.8</v>
      </c>
      <c r="G63" s="985">
        <f>'General(R)'!H184</f>
        <v>0</v>
      </c>
      <c r="H63" s="986">
        <f>'General(R)'!C157</f>
        <v>30</v>
      </c>
      <c r="I63" s="986">
        <f>'General(R)'!D157</f>
        <v>360</v>
      </c>
      <c r="J63" s="986">
        <f>'General(R)'!E157</f>
        <v>609</v>
      </c>
      <c r="K63" s="986">
        <f>'General(R)'!F157</f>
        <v>639</v>
      </c>
      <c r="L63" s="986">
        <f>'General(R)'!G157</f>
        <v>30</v>
      </c>
    </row>
    <row r="64" spans="1:12" s="695" customFormat="1">
      <c r="A64" s="977">
        <f>'General(R)'!B185</f>
        <v>39326</v>
      </c>
      <c r="B64" s="985">
        <f>'General(R)'!C185</f>
        <v>94.55</v>
      </c>
      <c r="C64" s="985">
        <f>'General(R)'!D185</f>
        <v>0</v>
      </c>
      <c r="D64" s="985">
        <f>'General(R)'!E185</f>
        <v>0</v>
      </c>
      <c r="E64" s="985">
        <f>'General(R)'!F185</f>
        <v>0</v>
      </c>
      <c r="F64" s="985">
        <f>'General(R)'!G185</f>
        <v>94.55</v>
      </c>
      <c r="G64" s="985">
        <f>'General(R)'!H185</f>
        <v>0</v>
      </c>
      <c r="H64" s="986">
        <f>'General(R)'!C158</f>
        <v>30</v>
      </c>
      <c r="I64" s="986">
        <f>'General(R)'!D158</f>
        <v>345</v>
      </c>
      <c r="J64" s="986">
        <f>'General(R)'!E158</f>
        <v>616</v>
      </c>
      <c r="K64" s="986">
        <f>'General(R)'!F158</f>
        <v>646</v>
      </c>
      <c r="L64" s="986">
        <f>'General(R)'!G158</f>
        <v>30</v>
      </c>
    </row>
    <row r="65" spans="1:12" s="695" customFormat="1">
      <c r="A65" s="977">
        <f>'General(R)'!B186</f>
        <v>39417</v>
      </c>
      <c r="B65" s="985">
        <f>'General(R)'!C186</f>
        <v>94.41</v>
      </c>
      <c r="C65" s="985">
        <f>'General(R)'!D186</f>
        <v>0</v>
      </c>
      <c r="D65" s="985">
        <f>'General(R)'!E186</f>
        <v>0</v>
      </c>
      <c r="E65" s="985">
        <f>'General(R)'!F186</f>
        <v>0</v>
      </c>
      <c r="F65" s="985">
        <f>'General(R)'!G186</f>
        <v>94.41</v>
      </c>
      <c r="G65" s="985">
        <f>'General(R)'!H186</f>
        <v>0</v>
      </c>
      <c r="H65" s="986">
        <f>'General(R)'!C159</f>
        <v>30</v>
      </c>
      <c r="I65" s="986">
        <f>'General(R)'!D159</f>
        <v>385</v>
      </c>
      <c r="J65" s="986">
        <f>'General(R)'!E159</f>
        <v>787</v>
      </c>
      <c r="K65" s="986">
        <f>'General(R)'!F159</f>
        <v>814</v>
      </c>
      <c r="L65" s="986">
        <f>'General(R)'!G159</f>
        <v>27</v>
      </c>
    </row>
    <row r="66" spans="1:12" s="695" customFormat="1">
      <c r="A66" s="977">
        <f>'General(R)'!B187</f>
        <v>39508</v>
      </c>
      <c r="B66" s="985">
        <f>'General(R)'!C187</f>
        <v>94.21</v>
      </c>
      <c r="C66" s="985">
        <f>'General(R)'!D187</f>
        <v>0</v>
      </c>
      <c r="D66" s="985">
        <f>'General(R)'!E187</f>
        <v>0</v>
      </c>
      <c r="E66" s="985">
        <f>'General(R)'!F187</f>
        <v>0</v>
      </c>
      <c r="F66" s="985">
        <f>'General(R)'!G187</f>
        <v>94.21</v>
      </c>
      <c r="G66" s="985">
        <f>'General(R)'!H187</f>
        <v>0</v>
      </c>
      <c r="H66" s="986">
        <f>'General(R)'!C160</f>
        <v>30</v>
      </c>
      <c r="I66" s="986">
        <f>'General(R)'!D160</f>
        <v>415</v>
      </c>
      <c r="J66" s="986">
        <f>'General(R)'!E160</f>
        <v>642</v>
      </c>
      <c r="K66" s="986">
        <f>'General(R)'!F160</f>
        <v>669</v>
      </c>
      <c r="L66" s="986">
        <f>'General(R)'!G160</f>
        <v>27</v>
      </c>
    </row>
    <row r="67" spans="1:12" s="695" customFormat="1">
      <c r="A67" s="977">
        <f>'General(R)'!B188</f>
        <v>39600</v>
      </c>
      <c r="B67" s="985">
        <f>'General(R)'!C188</f>
        <v>94.04</v>
      </c>
      <c r="C67" s="985">
        <f>'General(R)'!D188</f>
        <v>0</v>
      </c>
      <c r="D67" s="985">
        <f>'General(R)'!E188</f>
        <v>0</v>
      </c>
      <c r="E67" s="985">
        <f>'General(R)'!F188</f>
        <v>0</v>
      </c>
      <c r="F67" s="985">
        <f>'General(R)'!G188</f>
        <v>94.04</v>
      </c>
      <c r="G67" s="985">
        <f>'General(R)'!H188</f>
        <v>0</v>
      </c>
      <c r="H67" s="986">
        <f>'General(R)'!C161</f>
        <v>30</v>
      </c>
      <c r="I67" s="986">
        <f>'General(R)'!D161</f>
        <v>410</v>
      </c>
      <c r="J67" s="986">
        <f>'General(R)'!E161</f>
        <v>674</v>
      </c>
      <c r="K67" s="986">
        <f>'General(R)'!F161</f>
        <v>704</v>
      </c>
      <c r="L67" s="986">
        <f>'General(R)'!G161</f>
        <v>30</v>
      </c>
    </row>
    <row r="68" spans="1:12" s="695" customFormat="1">
      <c r="A68" s="977">
        <f>'General(R)'!B190</f>
        <v>39783</v>
      </c>
      <c r="B68" s="985">
        <f>'General(R)'!C190</f>
        <v>93.58</v>
      </c>
      <c r="C68" s="985">
        <f>'General(R)'!D190</f>
        <v>0</v>
      </c>
      <c r="D68" s="985">
        <f>'General(R)'!E190</f>
        <v>0</v>
      </c>
      <c r="E68" s="985">
        <f>'General(R)'!F190</f>
        <v>0</v>
      </c>
      <c r="F68" s="985">
        <f>'General(R)'!G190</f>
        <v>93.58</v>
      </c>
      <c r="G68" s="985">
        <f>'General(R)'!H190</f>
        <v>0</v>
      </c>
      <c r="H68" s="986">
        <f>'General(R)'!C162</f>
        <v>30</v>
      </c>
      <c r="I68" s="986">
        <f>'General(R)'!D162</f>
        <v>410</v>
      </c>
      <c r="J68" s="986">
        <f>'General(R)'!E162</f>
        <v>230</v>
      </c>
      <c r="K68" s="986">
        <f>'General(R)'!F162</f>
        <v>260</v>
      </c>
      <c r="L68" s="986">
        <f>'General(R)'!G162</f>
        <v>30</v>
      </c>
    </row>
    <row r="69" spans="1:12" s="695" customFormat="1">
      <c r="A69" s="977" t="s">
        <v>32</v>
      </c>
      <c r="B69" s="987"/>
      <c r="C69" s="987"/>
      <c r="D69" s="987"/>
      <c r="E69" s="987"/>
      <c r="F69" s="987"/>
      <c r="G69" s="987"/>
      <c r="H69" s="988">
        <f>'General(R)'!C164</f>
        <v>1946</v>
      </c>
      <c r="I69" s="988">
        <f>'General(R)'!D164</f>
        <v>16413</v>
      </c>
      <c r="J69" s="988">
        <f>'General(R)'!E164</f>
        <v>17306</v>
      </c>
      <c r="K69" s="988">
        <f>'General(R)'!F164</f>
        <v>18006</v>
      </c>
      <c r="L69" s="988">
        <f>'General(R)'!G164</f>
        <v>700</v>
      </c>
    </row>
    <row r="70" spans="1:12" s="695" customFormat="1" ht="6" customHeight="1">
      <c r="A70" s="114"/>
      <c r="B70" s="983"/>
      <c r="C70" s="983"/>
      <c r="D70" s="983"/>
      <c r="E70" s="983"/>
      <c r="F70" s="984"/>
    </row>
    <row r="71" spans="1:12" s="695" customFormat="1">
      <c r="A71" s="696" t="s">
        <v>160</v>
      </c>
      <c r="B71" s="95"/>
      <c r="C71" s="95" t="s">
        <v>221</v>
      </c>
      <c r="D71" s="95"/>
      <c r="E71" s="95"/>
      <c r="F71" s="95"/>
    </row>
    <row r="72" spans="1:12" s="695" customFormat="1">
      <c r="A72" s="957" t="s">
        <v>33</v>
      </c>
      <c r="B72" s="958" t="s">
        <v>34</v>
      </c>
      <c r="C72" s="959" t="s">
        <v>35</v>
      </c>
      <c r="D72" s="959" t="s">
        <v>166</v>
      </c>
      <c r="E72" s="959" t="s">
        <v>166</v>
      </c>
      <c r="F72" s="958" t="s">
        <v>234</v>
      </c>
      <c r="G72" s="959" t="s">
        <v>40</v>
      </c>
      <c r="H72" s="960" t="s">
        <v>21</v>
      </c>
      <c r="I72" s="960"/>
      <c r="J72" s="960" t="s">
        <v>9</v>
      </c>
      <c r="K72" s="960"/>
      <c r="L72" s="960"/>
    </row>
    <row r="73" spans="1:12" s="695" customFormat="1" ht="15" customHeight="1">
      <c r="A73" s="961" t="s">
        <v>23</v>
      </c>
      <c r="B73" s="962" t="s">
        <v>41</v>
      </c>
      <c r="C73" s="962" t="s">
        <v>42</v>
      </c>
      <c r="D73" s="962" t="s">
        <v>168</v>
      </c>
      <c r="E73" s="962" t="s">
        <v>169</v>
      </c>
      <c r="F73" s="962" t="s">
        <v>42</v>
      </c>
      <c r="G73" s="962" t="s">
        <v>28</v>
      </c>
      <c r="H73" s="963" t="s">
        <v>24</v>
      </c>
      <c r="I73" s="964" t="s">
        <v>25</v>
      </c>
      <c r="J73" s="963" t="s">
        <v>26</v>
      </c>
      <c r="K73" s="963" t="s">
        <v>27</v>
      </c>
      <c r="L73" s="963" t="s">
        <v>28</v>
      </c>
    </row>
    <row r="74" spans="1:12" s="695" customFormat="1" ht="14.25">
      <c r="A74" s="965" t="s">
        <v>236</v>
      </c>
      <c r="B74" s="966"/>
      <c r="C74" s="966"/>
      <c r="D74" s="966"/>
      <c r="E74" s="966"/>
      <c r="F74" s="966"/>
      <c r="G74" s="966"/>
      <c r="H74" s="966"/>
      <c r="I74" s="966"/>
      <c r="J74" s="966"/>
      <c r="K74" s="966"/>
      <c r="L74" s="966"/>
    </row>
    <row r="75" spans="1:12" s="695" customFormat="1">
      <c r="A75" s="967">
        <f>'General(R)'!B205</f>
        <v>38047</v>
      </c>
      <c r="B75" s="989">
        <f>'General(R)'!C205</f>
        <v>108.75</v>
      </c>
      <c r="C75" s="990">
        <f>'General(R)'!D205</f>
        <v>109</v>
      </c>
      <c r="D75" s="991">
        <f>'General(R)'!E205</f>
        <v>109</v>
      </c>
      <c r="E75" s="992">
        <f>'General(R)'!F205</f>
        <v>108.9</v>
      </c>
      <c r="F75" s="990">
        <f>'General(R)'!G205</f>
        <v>108.65</v>
      </c>
      <c r="G75" s="993">
        <f>'General(R)'!H205</f>
        <v>-9.9999999999994316E-2</v>
      </c>
      <c r="H75" s="986">
        <f>'General(R)'!C196</f>
        <v>52</v>
      </c>
      <c r="I75" s="986">
        <f>'General(R)'!D196</f>
        <v>1310</v>
      </c>
      <c r="J75" s="986">
        <f>'General(R)'!E196</f>
        <v>998</v>
      </c>
      <c r="K75" s="986">
        <f>'General(R)'!F196</f>
        <v>1047</v>
      </c>
      <c r="L75" s="986">
        <f>'General(R)'!G196</f>
        <v>49</v>
      </c>
    </row>
    <row r="76" spans="1:12" s="695" customFormat="1">
      <c r="A76" s="967">
        <f>'General(R)'!B206</f>
        <v>38139</v>
      </c>
      <c r="B76" s="989">
        <f>'General(R)'!C206</f>
        <v>108.04</v>
      </c>
      <c r="C76" s="990">
        <f>'General(R)'!D206</f>
        <v>0</v>
      </c>
      <c r="D76" s="991">
        <f>'General(R)'!E206</f>
        <v>0</v>
      </c>
      <c r="E76" s="992">
        <f>'General(R)'!F206</f>
        <v>0</v>
      </c>
      <c r="F76" s="990">
        <f>'General(R)'!G206</f>
        <v>107.94</v>
      </c>
      <c r="G76" s="993">
        <f>'General(R)'!H206</f>
        <v>-0.10000000000000853</v>
      </c>
      <c r="H76" s="986">
        <f>'General(R)'!C197</f>
        <v>0</v>
      </c>
      <c r="I76" s="986">
        <f>'General(R)'!D197</f>
        <v>0</v>
      </c>
      <c r="J76" s="986">
        <f>'General(R)'!E197</f>
        <v>0</v>
      </c>
      <c r="K76" s="986">
        <f>'General(R)'!F197</f>
        <v>0</v>
      </c>
      <c r="L76" s="986">
        <f>'General(R)'!G197</f>
        <v>0</v>
      </c>
    </row>
    <row r="77" spans="1:12" s="695" customFormat="1">
      <c r="A77" s="967">
        <f>'General(R)'!B207</f>
        <v>38231</v>
      </c>
      <c r="B77" s="989">
        <f>'General(R)'!C207</f>
        <v>107.45</v>
      </c>
      <c r="C77" s="990">
        <f>'General(R)'!D207</f>
        <v>0</v>
      </c>
      <c r="D77" s="991">
        <f>'General(R)'!E207</f>
        <v>0</v>
      </c>
      <c r="E77" s="992">
        <f>'General(R)'!F207</f>
        <v>0</v>
      </c>
      <c r="F77" s="990">
        <f>'General(R)'!G207</f>
        <v>107.35</v>
      </c>
      <c r="G77" s="993">
        <f>'General(R)'!H207</f>
        <v>-0.10000000000000853</v>
      </c>
      <c r="H77" s="986">
        <f>'General(R)'!C198</f>
        <v>0</v>
      </c>
      <c r="I77" s="986">
        <f>'General(R)'!D198</f>
        <v>0</v>
      </c>
      <c r="J77" s="986">
        <f>'General(R)'!E198</f>
        <v>0</v>
      </c>
      <c r="K77" s="986">
        <f>'General(R)'!F198</f>
        <v>0</v>
      </c>
      <c r="L77" s="986">
        <f>'General(R)'!G198</f>
        <v>0</v>
      </c>
    </row>
    <row r="78" spans="1:12" s="695" customFormat="1">
      <c r="A78" s="967">
        <f>'General(R)'!B208</f>
        <v>38322</v>
      </c>
      <c r="B78" s="989">
        <f>'General(R)'!C208</f>
        <v>106.69</v>
      </c>
      <c r="C78" s="990">
        <f>'General(R)'!D208</f>
        <v>0</v>
      </c>
      <c r="D78" s="991">
        <f>'General(R)'!E208</f>
        <v>0</v>
      </c>
      <c r="E78" s="992">
        <f>'General(R)'!F208</f>
        <v>0</v>
      </c>
      <c r="F78" s="990">
        <f>'General(R)'!G208</f>
        <v>106.59</v>
      </c>
      <c r="G78" s="993">
        <f>'General(R)'!H208</f>
        <v>-9.9999999999994316E-2</v>
      </c>
      <c r="H78" s="986">
        <f>'General(R)'!C199</f>
        <v>0</v>
      </c>
      <c r="I78" s="986">
        <f>'General(R)'!D199</f>
        <v>0</v>
      </c>
      <c r="J78" s="986">
        <f>'General(R)'!E199</f>
        <v>0</v>
      </c>
      <c r="K78" s="986">
        <f>'General(R)'!F199</f>
        <v>0</v>
      </c>
      <c r="L78" s="986">
        <f>'General(R)'!G199</f>
        <v>0</v>
      </c>
    </row>
    <row r="79" spans="1:12" s="695" customFormat="1">
      <c r="A79" s="994" t="s">
        <v>32</v>
      </c>
      <c r="B79" s="989"/>
      <c r="C79" s="990"/>
      <c r="D79" s="991"/>
      <c r="E79" s="992"/>
      <c r="F79" s="990"/>
      <c r="G79" s="993"/>
      <c r="H79" s="988">
        <f>'General(R)'!C200</f>
        <v>52</v>
      </c>
      <c r="I79" s="988">
        <f>'General(R)'!D200</f>
        <v>1310</v>
      </c>
      <c r="J79" s="988">
        <f>'General(R)'!E200</f>
        <v>998</v>
      </c>
      <c r="K79" s="988">
        <f>'General(R)'!F200</f>
        <v>1047</v>
      </c>
      <c r="L79" s="988">
        <f>'General(R)'!G200</f>
        <v>49</v>
      </c>
    </row>
    <row r="80" spans="1:12" s="695" customFormat="1" ht="4.5" customHeight="1">
      <c r="A80" s="114"/>
      <c r="B80" s="995"/>
      <c r="C80" s="996"/>
      <c r="D80" s="983"/>
      <c r="E80" s="983"/>
      <c r="F80" s="984"/>
    </row>
    <row r="81" spans="1:12" s="695" customFormat="1" ht="12.75" customHeight="1">
      <c r="A81" s="696" t="s">
        <v>160</v>
      </c>
      <c r="B81" s="95"/>
      <c r="C81" s="95" t="s">
        <v>256</v>
      </c>
      <c r="D81" s="95"/>
      <c r="E81" s="95"/>
      <c r="F81" s="95"/>
    </row>
    <row r="82" spans="1:12" s="695" customFormat="1" ht="12.75" customHeight="1">
      <c r="A82" s="957" t="s">
        <v>33</v>
      </c>
      <c r="B82" s="958" t="s">
        <v>34</v>
      </c>
      <c r="C82" s="959" t="s">
        <v>35</v>
      </c>
      <c r="D82" s="959" t="s">
        <v>166</v>
      </c>
      <c r="E82" s="959" t="s">
        <v>166</v>
      </c>
      <c r="F82" s="958" t="s">
        <v>234</v>
      </c>
      <c r="G82" s="959" t="s">
        <v>40</v>
      </c>
      <c r="H82" s="960" t="s">
        <v>21</v>
      </c>
      <c r="I82" s="960"/>
      <c r="J82" s="960" t="s">
        <v>9</v>
      </c>
      <c r="K82" s="960"/>
      <c r="L82" s="960"/>
    </row>
    <row r="83" spans="1:12" s="695" customFormat="1" ht="14.25" customHeight="1">
      <c r="A83" s="961" t="s">
        <v>23</v>
      </c>
      <c r="B83" s="962" t="s">
        <v>41</v>
      </c>
      <c r="C83" s="962" t="s">
        <v>42</v>
      </c>
      <c r="D83" s="962" t="s">
        <v>168</v>
      </c>
      <c r="E83" s="962" t="s">
        <v>169</v>
      </c>
      <c r="F83" s="962" t="s">
        <v>42</v>
      </c>
      <c r="G83" s="962" t="s">
        <v>28</v>
      </c>
      <c r="H83" s="963" t="s">
        <v>24</v>
      </c>
      <c r="I83" s="964" t="s">
        <v>25</v>
      </c>
      <c r="J83" s="963" t="s">
        <v>26</v>
      </c>
      <c r="K83" s="963" t="s">
        <v>27</v>
      </c>
      <c r="L83" s="963" t="s">
        <v>28</v>
      </c>
    </row>
    <row r="84" spans="1:12" s="695" customFormat="1" ht="13.5" customHeight="1">
      <c r="A84" s="965" t="s">
        <v>250</v>
      </c>
      <c r="B84" s="966"/>
      <c r="C84" s="966"/>
      <c r="D84" s="966"/>
      <c r="E84" s="966"/>
      <c r="F84" s="966"/>
      <c r="G84" s="966"/>
      <c r="H84" s="966"/>
      <c r="I84" s="966"/>
      <c r="J84" s="966"/>
      <c r="K84" s="966"/>
      <c r="L84" s="966"/>
    </row>
    <row r="85" spans="1:12" s="695" customFormat="1" ht="12.75" customHeight="1">
      <c r="A85" s="967">
        <f>'General(R)'!B223</f>
        <v>38047</v>
      </c>
      <c r="B85" s="989">
        <f>'General(R)'!C223</f>
        <v>107</v>
      </c>
      <c r="C85" s="990">
        <f>'General(R)'!D223</f>
        <v>107.1</v>
      </c>
      <c r="D85" s="991">
        <f>'General(R)'!E223</f>
        <v>107.1</v>
      </c>
      <c r="E85" s="992">
        <f>'General(R)'!F223</f>
        <v>107.1</v>
      </c>
      <c r="F85" s="990">
        <f>'General(R)'!G223</f>
        <v>106.9</v>
      </c>
      <c r="G85" s="993">
        <f>'General(R)'!H223</f>
        <v>-9.9999999999994316E-2</v>
      </c>
      <c r="H85" s="986">
        <f>'General(R)'!C214</f>
        <v>50</v>
      </c>
      <c r="I85" s="986">
        <f>'General(R)'!D214</f>
        <v>1120</v>
      </c>
      <c r="J85" s="986">
        <f>'General(R)'!E214</f>
        <v>220</v>
      </c>
      <c r="K85" s="986">
        <f>'General(R)'!G214</f>
        <v>0</v>
      </c>
      <c r="L85" s="986">
        <f>'General(R)'!I214</f>
        <v>5000000</v>
      </c>
    </row>
    <row r="86" spans="1:12" s="695" customFormat="1" ht="12.75" customHeight="1">
      <c r="A86" s="967">
        <f>'General(R)'!B224</f>
        <v>38139</v>
      </c>
      <c r="B86" s="989">
        <f>'General(R)'!C224</f>
        <v>106.26</v>
      </c>
      <c r="C86" s="990">
        <f>'General(R)'!D224</f>
        <v>0</v>
      </c>
      <c r="D86" s="991">
        <f>'General(R)'!E224</f>
        <v>0</v>
      </c>
      <c r="E86" s="992">
        <f>'General(R)'!F224</f>
        <v>0</v>
      </c>
      <c r="F86" s="990">
        <f>'General(R)'!G224</f>
        <v>106.16</v>
      </c>
      <c r="G86" s="993">
        <f>'General(R)'!H224</f>
        <v>-0.10000000000000853</v>
      </c>
      <c r="H86" s="986">
        <f>'General(R)'!C215</f>
        <v>0</v>
      </c>
      <c r="I86" s="986">
        <f>'General(R)'!D215</f>
        <v>0</v>
      </c>
      <c r="J86" s="986">
        <f>'General(R)'!E215</f>
        <v>0</v>
      </c>
      <c r="K86" s="986">
        <f>'General(R)'!G215</f>
        <v>0</v>
      </c>
      <c r="L86" s="986">
        <f>'General(R)'!I215</f>
        <v>0</v>
      </c>
    </row>
    <row r="87" spans="1:12" s="695" customFormat="1" ht="12.75" customHeight="1">
      <c r="A87" s="967">
        <f>'General(R)'!B225</f>
        <v>38231</v>
      </c>
      <c r="B87" s="989">
        <f>'General(R)'!C225</f>
        <v>105.53</v>
      </c>
      <c r="C87" s="990">
        <f>'General(R)'!D225</f>
        <v>0</v>
      </c>
      <c r="D87" s="991">
        <f>'General(R)'!E225</f>
        <v>0</v>
      </c>
      <c r="E87" s="992">
        <f>'General(R)'!F225</f>
        <v>0</v>
      </c>
      <c r="F87" s="990">
        <f>'General(R)'!G225</f>
        <v>105.43</v>
      </c>
      <c r="G87" s="993">
        <f>'General(R)'!H225</f>
        <v>-9.9999999999994316E-2</v>
      </c>
      <c r="H87" s="986">
        <f>'General(R)'!C216</f>
        <v>0</v>
      </c>
      <c r="I87" s="986">
        <f>'General(R)'!D216</f>
        <v>0</v>
      </c>
      <c r="J87" s="986">
        <f>'General(R)'!F216</f>
        <v>0</v>
      </c>
      <c r="K87" s="986">
        <f>'General(R)'!G216</f>
        <v>0</v>
      </c>
      <c r="L87" s="986">
        <f>'General(R)'!I216</f>
        <v>0</v>
      </c>
    </row>
    <row r="88" spans="1:12" s="695" customFormat="1" ht="12.75" customHeight="1">
      <c r="A88" s="967">
        <f>'General(R)'!B226</f>
        <v>38322</v>
      </c>
      <c r="B88" s="989">
        <f>'General(R)'!C226</f>
        <v>104.75</v>
      </c>
      <c r="C88" s="990">
        <f>'General(R)'!D226</f>
        <v>0</v>
      </c>
      <c r="D88" s="991">
        <f>'General(R)'!E226</f>
        <v>0</v>
      </c>
      <c r="E88" s="992">
        <f>'General(R)'!F226</f>
        <v>0</v>
      </c>
      <c r="F88" s="990">
        <f>'General(R)'!G226</f>
        <v>104.65</v>
      </c>
      <c r="G88" s="993">
        <f>'General(R)'!H226</f>
        <v>-9.9999999999994316E-2</v>
      </c>
      <c r="H88" s="986">
        <f>'General(R)'!C217</f>
        <v>0</v>
      </c>
      <c r="I88" s="986">
        <f>'General(R)'!D217</f>
        <v>0</v>
      </c>
      <c r="J88" s="986">
        <f>'General(R)'!F217</f>
        <v>0</v>
      </c>
      <c r="K88" s="986">
        <f>'General(R)'!G217</f>
        <v>0</v>
      </c>
      <c r="L88" s="986">
        <f>'General(R)'!I217</f>
        <v>0</v>
      </c>
    </row>
    <row r="89" spans="1:12" s="695" customFormat="1" ht="12.75" customHeight="1">
      <c r="A89" s="994" t="s">
        <v>32</v>
      </c>
      <c r="B89" s="989"/>
      <c r="C89" s="990"/>
      <c r="D89" s="991"/>
      <c r="E89" s="992"/>
      <c r="F89" s="990"/>
      <c r="G89" s="993"/>
      <c r="H89" s="988">
        <f>'General(R)'!C218</f>
        <v>50</v>
      </c>
      <c r="I89" s="988">
        <f>'General(R)'!D218</f>
        <v>1120</v>
      </c>
      <c r="J89" s="988">
        <f>'General(R)'!F218</f>
        <v>220</v>
      </c>
      <c r="K89" s="988">
        <f>'General(R)'!G218</f>
        <v>0</v>
      </c>
      <c r="L89" s="988">
        <f>'General(R)'!I218</f>
        <v>5000000</v>
      </c>
    </row>
    <row r="90" spans="1:12" s="695" customFormat="1" ht="4.5" customHeight="1">
      <c r="A90" s="114"/>
      <c r="B90" s="995"/>
      <c r="C90" s="996"/>
      <c r="D90" s="983"/>
      <c r="E90" s="983"/>
      <c r="F90" s="984"/>
    </row>
    <row r="91" spans="1:12" s="695" customFormat="1" ht="12.75" customHeight="1">
      <c r="A91" s="114"/>
      <c r="B91" s="995"/>
      <c r="C91" s="996"/>
      <c r="D91" s="983"/>
      <c r="E91" s="983"/>
      <c r="F91" s="984"/>
    </row>
    <row r="92" spans="1:12" s="695" customFormat="1" ht="12.75" customHeight="1">
      <c r="A92" s="114"/>
      <c r="B92" s="995"/>
      <c r="C92" s="996"/>
      <c r="D92" s="983"/>
      <c r="E92" s="983"/>
      <c r="F92" s="984"/>
    </row>
    <row r="93" spans="1:12" s="695" customFormat="1" ht="12.75" customHeight="1">
      <c r="A93" s="696" t="s">
        <v>160</v>
      </c>
      <c r="B93" s="95"/>
      <c r="C93" s="95" t="s">
        <v>257</v>
      </c>
      <c r="D93" s="95"/>
      <c r="E93" s="95"/>
      <c r="F93" s="95"/>
    </row>
    <row r="94" spans="1:12" s="695" customFormat="1" ht="12.75" customHeight="1" ph="1">
      <c r="A94" s="957" t="s">
        <v>33</v>
      </c>
      <c r="B94" s="958" t="s">
        <v>34</v>
      </c>
      <c r="C94" s="959" t="s">
        <v>35</v>
      </c>
      <c r="D94" s="959" t="s">
        <v>166</v>
      </c>
      <c r="E94" s="959" t="s">
        <v>166</v>
      </c>
      <c r="F94" s="958" t="s">
        <v>234</v>
      </c>
      <c r="G94" s="959" t="s">
        <v>40</v>
      </c>
      <c r="H94" s="960" t="s">
        <v>21</v>
      </c>
      <c r="I94" s="960"/>
      <c r="J94" s="960" t="s">
        <v>9</v>
      </c>
      <c r="K94" s="960"/>
      <c r="L94" s="960"/>
    </row>
    <row r="95" spans="1:12" s="695" customFormat="1" ht="15" customHeight="1">
      <c r="A95" s="961" t="s">
        <v>23</v>
      </c>
      <c r="B95" s="962" t="s">
        <v>41</v>
      </c>
      <c r="C95" s="962" t="s">
        <v>42</v>
      </c>
      <c r="D95" s="962" t="s">
        <v>168</v>
      </c>
      <c r="E95" s="962" t="s">
        <v>169</v>
      </c>
      <c r="F95" s="962" t="s">
        <v>42</v>
      </c>
      <c r="G95" s="962" t="s">
        <v>28</v>
      </c>
      <c r="H95" s="963" t="s">
        <v>24</v>
      </c>
      <c r="I95" s="964" t="s">
        <v>25</v>
      </c>
      <c r="J95" s="963" t="s">
        <v>26</v>
      </c>
      <c r="K95" s="963" t="s">
        <v>27</v>
      </c>
      <c r="L95" s="963" t="s">
        <v>28</v>
      </c>
    </row>
    <row r="96" spans="1:12" s="695" customFormat="1" ht="12.75" customHeight="1">
      <c r="A96" s="965" t="s">
        <v>265</v>
      </c>
      <c r="B96" s="966"/>
      <c r="C96" s="966"/>
      <c r="D96" s="966"/>
      <c r="E96" s="966"/>
      <c r="F96" s="966"/>
      <c r="G96" s="966"/>
      <c r="H96" s="966"/>
      <c r="I96" s="966"/>
      <c r="J96" s="966"/>
      <c r="K96" s="966"/>
      <c r="L96" s="966"/>
    </row>
    <row r="97" spans="1:13" s="695" customFormat="1" ht="12.75" customHeight="1">
      <c r="A97" s="967">
        <f>'General(R)'!B241</f>
        <v>38047</v>
      </c>
      <c r="B97" s="989">
        <f>'General(R)'!C241</f>
        <v>109.1</v>
      </c>
      <c r="C97" s="990">
        <f>'General(R)'!D241</f>
        <v>0</v>
      </c>
      <c r="D97" s="991">
        <f>'General(R)'!E241</f>
        <v>0</v>
      </c>
      <c r="E97" s="992">
        <f>'General(R)'!F241</f>
        <v>0</v>
      </c>
      <c r="F97" s="990">
        <f>'General(R)'!G241</f>
        <v>109.1</v>
      </c>
      <c r="G97" s="993">
        <f>'General(R)'!H241</f>
        <v>0</v>
      </c>
      <c r="H97" s="986">
        <f>'General(R)'!C232</f>
        <v>0</v>
      </c>
      <c r="I97" s="986">
        <f>'General(R)'!D232</f>
        <v>0</v>
      </c>
      <c r="J97" s="986">
        <f>'General(R)'!E232</f>
        <v>0</v>
      </c>
      <c r="K97" s="986">
        <f>'General(R)'!F232</f>
        <v>0</v>
      </c>
      <c r="L97" s="986">
        <f>'General(R)'!G232</f>
        <v>0</v>
      </c>
    </row>
    <row r="98" spans="1:13" s="695" customFormat="1" ht="12.75" customHeight="1">
      <c r="A98" s="967">
        <f>'General(R)'!B242</f>
        <v>38139</v>
      </c>
      <c r="B98" s="989">
        <f>'General(R)'!C242</f>
        <v>108.4</v>
      </c>
      <c r="C98" s="990">
        <f>'General(R)'!D242</f>
        <v>0</v>
      </c>
      <c r="D98" s="991">
        <f>'General(R)'!E242</f>
        <v>0</v>
      </c>
      <c r="E98" s="992">
        <f>'General(R)'!F242</f>
        <v>0</v>
      </c>
      <c r="F98" s="990">
        <f>'General(R)'!G242</f>
        <v>108.4</v>
      </c>
      <c r="G98" s="993">
        <f>'General(R)'!H242</f>
        <v>0</v>
      </c>
      <c r="H98" s="986">
        <f>'General(R)'!C233</f>
        <v>0</v>
      </c>
      <c r="I98" s="986">
        <f>'General(R)'!D233</f>
        <v>0</v>
      </c>
      <c r="J98" s="986">
        <f>'General(R)'!E233</f>
        <v>0</v>
      </c>
      <c r="K98" s="986">
        <f>'General(R)'!F233</f>
        <v>0</v>
      </c>
      <c r="L98" s="986">
        <f>'General(R)'!G233</f>
        <v>0</v>
      </c>
    </row>
    <row r="99" spans="1:13" s="695" customFormat="1" ht="12.75" customHeight="1">
      <c r="A99" s="967">
        <f>'General(R)'!B243</f>
        <v>38231</v>
      </c>
      <c r="B99" s="989">
        <f>'General(R)'!C243</f>
        <v>107.71</v>
      </c>
      <c r="C99" s="990">
        <f>'General(R)'!D243</f>
        <v>0</v>
      </c>
      <c r="D99" s="991">
        <f>'General(R)'!E243</f>
        <v>0</v>
      </c>
      <c r="E99" s="992">
        <f>'General(R)'!F243</f>
        <v>0</v>
      </c>
      <c r="F99" s="990">
        <f>'General(R)'!G243</f>
        <v>107.71</v>
      </c>
      <c r="G99" s="993">
        <f>'General(R)'!H243</f>
        <v>0</v>
      </c>
      <c r="H99" s="986">
        <f>'General(R)'!C234</f>
        <v>0</v>
      </c>
      <c r="I99" s="986">
        <f>'General(R)'!D234</f>
        <v>0</v>
      </c>
      <c r="J99" s="986">
        <f>'General(R)'!E234</f>
        <v>0</v>
      </c>
      <c r="K99" s="986">
        <f>'General(R)'!F234</f>
        <v>0</v>
      </c>
      <c r="L99" s="986">
        <f>'General(R)'!G234</f>
        <v>0</v>
      </c>
    </row>
    <row r="100" spans="1:13" s="695" customFormat="1" ht="12.75" customHeight="1">
      <c r="A100" s="967">
        <f>'General(R)'!B244</f>
        <v>38322</v>
      </c>
      <c r="B100" s="989">
        <f>'General(R)'!C244</f>
        <v>106.93</v>
      </c>
      <c r="C100" s="990">
        <f>'General(R)'!D244</f>
        <v>0</v>
      </c>
      <c r="D100" s="991">
        <f>'General(R)'!E244</f>
        <v>0</v>
      </c>
      <c r="E100" s="992">
        <f>'General(R)'!F244</f>
        <v>0</v>
      </c>
      <c r="F100" s="990">
        <f>'General(R)'!G244</f>
        <v>106.93</v>
      </c>
      <c r="G100" s="993">
        <f>'General(R)'!H244</f>
        <v>0</v>
      </c>
      <c r="H100" s="986">
        <f>'General(R)'!C235</f>
        <v>0</v>
      </c>
      <c r="I100" s="986">
        <f>'General(R)'!D235</f>
        <v>0</v>
      </c>
      <c r="J100" s="986">
        <f>'General(R)'!E235</f>
        <v>0</v>
      </c>
      <c r="K100" s="986">
        <f>'General(R)'!F235</f>
        <v>0</v>
      </c>
      <c r="L100" s="986">
        <f>'General(R)'!G235</f>
        <v>0</v>
      </c>
    </row>
    <row r="101" spans="1:13" s="695" customFormat="1" ht="12.75" customHeight="1">
      <c r="A101" s="994" t="s">
        <v>32</v>
      </c>
      <c r="B101" s="989"/>
      <c r="C101" s="990"/>
      <c r="D101" s="991"/>
      <c r="E101" s="992"/>
      <c r="F101" s="990"/>
      <c r="G101" s="993"/>
      <c r="H101" s="988">
        <f>'General(R)'!C236</f>
        <v>0</v>
      </c>
      <c r="I101" s="988">
        <f>'General(R)'!D236</f>
        <v>0</v>
      </c>
      <c r="J101" s="988">
        <f>'General(R)'!F236</f>
        <v>0</v>
      </c>
      <c r="K101" s="988">
        <f>'General(R)'!F236</f>
        <v>0</v>
      </c>
      <c r="L101" s="988">
        <f>'General(R)'!G236</f>
        <v>0</v>
      </c>
    </row>
    <row r="102" spans="1:13" s="695" customFormat="1" ht="4.5" customHeight="1">
      <c r="A102" s="114"/>
      <c r="B102" s="995"/>
      <c r="C102" s="996"/>
      <c r="D102" s="983"/>
      <c r="E102" s="983"/>
      <c r="F102" s="984"/>
    </row>
    <row r="103" spans="1:13" s="695" customFormat="1">
      <c r="A103" s="696" t="s">
        <v>160</v>
      </c>
      <c r="B103" s="95"/>
      <c r="C103" s="95" t="s">
        <v>177</v>
      </c>
      <c r="D103" s="95"/>
      <c r="E103" s="95"/>
      <c r="F103" s="95"/>
      <c r="G103" s="95"/>
    </row>
    <row r="104" spans="1:13" s="695" customFormat="1">
      <c r="A104" s="1006" t="str">
        <f>'General(R)'!B102</f>
        <v>Contract</v>
      </c>
      <c r="B104" s="964" t="s">
        <v>34</v>
      </c>
      <c r="C104" s="963" t="s">
        <v>35</v>
      </c>
      <c r="D104" s="963" t="s">
        <v>36</v>
      </c>
      <c r="E104" s="963" t="s">
        <v>37</v>
      </c>
      <c r="F104" s="964" t="s">
        <v>38</v>
      </c>
      <c r="G104" s="964" t="s">
        <v>234</v>
      </c>
      <c r="H104" s="963" t="s">
        <v>40</v>
      </c>
      <c r="I104" s="960" t="s">
        <v>21</v>
      </c>
      <c r="J104" s="960"/>
      <c r="K104" s="960" t="s">
        <v>9</v>
      </c>
      <c r="L104" s="960"/>
      <c r="M104" s="960"/>
    </row>
    <row r="105" spans="1:13" s="695" customFormat="1">
      <c r="A105" s="1006" t="str">
        <f>'General(R)'!B103</f>
        <v>Months</v>
      </c>
      <c r="B105" s="963" t="s">
        <v>41</v>
      </c>
      <c r="C105" s="963" t="s">
        <v>42</v>
      </c>
      <c r="D105" s="963" t="s">
        <v>42</v>
      </c>
      <c r="E105" s="963" t="s">
        <v>42</v>
      </c>
      <c r="F105" s="963" t="s">
        <v>42</v>
      </c>
      <c r="G105" s="963" t="s">
        <v>42</v>
      </c>
      <c r="H105" s="963" t="s">
        <v>28</v>
      </c>
      <c r="I105" s="963" t="s">
        <v>24</v>
      </c>
      <c r="J105" s="963" t="s">
        <v>25</v>
      </c>
      <c r="K105" s="963" t="s">
        <v>26</v>
      </c>
      <c r="L105" s="963" t="s">
        <v>27</v>
      </c>
      <c r="M105" s="963" t="s">
        <v>28</v>
      </c>
    </row>
    <row r="106" spans="1:13" s="695" customFormat="1">
      <c r="A106" s="1004" t="str">
        <f>'General(R)'!B104</f>
        <v>Calls</v>
      </c>
      <c r="B106" s="966"/>
      <c r="C106" s="966"/>
      <c r="D106" s="966"/>
      <c r="E106" s="966"/>
      <c r="F106" s="966"/>
      <c r="G106" s="966"/>
      <c r="H106" s="966"/>
      <c r="I106" s="966"/>
      <c r="J106" s="966"/>
      <c r="K106" s="966"/>
      <c r="L106" s="966"/>
      <c r="M106" s="966"/>
    </row>
    <row r="107" spans="1:13" s="695" customFormat="1">
      <c r="A107" s="1005">
        <f>'General(R)'!B105</f>
        <v>0</v>
      </c>
      <c r="B107" s="997">
        <f>'General(R)'!C105</f>
        <v>0</v>
      </c>
      <c r="C107" s="997">
        <f>'General(R)'!D105</f>
        <v>0</v>
      </c>
      <c r="D107" s="997">
        <f>'General(R)'!E105</f>
        <v>0</v>
      </c>
      <c r="E107" s="997">
        <f>'General(R)'!F105</f>
        <v>0</v>
      </c>
      <c r="F107" s="997">
        <f>'General(R)'!G105</f>
        <v>0</v>
      </c>
      <c r="G107" s="997">
        <f>'General(R)'!H105</f>
        <v>0</v>
      </c>
      <c r="H107" s="1007">
        <f>'General(R)'!I105</f>
        <v>0</v>
      </c>
      <c r="I107" s="998">
        <f>'General(R)'!C94</f>
        <v>0</v>
      </c>
      <c r="J107" s="998">
        <f>'General(R)'!D94</f>
        <v>0</v>
      </c>
      <c r="K107" s="998">
        <f>'General(R)'!E94</f>
        <v>0</v>
      </c>
      <c r="L107" s="998">
        <f>'General(R)'!F94</f>
        <v>0</v>
      </c>
      <c r="M107" s="998">
        <f>'General(R)'!G94</f>
        <v>0</v>
      </c>
    </row>
    <row r="108" spans="1:13" s="695" customFormat="1" ht="15" customHeight="1">
      <c r="A108" s="1005">
        <f>'General(R)'!B106</f>
        <v>0</v>
      </c>
      <c r="B108" s="997">
        <f>'General(R)'!C106</f>
        <v>0</v>
      </c>
      <c r="C108" s="997">
        <f>'General(R)'!D106</f>
        <v>0</v>
      </c>
      <c r="D108" s="997">
        <f>'General(R)'!E106</f>
        <v>0</v>
      </c>
      <c r="E108" s="997">
        <f>'General(R)'!F106</f>
        <v>0</v>
      </c>
      <c r="F108" s="997">
        <f>'General(R)'!G106</f>
        <v>0</v>
      </c>
      <c r="G108" s="997">
        <f>'General(R)'!H106</f>
        <v>0</v>
      </c>
      <c r="H108" s="1007">
        <f>'General(R)'!I106</f>
        <v>0</v>
      </c>
      <c r="I108" s="998">
        <f>'General(R)'!C95</f>
        <v>0</v>
      </c>
      <c r="J108" s="998">
        <f>'General(R)'!D95</f>
        <v>0</v>
      </c>
      <c r="K108" s="998">
        <f>'General(R)'!E95</f>
        <v>0</v>
      </c>
      <c r="L108" s="998">
        <f>'General(R)'!F95</f>
        <v>0</v>
      </c>
      <c r="M108" s="998">
        <f>'General(R)'!G95</f>
        <v>0</v>
      </c>
    </row>
    <row r="109" spans="1:13" s="695" customFormat="1" ht="15" customHeight="1">
      <c r="A109" s="1005" t="s">
        <v>50</v>
      </c>
      <c r="B109" s="997"/>
      <c r="C109" s="997"/>
      <c r="D109" s="997"/>
      <c r="E109" s="997"/>
      <c r="F109" s="997"/>
      <c r="G109" s="997"/>
      <c r="H109" s="1007"/>
      <c r="I109" s="998">
        <f>'General(R)'!C96</f>
        <v>0</v>
      </c>
      <c r="J109" s="998">
        <f>'General(R)'!D96</f>
        <v>0</v>
      </c>
      <c r="K109" s="998">
        <f>'General(R)'!E96</f>
        <v>0</v>
      </c>
      <c r="L109" s="998">
        <f>'General(R)'!F96</f>
        <v>0</v>
      </c>
      <c r="M109" s="998">
        <f>'General(R)'!G96</f>
        <v>0</v>
      </c>
    </row>
    <row r="110" spans="1:13" s="695" customFormat="1">
      <c r="A110" s="1008" t="str">
        <f>'General(R)'!B107</f>
        <v>Puts</v>
      </c>
      <c r="B110" s="1009"/>
      <c r="C110" s="1010"/>
      <c r="D110" s="1010"/>
      <c r="E110" s="1010"/>
      <c r="F110" s="1010"/>
      <c r="G110" s="1011"/>
      <c r="H110" s="1012"/>
      <c r="I110" s="998">
        <f>'General(R)'!C97</f>
        <v>0</v>
      </c>
      <c r="J110" s="998">
        <f>'General(R)'!D97</f>
        <v>0</v>
      </c>
      <c r="K110" s="998">
        <f>'General(R)'!E97</f>
        <v>0</v>
      </c>
      <c r="L110" s="998">
        <f>'General(R)'!F97</f>
        <v>0</v>
      </c>
      <c r="M110" s="998">
        <f>'General(R)'!G97</f>
        <v>0</v>
      </c>
    </row>
    <row r="111" spans="1:13" s="695" customFormat="1">
      <c r="A111" s="1005">
        <f>'General(R)'!B108</f>
        <v>0</v>
      </c>
      <c r="B111" s="1011">
        <f>'General(R)'!C108</f>
        <v>0</v>
      </c>
      <c r="C111" s="1011">
        <f>'General(R)'!D108</f>
        <v>0</v>
      </c>
      <c r="D111" s="1011">
        <f>'General(R)'!E108</f>
        <v>0</v>
      </c>
      <c r="E111" s="1011">
        <f>'General(R)'!F108</f>
        <v>0</v>
      </c>
      <c r="F111" s="1011">
        <f>'General(R)'!G108</f>
        <v>0</v>
      </c>
      <c r="G111" s="1011">
        <f>'General(R)'!H108</f>
        <v>0</v>
      </c>
      <c r="H111" s="1013">
        <f>'General(R)'!I108</f>
        <v>0</v>
      </c>
      <c r="I111" s="998">
        <f>'General(R)'!C98</f>
        <v>0</v>
      </c>
      <c r="J111" s="998">
        <f>'General(R)'!D98</f>
        <v>0</v>
      </c>
      <c r="K111" s="998">
        <f>'General(R)'!E98</f>
        <v>0</v>
      </c>
      <c r="L111" s="998">
        <f>'General(R)'!F98</f>
        <v>0</v>
      </c>
      <c r="M111" s="998">
        <f>'General(R)'!G98</f>
        <v>0</v>
      </c>
    </row>
    <row r="112" spans="1:13" s="695" customFormat="1">
      <c r="A112" s="1005" t="s">
        <v>50</v>
      </c>
      <c r="B112" s="1011"/>
      <c r="C112" s="1011"/>
      <c r="D112" s="1011"/>
      <c r="E112" s="1011"/>
      <c r="F112" s="1011"/>
      <c r="G112" s="1011"/>
      <c r="H112" s="1013"/>
      <c r="I112" s="998">
        <f>'General(R)'!C99</f>
        <v>0</v>
      </c>
      <c r="J112" s="998">
        <f>'General(R)'!D99</f>
        <v>0</v>
      </c>
      <c r="K112" s="998">
        <f>'General(R)'!E99</f>
        <v>0</v>
      </c>
      <c r="L112" s="998">
        <f>'General(R)'!F99</f>
        <v>0</v>
      </c>
      <c r="M112" s="998">
        <f>'General(R)'!G99</f>
        <v>0</v>
      </c>
    </row>
    <row r="113" spans="1:13" s="695" customFormat="1">
      <c r="A113" s="1005" t="s">
        <v>32</v>
      </c>
      <c r="B113" s="1011"/>
      <c r="C113" s="1011"/>
      <c r="D113" s="1011"/>
      <c r="E113" s="1011"/>
      <c r="F113" s="1011"/>
      <c r="G113" s="1011"/>
      <c r="H113" s="1013"/>
      <c r="I113" s="998">
        <f>'General(R)'!C100</f>
        <v>0</v>
      </c>
      <c r="J113" s="998">
        <f>'General(R)'!D100</f>
        <v>0</v>
      </c>
      <c r="K113" s="998">
        <f>'General(R)'!E100</f>
        <v>0</v>
      </c>
      <c r="L113" s="998">
        <f>'General(R)'!F100</f>
        <v>0</v>
      </c>
      <c r="M113" s="998">
        <f>'General(R)'!G100</f>
        <v>0</v>
      </c>
    </row>
    <row r="114" spans="1:13" s="695" customFormat="1">
      <c r="A114" s="999"/>
      <c r="B114" s="1000"/>
      <c r="C114" s="1000"/>
      <c r="D114" s="1000"/>
      <c r="E114" s="1000"/>
      <c r="F114" s="1000"/>
      <c r="G114" s="1000"/>
      <c r="H114" s="1001"/>
      <c r="I114" s="1002"/>
      <c r="J114" s="1002"/>
      <c r="K114" s="1002"/>
      <c r="L114" s="1002"/>
      <c r="M114" s="1002"/>
    </row>
    <row r="115" spans="1:13" ht="15">
      <c r="A115" s="771" t="s">
        <v>210</v>
      </c>
      <c r="G115" s="695"/>
      <c r="H115" s="695"/>
      <c r="I115" s="695"/>
      <c r="J115" s="695"/>
    </row>
    <row r="116" spans="1:13" ht="14.25">
      <c r="A116" s="771" t="s">
        <v>204</v>
      </c>
      <c r="G116" s="695"/>
      <c r="H116" s="695"/>
      <c r="I116" s="695"/>
      <c r="J116" s="695"/>
    </row>
    <row r="117" spans="1:13">
      <c r="G117" s="695"/>
      <c r="H117" s="695"/>
      <c r="I117" s="695"/>
      <c r="J117" s="695"/>
    </row>
    <row r="118" spans="1:13">
      <c r="G118" s="695"/>
      <c r="H118" s="695"/>
      <c r="I118" s="695"/>
      <c r="J118" s="695"/>
    </row>
    <row r="119" spans="1:13">
      <c r="G119" s="695"/>
      <c r="H119" s="695"/>
      <c r="I119" s="695"/>
      <c r="J119" s="695"/>
    </row>
    <row r="120" spans="1:13">
      <c r="G120" s="695"/>
      <c r="H120" s="695"/>
      <c r="I120" s="695"/>
      <c r="J120" s="695"/>
    </row>
    <row r="121" spans="1:13">
      <c r="G121" s="1000"/>
      <c r="H121" s="695"/>
    </row>
  </sheetData>
  <mergeCells count="2">
    <mergeCell ref="A7:G7"/>
    <mergeCell ref="A3:N3"/>
  </mergeCells>
  <phoneticPr fontId="69" type="noConversion"/>
  <pageMargins left="0" right="0" top="0.27" bottom="0.3" header="0.25" footer="0.25"/>
  <pageSetup paperSize="9" scale="63" orientation="portrait" horizontalDpi="300" verticalDpi="300" r:id="rId1"/>
  <headerFooter alignWithMargins="0">
    <oddHeader>&amp;L&amp;"Arial,Bold"&amp;14Appendix I&amp;R&amp;"Arial,Bold"&amp;11DAILY 
MDEX15/01/2004</oddHeader>
    <oddFooter>&amp;L&amp;F</oddFooter>
  </headerFooter>
  <rowBreaks count="1" manualBreakCount="1">
    <brk id="90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topLeftCell="A4" workbookViewId="0">
      <pane ySplit="840" topLeftCell="A85" activePane="bottomLeft"/>
      <selection activeCell="H5" sqref="H5"/>
      <selection pane="bottomLeft" activeCell="I101" sqref="I101"/>
    </sheetView>
  </sheetViews>
  <sheetFormatPr defaultRowHeight="12.75"/>
  <cols>
    <col min="3" max="3" width="7.28515625" style="138" customWidth="1"/>
    <col min="4" max="4" width="10.5703125" customWidth="1"/>
    <col min="5" max="5" width="9.140625" style="138"/>
    <col min="6" max="6" width="12.42578125" customWidth="1"/>
    <col min="8" max="8" width="10.85546875" bestFit="1" customWidth="1"/>
    <col min="12" max="12" width="8.140625" customWidth="1"/>
    <col min="17" max="17" width="13.85546875" bestFit="1" customWidth="1"/>
  </cols>
  <sheetData>
    <row r="1" spans="1:17" ht="13.5" thickBot="1">
      <c r="K1" s="72" t="s">
        <v>109</v>
      </c>
      <c r="M1" s="1"/>
      <c r="N1" s="1"/>
      <c r="O1" s="1"/>
      <c r="P1" s="1"/>
      <c r="Q1" s="1"/>
    </row>
    <row r="2" spans="1:17">
      <c r="A2" s="63" t="s">
        <v>54</v>
      </c>
      <c r="B2" s="387" t="s">
        <v>55</v>
      </c>
      <c r="C2" s="388"/>
      <c r="D2" s="389" t="s">
        <v>56</v>
      </c>
      <c r="E2" s="390"/>
      <c r="F2" s="69" t="s">
        <v>94</v>
      </c>
      <c r="G2" s="70"/>
      <c r="H2" s="94" t="s">
        <v>68</v>
      </c>
      <c r="I2" s="101"/>
      <c r="K2" s="340"/>
      <c r="L2" s="341"/>
      <c r="M2" s="342"/>
      <c r="N2" s="343" t="s">
        <v>43</v>
      </c>
      <c r="O2" s="343"/>
      <c r="P2" s="343"/>
      <c r="Q2" s="344"/>
    </row>
    <row r="3" spans="1:17">
      <c r="A3" s="64"/>
      <c r="B3" s="65"/>
      <c r="C3" s="150"/>
      <c r="D3" s="66" t="s">
        <v>59</v>
      </c>
      <c r="E3" s="153"/>
      <c r="F3" s="140" t="s">
        <v>95</v>
      </c>
      <c r="G3" s="141"/>
      <c r="H3" s="143"/>
      <c r="I3" s="144"/>
      <c r="K3" s="345"/>
      <c r="L3" s="346" t="s">
        <v>55</v>
      </c>
      <c r="M3" s="347"/>
      <c r="N3" s="346" t="s">
        <v>110</v>
      </c>
      <c r="O3" s="347"/>
      <c r="P3" s="348" t="s">
        <v>111</v>
      </c>
      <c r="Q3" s="349"/>
    </row>
    <row r="4" spans="1:17" ht="13.5" thickBot="1">
      <c r="A4" s="67" t="s">
        <v>61</v>
      </c>
      <c r="B4" s="68" t="s">
        <v>21</v>
      </c>
      <c r="C4" s="151" t="s">
        <v>3</v>
      </c>
      <c r="D4" s="109" t="s">
        <v>62</v>
      </c>
      <c r="E4" s="151" t="s">
        <v>63</v>
      </c>
      <c r="F4" s="352" t="s">
        <v>9</v>
      </c>
      <c r="G4" s="391" t="s">
        <v>3</v>
      </c>
      <c r="H4" s="71" t="s">
        <v>72</v>
      </c>
      <c r="I4" s="78" t="s">
        <v>73</v>
      </c>
      <c r="K4" s="350" t="s">
        <v>61</v>
      </c>
      <c r="L4" s="351" t="s">
        <v>112</v>
      </c>
      <c r="M4" s="352" t="s">
        <v>83</v>
      </c>
      <c r="N4" s="351" t="s">
        <v>112</v>
      </c>
      <c r="O4" s="352" t="s">
        <v>3</v>
      </c>
      <c r="P4" s="353" t="s">
        <v>113</v>
      </c>
      <c r="Q4" s="354" t="s">
        <v>114</v>
      </c>
    </row>
    <row r="5" spans="1:17">
      <c r="A5" s="379">
        <v>35034</v>
      </c>
      <c r="B5" s="380">
        <v>672</v>
      </c>
      <c r="C5" s="381" t="s">
        <v>64</v>
      </c>
      <c r="D5" s="382">
        <v>67</v>
      </c>
      <c r="E5" s="381" t="s">
        <v>64</v>
      </c>
      <c r="F5" s="383">
        <v>69</v>
      </c>
      <c r="G5" s="384"/>
      <c r="H5" s="385">
        <v>66728</v>
      </c>
      <c r="I5" s="386">
        <v>5.597624985634317E-3</v>
      </c>
      <c r="K5" s="31">
        <v>35034</v>
      </c>
      <c r="L5" s="355">
        <v>2650370</v>
      </c>
      <c r="M5" s="356" t="s">
        <v>64</v>
      </c>
      <c r="N5" s="32">
        <f>L5/21</f>
        <v>126208.09523809524</v>
      </c>
      <c r="O5" s="357" t="s">
        <v>64</v>
      </c>
      <c r="P5" s="358"/>
      <c r="Q5" s="359">
        <v>11920770</v>
      </c>
    </row>
    <row r="6" spans="1:17">
      <c r="A6" s="33">
        <v>35065</v>
      </c>
      <c r="B6" s="108">
        <v>2354</v>
      </c>
      <c r="C6" s="152" t="s">
        <v>31</v>
      </c>
      <c r="D6" s="20">
        <v>107</v>
      </c>
      <c r="E6" s="86">
        <f t="shared" ref="E6:E26" si="0">(D6-D5)/D5</f>
        <v>0.59701492537313428</v>
      </c>
      <c r="F6" s="132">
        <v>316</v>
      </c>
      <c r="G6" s="142">
        <f t="shared" ref="G6:G37" si="1">(F6-F5)/F5</f>
        <v>3.5797101449275361</v>
      </c>
      <c r="H6" s="321">
        <v>249122</v>
      </c>
      <c r="I6" s="111">
        <v>2.472846748657475E-2</v>
      </c>
      <c r="K6" s="33">
        <v>35065</v>
      </c>
      <c r="L6" s="22">
        <v>1624820</v>
      </c>
      <c r="M6" s="360">
        <f t="shared" ref="M6:M43" si="2">SUM(L6-L5)/L5</f>
        <v>-0.38694597358104715</v>
      </c>
      <c r="N6" s="361">
        <f>L6/22</f>
        <v>73855.454545454544</v>
      </c>
      <c r="O6" s="362">
        <f t="shared" ref="O6:O44" si="3">SUM(N6-N5)/N5</f>
        <v>-0.4148120656909996</v>
      </c>
      <c r="P6" s="363"/>
      <c r="Q6" s="364">
        <v>10074300</v>
      </c>
    </row>
    <row r="7" spans="1:17">
      <c r="A7" s="33">
        <v>35096</v>
      </c>
      <c r="B7" s="108">
        <v>2118</v>
      </c>
      <c r="C7" s="145">
        <f t="shared" ref="C7:C38" si="4">(B7-B6)/B6</f>
        <v>-0.10025488530161428</v>
      </c>
      <c r="D7" s="20">
        <v>141</v>
      </c>
      <c r="E7" s="86">
        <f t="shared" si="0"/>
        <v>0.31775700934579437</v>
      </c>
      <c r="F7" s="22">
        <v>527</v>
      </c>
      <c r="G7" s="142">
        <f t="shared" si="1"/>
        <v>0.66772151898734178</v>
      </c>
      <c r="H7" s="321">
        <v>230304</v>
      </c>
      <c r="I7" s="111">
        <v>4.3900374757437008E-2</v>
      </c>
      <c r="K7" s="33">
        <v>35096</v>
      </c>
      <c r="L7" s="22">
        <v>2748200</v>
      </c>
      <c r="M7" s="360">
        <f t="shared" si="2"/>
        <v>0.69138735367609949</v>
      </c>
      <c r="N7" s="361">
        <f>L7/15</f>
        <v>183213.33333333334</v>
      </c>
      <c r="O7" s="362">
        <f t="shared" si="3"/>
        <v>1.4807014520582795</v>
      </c>
      <c r="P7" s="363"/>
      <c r="Q7" s="364">
        <v>5246060</v>
      </c>
    </row>
    <row r="8" spans="1:17">
      <c r="A8" s="33">
        <v>35125</v>
      </c>
      <c r="B8" s="108">
        <v>5539</v>
      </c>
      <c r="C8" s="145">
        <f t="shared" si="4"/>
        <v>1.6152030217186024</v>
      </c>
      <c r="D8" s="20">
        <v>254</v>
      </c>
      <c r="E8" s="86">
        <f t="shared" si="0"/>
        <v>0.8014184397163121</v>
      </c>
      <c r="F8" s="22">
        <v>689</v>
      </c>
      <c r="G8" s="142">
        <f t="shared" si="1"/>
        <v>0.30740037950664134</v>
      </c>
      <c r="H8" s="321">
        <v>628756</v>
      </c>
      <c r="I8" s="111">
        <v>5.9139074965528012E-2</v>
      </c>
      <c r="K8" s="33">
        <v>35125</v>
      </c>
      <c r="L8" s="22">
        <v>1477230</v>
      </c>
      <c r="M8" s="360">
        <f t="shared" si="2"/>
        <v>-0.46247361909613566</v>
      </c>
      <c r="N8" s="361">
        <f>L8/21</f>
        <v>70344.28571428571</v>
      </c>
      <c r="O8" s="362">
        <f t="shared" si="3"/>
        <v>-0.61605258506866833</v>
      </c>
      <c r="P8" s="363"/>
      <c r="Q8" s="364">
        <v>10631820</v>
      </c>
    </row>
    <row r="9" spans="1:17">
      <c r="A9" s="33">
        <v>35156</v>
      </c>
      <c r="B9" s="108">
        <v>6468</v>
      </c>
      <c r="C9" s="145">
        <f t="shared" si="4"/>
        <v>0.1677198050189565</v>
      </c>
      <c r="D9" s="20">
        <v>308</v>
      </c>
      <c r="E9" s="86">
        <f t="shared" si="0"/>
        <v>0.2125984251968504</v>
      </c>
      <c r="F9" s="22">
        <v>987</v>
      </c>
      <c r="G9" s="142">
        <f t="shared" si="1"/>
        <v>0.43251088534107401</v>
      </c>
      <c r="H9" s="321">
        <v>745081</v>
      </c>
      <c r="I9" s="111">
        <v>7.62643146374717E-2</v>
      </c>
      <c r="K9" s="33">
        <v>35156</v>
      </c>
      <c r="L9" s="22">
        <v>1578570</v>
      </c>
      <c r="M9" s="360">
        <f t="shared" si="2"/>
        <v>6.8601368778050814E-2</v>
      </c>
      <c r="N9" s="361">
        <f>L9/21</f>
        <v>75170</v>
      </c>
      <c r="O9" s="362">
        <f t="shared" si="3"/>
        <v>6.860136877805087E-2</v>
      </c>
      <c r="P9" s="363"/>
      <c r="Q9" s="364">
        <v>9769720</v>
      </c>
    </row>
    <row r="10" spans="1:17">
      <c r="A10" s="33">
        <v>35186</v>
      </c>
      <c r="B10" s="108">
        <v>6550</v>
      </c>
      <c r="C10" s="145">
        <f t="shared" si="4"/>
        <v>1.2677798392084107E-2</v>
      </c>
      <c r="D10" s="20">
        <v>328</v>
      </c>
      <c r="E10" s="86">
        <f t="shared" si="0"/>
        <v>6.4935064935064929E-2</v>
      </c>
      <c r="F10" s="22">
        <v>1138</v>
      </c>
      <c r="G10" s="142">
        <f t="shared" si="1"/>
        <v>0.15298885511651469</v>
      </c>
      <c r="H10" s="321">
        <v>751225</v>
      </c>
      <c r="I10" s="111">
        <v>9.3457100985546479E-2</v>
      </c>
      <c r="K10" s="33">
        <v>35186</v>
      </c>
      <c r="L10" s="22">
        <v>1143880</v>
      </c>
      <c r="M10" s="360">
        <f t="shared" si="2"/>
        <v>-0.27536947997238004</v>
      </c>
      <c r="N10" s="361">
        <f>L10/20</f>
        <v>57194</v>
      </c>
      <c r="O10" s="362">
        <f t="shared" si="3"/>
        <v>-0.23913795397099907</v>
      </c>
      <c r="P10" s="363"/>
      <c r="Q10" s="364">
        <v>8038180</v>
      </c>
    </row>
    <row r="11" spans="1:17">
      <c r="A11" s="33">
        <v>35217</v>
      </c>
      <c r="B11" s="108">
        <v>5733</v>
      </c>
      <c r="C11" s="145">
        <f t="shared" si="4"/>
        <v>-0.12473282442748092</v>
      </c>
      <c r="D11" s="20">
        <v>287</v>
      </c>
      <c r="E11" s="86">
        <f t="shared" si="0"/>
        <v>-0.125</v>
      </c>
      <c r="F11" s="22">
        <v>1333</v>
      </c>
      <c r="G11" s="142">
        <f t="shared" si="1"/>
        <v>0.17135325131810195</v>
      </c>
      <c r="H11" s="321">
        <v>648292</v>
      </c>
      <c r="I11" s="111">
        <v>0.11301117574561625</v>
      </c>
      <c r="K11" s="33">
        <v>35217</v>
      </c>
      <c r="L11" s="22">
        <v>743070</v>
      </c>
      <c r="M11" s="360">
        <f t="shared" si="2"/>
        <v>-0.35039514634402208</v>
      </c>
      <c r="N11" s="361">
        <f>L11/20</f>
        <v>37153.5</v>
      </c>
      <c r="O11" s="362">
        <f t="shared" si="3"/>
        <v>-0.35039514634402208</v>
      </c>
      <c r="P11" s="363"/>
      <c r="Q11" s="364">
        <v>5736530</v>
      </c>
    </row>
    <row r="12" spans="1:17">
      <c r="A12" s="33">
        <v>35247</v>
      </c>
      <c r="B12" s="108">
        <v>7147</v>
      </c>
      <c r="C12" s="145">
        <f t="shared" si="4"/>
        <v>0.24664224664224665</v>
      </c>
      <c r="D12" s="20">
        <v>325</v>
      </c>
      <c r="E12" s="86">
        <f t="shared" si="0"/>
        <v>0.13240418118466898</v>
      </c>
      <c r="F12" s="22">
        <v>1507</v>
      </c>
      <c r="G12" s="142">
        <f t="shared" si="1"/>
        <v>0.13053263315828958</v>
      </c>
      <c r="H12" s="321">
        <v>784491</v>
      </c>
      <c r="I12" s="111">
        <v>0.10982700473332521</v>
      </c>
      <c r="K12" s="33">
        <v>35247</v>
      </c>
      <c r="L12" s="22">
        <v>979440</v>
      </c>
      <c r="M12" s="360">
        <f t="shared" si="2"/>
        <v>0.31809923694941256</v>
      </c>
      <c r="N12" s="361">
        <f>L12/22</f>
        <v>44520</v>
      </c>
      <c r="O12" s="362">
        <f t="shared" si="3"/>
        <v>0.19827203359037507</v>
      </c>
      <c r="P12" s="363"/>
      <c r="Q12" s="364">
        <v>7142970</v>
      </c>
    </row>
    <row r="13" spans="1:17">
      <c r="A13" s="33">
        <v>35278</v>
      </c>
      <c r="B13" s="26">
        <v>7858</v>
      </c>
      <c r="C13" s="145">
        <f t="shared" si="4"/>
        <v>9.9482300265845813E-2</v>
      </c>
      <c r="D13" s="20">
        <v>357</v>
      </c>
      <c r="E13" s="86">
        <f t="shared" si="0"/>
        <v>9.8461538461538461E-2</v>
      </c>
      <c r="F13" s="22">
        <v>1388</v>
      </c>
      <c r="G13" s="142">
        <f t="shared" si="1"/>
        <v>-7.8964830789648305E-2</v>
      </c>
      <c r="H13" s="321">
        <v>865431</v>
      </c>
      <c r="I13" s="111">
        <v>0.16518695959229637</v>
      </c>
      <c r="K13" s="33">
        <v>35278</v>
      </c>
      <c r="L13" s="22">
        <v>734765</v>
      </c>
      <c r="M13" s="360">
        <f t="shared" si="2"/>
        <v>-0.24981111655639957</v>
      </c>
      <c r="N13" s="361">
        <f>L13/22</f>
        <v>33398.409090909088</v>
      </c>
      <c r="O13" s="362">
        <f t="shared" si="3"/>
        <v>-0.24981111655639965</v>
      </c>
      <c r="P13" s="363"/>
      <c r="Q13" s="364">
        <v>5239100</v>
      </c>
    </row>
    <row r="14" spans="1:17">
      <c r="A14" s="33">
        <v>35309</v>
      </c>
      <c r="B14" s="26">
        <v>6288</v>
      </c>
      <c r="C14" s="145">
        <f t="shared" si="4"/>
        <v>-0.19979638584881648</v>
      </c>
      <c r="D14" s="20">
        <v>299</v>
      </c>
      <c r="E14" s="86">
        <f t="shared" si="0"/>
        <v>-0.16246498599439776</v>
      </c>
      <c r="F14" s="22">
        <v>1533</v>
      </c>
      <c r="G14" s="142">
        <f t="shared" si="1"/>
        <v>0.10446685878962536</v>
      </c>
      <c r="H14" s="108">
        <v>705505</v>
      </c>
      <c r="I14" s="111">
        <v>0.10211260878425633</v>
      </c>
      <c r="K14" s="33">
        <v>35309</v>
      </c>
      <c r="L14" s="22">
        <v>991481</v>
      </c>
      <c r="M14" s="360">
        <f t="shared" si="2"/>
        <v>0.34938517757378207</v>
      </c>
      <c r="N14" s="361">
        <f>L14/21</f>
        <v>47213.380952380954</v>
      </c>
      <c r="O14" s="362">
        <f t="shared" si="3"/>
        <v>0.41364161460110521</v>
      </c>
      <c r="P14" s="363"/>
      <c r="Q14" s="364">
        <v>6909088</v>
      </c>
    </row>
    <row r="15" spans="1:17">
      <c r="A15" s="33">
        <v>35339</v>
      </c>
      <c r="B15" s="26">
        <v>9486</v>
      </c>
      <c r="C15" s="145">
        <f t="shared" si="4"/>
        <v>0.50858778625954193</v>
      </c>
      <c r="D15" s="20">
        <v>412.43478260869563</v>
      </c>
      <c r="E15" s="86">
        <f t="shared" si="0"/>
        <v>0.37938054384179137</v>
      </c>
      <c r="F15" s="22">
        <v>1823</v>
      </c>
      <c r="G15" s="142">
        <f t="shared" si="1"/>
        <v>0.18917155903457272</v>
      </c>
      <c r="H15" s="108">
        <v>1104204</v>
      </c>
      <c r="I15" s="111">
        <v>0.14740664302010315</v>
      </c>
      <c r="K15" s="33">
        <v>35339</v>
      </c>
      <c r="L15" s="22">
        <v>1028580</v>
      </c>
      <c r="M15" s="360">
        <f t="shared" si="2"/>
        <v>3.7417761913743179E-2</v>
      </c>
      <c r="N15" s="361">
        <f>L15/23</f>
        <v>44720.869565217392</v>
      </c>
      <c r="O15" s="362">
        <f t="shared" si="3"/>
        <v>-5.2792478252669292E-2</v>
      </c>
      <c r="P15" s="363"/>
      <c r="Q15" s="364">
        <v>7490870</v>
      </c>
    </row>
    <row r="16" spans="1:17">
      <c r="A16" s="33">
        <v>35370</v>
      </c>
      <c r="B16" s="26">
        <v>7075</v>
      </c>
      <c r="C16" s="145">
        <f t="shared" si="4"/>
        <v>-0.25416403120387943</v>
      </c>
      <c r="D16" s="20">
        <v>353.75</v>
      </c>
      <c r="E16" s="86">
        <f t="shared" si="0"/>
        <v>-0.14228863588446125</v>
      </c>
      <c r="F16" s="22">
        <v>1169</v>
      </c>
      <c r="G16" s="142">
        <f t="shared" si="1"/>
        <v>-0.35874931431705981</v>
      </c>
      <c r="H16" s="108">
        <v>861399</v>
      </c>
      <c r="I16" s="111">
        <v>0.10813580386397018</v>
      </c>
      <c r="K16" s="33">
        <v>35370</v>
      </c>
      <c r="L16" s="22">
        <v>1098500</v>
      </c>
      <c r="M16" s="360">
        <f t="shared" si="2"/>
        <v>6.7977211301016929E-2</v>
      </c>
      <c r="N16" s="361">
        <f>L16/20</f>
        <v>54925</v>
      </c>
      <c r="O16" s="362">
        <f t="shared" si="3"/>
        <v>0.22817379299616947</v>
      </c>
      <c r="P16" s="363"/>
      <c r="Q16" s="364">
        <v>7965900</v>
      </c>
    </row>
    <row r="17" spans="1:17">
      <c r="A17" s="33">
        <v>35400</v>
      </c>
      <c r="B17" s="26">
        <v>10665</v>
      </c>
      <c r="C17" s="145">
        <f t="shared" si="4"/>
        <v>0.50742049469964667</v>
      </c>
      <c r="D17" s="20">
        <v>507.85714285714283</v>
      </c>
      <c r="E17" s="86">
        <f t="shared" si="0"/>
        <v>0.43563856638061577</v>
      </c>
      <c r="F17" s="22">
        <v>1312</v>
      </c>
      <c r="G17" s="142">
        <f t="shared" si="1"/>
        <v>0.12232677502138579</v>
      </c>
      <c r="H17" s="19">
        <v>1291855</v>
      </c>
      <c r="I17" s="111">
        <v>0.20645328422219425</v>
      </c>
      <c r="K17" s="33">
        <v>35400</v>
      </c>
      <c r="L17" s="22">
        <v>773916</v>
      </c>
      <c r="M17" s="360">
        <f t="shared" si="2"/>
        <v>-0.29547928994082839</v>
      </c>
      <c r="N17" s="361">
        <f>L17/21</f>
        <v>36853.142857142855</v>
      </c>
      <c r="O17" s="362">
        <f t="shared" si="3"/>
        <v>-0.32902789518174136</v>
      </c>
      <c r="P17" s="363"/>
      <c r="Q17" s="364">
        <v>6257372</v>
      </c>
    </row>
    <row r="18" spans="1:17">
      <c r="A18" s="33">
        <v>35431</v>
      </c>
      <c r="B18" s="26">
        <v>10901</v>
      </c>
      <c r="C18" s="145">
        <f t="shared" si="4"/>
        <v>2.2128457571495546E-2</v>
      </c>
      <c r="D18" s="20">
        <v>495.5</v>
      </c>
      <c r="E18" s="86">
        <f t="shared" si="0"/>
        <v>-2.4331926863572387E-2</v>
      </c>
      <c r="F18" s="22">
        <v>2031</v>
      </c>
      <c r="G18" s="142">
        <f t="shared" si="1"/>
        <v>0.54801829268292679</v>
      </c>
      <c r="H18" s="116">
        <v>1341167.1510000001</v>
      </c>
      <c r="I18" s="111">
        <v>0.11995666991341121</v>
      </c>
      <c r="K18" s="365">
        <v>35431</v>
      </c>
      <c r="L18" s="22">
        <v>1718400</v>
      </c>
      <c r="M18" s="360">
        <f t="shared" si="2"/>
        <v>1.2203960119702912</v>
      </c>
      <c r="N18" s="366">
        <f>L18/22</f>
        <v>78109.090909090912</v>
      </c>
      <c r="O18" s="362">
        <f t="shared" si="3"/>
        <v>1.1194689205170965</v>
      </c>
      <c r="P18" s="367"/>
      <c r="Q18" s="368">
        <v>11180430</v>
      </c>
    </row>
    <row r="19" spans="1:17">
      <c r="A19" s="33">
        <v>35462</v>
      </c>
      <c r="B19" s="26">
        <v>8655</v>
      </c>
      <c r="C19" s="145">
        <f t="shared" si="4"/>
        <v>-0.20603614347307586</v>
      </c>
      <c r="D19" s="110">
        <v>540.9375</v>
      </c>
      <c r="E19" s="86">
        <f t="shared" si="0"/>
        <v>9.1700302724520691E-2</v>
      </c>
      <c r="F19" s="22">
        <v>1850</v>
      </c>
      <c r="G19" s="142">
        <f t="shared" si="1"/>
        <v>-8.9118660758247176E-2</v>
      </c>
      <c r="H19" s="116">
        <f>1092931310/1000</f>
        <v>1092931.31</v>
      </c>
      <c r="I19" s="111">
        <v>8.588351043762403E-2</v>
      </c>
      <c r="K19" s="365">
        <v>35462</v>
      </c>
      <c r="L19" s="22">
        <v>2250154</v>
      </c>
      <c r="M19" s="360">
        <f t="shared" si="2"/>
        <v>0.30944716014897578</v>
      </c>
      <c r="N19" s="366">
        <f>L19/16</f>
        <v>140634.625</v>
      </c>
      <c r="O19" s="362">
        <f t="shared" si="3"/>
        <v>0.80048984520484168</v>
      </c>
      <c r="P19" s="367"/>
      <c r="Q19" s="369">
        <f>12725741</f>
        <v>12725741</v>
      </c>
    </row>
    <row r="20" spans="1:17">
      <c r="A20" s="33">
        <v>35490</v>
      </c>
      <c r="B20" s="26">
        <v>11199</v>
      </c>
      <c r="C20" s="145">
        <f t="shared" si="4"/>
        <v>0.29393414211438473</v>
      </c>
      <c r="D20" s="20">
        <v>533.28571428571433</v>
      </c>
      <c r="E20" s="86">
        <f t="shared" si="0"/>
        <v>-1.4145415531897245E-2</v>
      </c>
      <c r="F20" s="22">
        <v>2140</v>
      </c>
      <c r="G20" s="142">
        <f t="shared" si="1"/>
        <v>0.15675675675675677</v>
      </c>
      <c r="H20" s="117">
        <f>1383481280/1000</f>
        <v>1383481.28</v>
      </c>
      <c r="I20" s="111">
        <v>9.4087708204599982E-2</v>
      </c>
      <c r="K20" s="365">
        <v>35490</v>
      </c>
      <c r="L20" s="22">
        <v>2510926</v>
      </c>
      <c r="M20" s="360">
        <f t="shared" si="2"/>
        <v>0.11589073458972142</v>
      </c>
      <c r="N20" s="366">
        <f>L20/21</f>
        <v>119567.90476190476</v>
      </c>
      <c r="O20" s="362">
        <f t="shared" si="3"/>
        <v>-0.14979753555068845</v>
      </c>
      <c r="P20" s="367"/>
      <c r="Q20" s="368">
        <v>14704166</v>
      </c>
    </row>
    <row r="21" spans="1:17">
      <c r="A21" s="33">
        <v>35521</v>
      </c>
      <c r="B21" s="26">
        <v>18366</v>
      </c>
      <c r="C21" s="145">
        <f t="shared" si="4"/>
        <v>0.63996785427270297</v>
      </c>
      <c r="D21" s="121">
        <v>874.57142857142856</v>
      </c>
      <c r="E21" s="86">
        <f t="shared" si="0"/>
        <v>0.63996785427270275</v>
      </c>
      <c r="F21" s="22">
        <v>2112</v>
      </c>
      <c r="G21" s="142">
        <f t="shared" si="1"/>
        <v>-1.3084112149532711E-2</v>
      </c>
      <c r="H21" s="117">
        <f>2034656180/1000</f>
        <v>2034656.18</v>
      </c>
      <c r="I21" s="111">
        <v>0.15534966376193873</v>
      </c>
      <c r="K21" s="365">
        <v>35521</v>
      </c>
      <c r="L21" s="22">
        <v>2098671.9</v>
      </c>
      <c r="M21" s="360">
        <f t="shared" si="2"/>
        <v>-0.16418408985370342</v>
      </c>
      <c r="N21" s="366">
        <f>L21/21</f>
        <v>99936.757142857139</v>
      </c>
      <c r="O21" s="362">
        <f t="shared" si="3"/>
        <v>-0.16418408985370342</v>
      </c>
      <c r="P21" s="367"/>
      <c r="Q21" s="369">
        <f>13097268</f>
        <v>13097268</v>
      </c>
    </row>
    <row r="22" spans="1:17">
      <c r="A22" s="33">
        <v>35551</v>
      </c>
      <c r="B22" s="26">
        <v>24293</v>
      </c>
      <c r="C22" s="145">
        <f t="shared" si="4"/>
        <v>0.32271588805401286</v>
      </c>
      <c r="D22" s="121">
        <v>1278.578947368421</v>
      </c>
      <c r="E22" s="86">
        <f t="shared" si="0"/>
        <v>0.46194913942811949</v>
      </c>
      <c r="F22" s="22">
        <v>2589</v>
      </c>
      <c r="G22" s="142">
        <f t="shared" si="1"/>
        <v>0.22585227272727273</v>
      </c>
      <c r="H22" s="117">
        <f>2594212520/1000</f>
        <v>2594212.52</v>
      </c>
      <c r="I22" s="111">
        <v>0.25072081354461873</v>
      </c>
      <c r="K22" s="33">
        <v>35551</v>
      </c>
      <c r="L22" s="22">
        <f>1744227</f>
        <v>1744227</v>
      </c>
      <c r="M22" s="370">
        <f t="shared" si="2"/>
        <v>-0.16889009663683013</v>
      </c>
      <c r="N22" s="361">
        <f>L22/19</f>
        <v>91801.421052631573</v>
      </c>
      <c r="O22" s="362">
        <f t="shared" si="3"/>
        <v>-8.1404843651233377E-2</v>
      </c>
      <c r="P22" s="371"/>
      <c r="Q22" s="369">
        <f>10347017</f>
        <v>10347017</v>
      </c>
    </row>
    <row r="23" spans="1:17">
      <c r="A23" s="33">
        <v>35582</v>
      </c>
      <c r="B23" s="22">
        <v>19991</v>
      </c>
      <c r="C23" s="145">
        <f t="shared" si="4"/>
        <v>-0.17708805005557157</v>
      </c>
      <c r="D23" s="121">
        <v>951.95238095238096</v>
      </c>
      <c r="E23" s="86">
        <f t="shared" si="0"/>
        <v>-0.2554606167169457</v>
      </c>
      <c r="F23" s="22">
        <v>2604</v>
      </c>
      <c r="G23" s="142">
        <f t="shared" si="1"/>
        <v>5.7937427578215531E-3</v>
      </c>
      <c r="H23" s="117">
        <f>2191162430/1000</f>
        <v>2191162.4300000002</v>
      </c>
      <c r="I23" s="111">
        <v>0.26366379714385796</v>
      </c>
      <c r="K23" s="33">
        <v>35582</v>
      </c>
      <c r="L23" s="22">
        <f>1437781</f>
        <v>1437781</v>
      </c>
      <c r="M23" s="370">
        <f t="shared" si="2"/>
        <v>-0.17569158142833474</v>
      </c>
      <c r="N23" s="361">
        <f>L23/21</f>
        <v>68465.761904761908</v>
      </c>
      <c r="O23" s="362">
        <f t="shared" si="3"/>
        <v>-0.25419714510182656</v>
      </c>
      <c r="P23" s="371"/>
      <c r="Q23" s="369">
        <f>8310441</f>
        <v>8310441</v>
      </c>
    </row>
    <row r="24" spans="1:17">
      <c r="A24" s="33">
        <v>35612</v>
      </c>
      <c r="B24" s="22">
        <v>25080</v>
      </c>
      <c r="C24" s="145">
        <f t="shared" si="4"/>
        <v>0.25456455404932221</v>
      </c>
      <c r="D24" s="121">
        <v>1140</v>
      </c>
      <c r="E24" s="86">
        <f t="shared" si="0"/>
        <v>0.19753889250162571</v>
      </c>
      <c r="F24" s="113">
        <v>3103</v>
      </c>
      <c r="G24" s="142">
        <f t="shared" si="1"/>
        <v>0.19162826420890938</v>
      </c>
      <c r="H24" s="117">
        <f>2575653940/1000</f>
        <v>2575653.94</v>
      </c>
      <c r="I24" s="111">
        <v>0.28050992796591434</v>
      </c>
      <c r="K24" s="33">
        <v>35612</v>
      </c>
      <c r="L24" s="22">
        <f>1479531</f>
        <v>1479531</v>
      </c>
      <c r="M24" s="370">
        <f t="shared" si="2"/>
        <v>2.9037802001834773E-2</v>
      </c>
      <c r="N24" s="361">
        <f>L24/22</f>
        <v>67251.409090909088</v>
      </c>
      <c r="O24" s="362">
        <f t="shared" si="3"/>
        <v>-1.7736643543703259E-2</v>
      </c>
      <c r="P24" s="371"/>
      <c r="Q24" s="369">
        <f>9182042</f>
        <v>9182042</v>
      </c>
    </row>
    <row r="25" spans="1:17">
      <c r="A25" s="33">
        <v>35643</v>
      </c>
      <c r="B25" s="22">
        <v>44407</v>
      </c>
      <c r="C25" s="145">
        <f t="shared" si="4"/>
        <v>0.77061403508771931</v>
      </c>
      <c r="D25" s="121">
        <v>2114.6190476190477</v>
      </c>
      <c r="E25" s="86">
        <f t="shared" si="0"/>
        <v>0.85492898913951554</v>
      </c>
      <c r="F25" s="113">
        <v>6439</v>
      </c>
      <c r="G25" s="142">
        <f t="shared" si="1"/>
        <v>1.0750886239123429</v>
      </c>
      <c r="H25" s="117">
        <f>3894753710/1000</f>
        <v>3894753.71</v>
      </c>
      <c r="I25" s="111">
        <v>0.41953971267198847</v>
      </c>
      <c r="K25" s="33">
        <v>35643</v>
      </c>
      <c r="L25" s="22">
        <f>1658482</f>
        <v>1658482</v>
      </c>
      <c r="M25" s="370">
        <f t="shared" si="2"/>
        <v>0.12095116628174739</v>
      </c>
      <c r="N25" s="361">
        <f>L25/21</f>
        <v>78975.333333333328</v>
      </c>
      <c r="O25" s="362">
        <f t="shared" si="3"/>
        <v>0.17432979324754486</v>
      </c>
      <c r="P25" s="371"/>
      <c r="Q25" s="369">
        <f>9283397</f>
        <v>9283397</v>
      </c>
    </row>
    <row r="26" spans="1:17">
      <c r="A26" s="33">
        <v>35674</v>
      </c>
      <c r="B26" s="22">
        <v>61236</v>
      </c>
      <c r="C26" s="145">
        <f t="shared" si="4"/>
        <v>0.37897178372779067</v>
      </c>
      <c r="D26" s="121">
        <v>2916</v>
      </c>
      <c r="E26" s="86">
        <f t="shared" si="0"/>
        <v>0.37897178372779061</v>
      </c>
      <c r="F26" s="22">
        <v>5492</v>
      </c>
      <c r="G26" s="142">
        <f t="shared" si="1"/>
        <v>-0.1470725267898742</v>
      </c>
      <c r="H26" s="117">
        <f>4738233650/1000</f>
        <v>4738233.6500000004</v>
      </c>
      <c r="I26" s="111">
        <v>0.36332266422766346</v>
      </c>
      <c r="K26" s="33">
        <v>35674</v>
      </c>
      <c r="L26" s="22">
        <f>2458773</f>
        <v>2458773</v>
      </c>
      <c r="M26" s="370">
        <f t="shared" si="2"/>
        <v>0.4825442784425758</v>
      </c>
      <c r="N26" s="361">
        <f>L26/21</f>
        <v>117084.42857142857</v>
      </c>
      <c r="O26" s="362">
        <f t="shared" si="3"/>
        <v>0.4825442784425758</v>
      </c>
      <c r="P26" s="371"/>
      <c r="Q26" s="369">
        <v>13041393</v>
      </c>
    </row>
    <row r="27" spans="1:17">
      <c r="A27" s="33">
        <v>35704</v>
      </c>
      <c r="B27" s="22">
        <v>51405</v>
      </c>
      <c r="C27" s="145">
        <f t="shared" si="4"/>
        <v>-0.16054281795022535</v>
      </c>
      <c r="D27" s="121">
        <v>2336.590909090909</v>
      </c>
      <c r="E27" s="125">
        <v>-0.1986999625888515</v>
      </c>
      <c r="F27" s="22">
        <v>8169</v>
      </c>
      <c r="G27" s="142">
        <f t="shared" si="1"/>
        <v>0.48743627093954844</v>
      </c>
      <c r="H27" s="117">
        <v>3738837</v>
      </c>
      <c r="I27" s="111">
        <v>0.44447943530224077</v>
      </c>
      <c r="K27" s="33">
        <v>35704</v>
      </c>
      <c r="L27" s="22">
        <f>1876413</f>
        <v>1876413</v>
      </c>
      <c r="M27" s="370">
        <f t="shared" si="2"/>
        <v>-0.23684984339749948</v>
      </c>
      <c r="N27" s="361">
        <f>L27/21</f>
        <v>89353</v>
      </c>
      <c r="O27" s="362">
        <f t="shared" si="3"/>
        <v>-0.23684984339749945</v>
      </c>
      <c r="P27" s="371"/>
      <c r="Q27" s="369">
        <v>8411721</v>
      </c>
    </row>
    <row r="28" spans="1:17">
      <c r="A28" s="33">
        <v>35735</v>
      </c>
      <c r="B28" s="22">
        <v>54654</v>
      </c>
      <c r="C28" s="145">
        <f t="shared" si="4"/>
        <v>6.3203968485555886E-2</v>
      </c>
      <c r="D28" s="121">
        <v>2732.7</v>
      </c>
      <c r="E28" s="86">
        <f t="shared" ref="E28:E63" si="5">(D28-D27)/D27</f>
        <v>0.16952436533411144</v>
      </c>
      <c r="F28" s="22">
        <v>8089</v>
      </c>
      <c r="G28" s="142">
        <f t="shared" si="1"/>
        <v>-9.7931203329660911E-3</v>
      </c>
      <c r="H28" s="117">
        <v>3335404</v>
      </c>
      <c r="I28" s="111">
        <v>0.50021085795492382</v>
      </c>
      <c r="K28" s="33">
        <v>35735</v>
      </c>
      <c r="L28" s="117">
        <f>1861725</f>
        <v>1861725</v>
      </c>
      <c r="M28" s="370">
        <f t="shared" si="2"/>
        <v>-7.8277010444928706E-3</v>
      </c>
      <c r="N28" s="361">
        <f>L28/20</f>
        <v>93086.25</v>
      </c>
      <c r="O28" s="362">
        <f t="shared" si="3"/>
        <v>4.1780913903282486E-2</v>
      </c>
      <c r="P28" s="372"/>
      <c r="Q28" s="369">
        <v>6667996</v>
      </c>
    </row>
    <row r="29" spans="1:17">
      <c r="A29" s="33">
        <v>35765</v>
      </c>
      <c r="B29" s="22">
        <v>52787</v>
      </c>
      <c r="C29" s="145">
        <f t="shared" si="4"/>
        <v>-3.4160354228418781E-2</v>
      </c>
      <c r="D29" s="121">
        <v>2399.409090909091</v>
      </c>
      <c r="E29" s="86">
        <f t="shared" si="5"/>
        <v>-0.12196395838947154</v>
      </c>
      <c r="F29" s="22">
        <v>7614</v>
      </c>
      <c r="G29" s="142">
        <f t="shared" si="1"/>
        <v>-5.8721720855482752E-2</v>
      </c>
      <c r="H29" s="117">
        <v>3075592</v>
      </c>
      <c r="I29" s="111">
        <v>0.52553605038707041</v>
      </c>
      <c r="K29" s="75">
        <v>35765</v>
      </c>
      <c r="L29" s="117">
        <v>1522152</v>
      </c>
      <c r="M29" s="370">
        <f t="shared" si="2"/>
        <v>-0.18239697055150464</v>
      </c>
      <c r="N29" s="361">
        <f>L29/22</f>
        <v>69188.727272727279</v>
      </c>
      <c r="O29" s="362">
        <f t="shared" si="3"/>
        <v>-0.25672451868318596</v>
      </c>
      <c r="P29" s="139"/>
      <c r="Q29" s="373">
        <v>5852295</v>
      </c>
    </row>
    <row r="30" spans="1:17">
      <c r="A30" s="33">
        <v>35796</v>
      </c>
      <c r="B30" s="22">
        <v>48767</v>
      </c>
      <c r="C30" s="145">
        <f t="shared" si="4"/>
        <v>-7.6155113948510045E-2</v>
      </c>
      <c r="D30" s="22">
        <v>2868.6470588235293</v>
      </c>
      <c r="E30" s="86">
        <f t="shared" si="5"/>
        <v>0.19556397018428101</v>
      </c>
      <c r="F30" s="22">
        <v>8787</v>
      </c>
      <c r="G30" s="142">
        <f t="shared" si="1"/>
        <v>0.15405831363278172</v>
      </c>
      <c r="H30" s="117">
        <f>2646176671/1000</f>
        <v>2646176.6710000001</v>
      </c>
      <c r="I30" s="145">
        <v>0.55056338910519032</v>
      </c>
      <c r="K30" s="33">
        <v>35796</v>
      </c>
      <c r="L30" s="117">
        <v>1526466</v>
      </c>
      <c r="M30" s="370">
        <f t="shared" si="2"/>
        <v>2.8341453415953203E-3</v>
      </c>
      <c r="N30" s="361">
        <f>L30/17</f>
        <v>89792.117647058825</v>
      </c>
      <c r="O30" s="362">
        <f t="shared" si="3"/>
        <v>0.2977853645597115</v>
      </c>
      <c r="P30" s="372"/>
      <c r="Q30" s="369">
        <v>4806307</v>
      </c>
    </row>
    <row r="31" spans="1:17">
      <c r="A31" s="33">
        <v>35827</v>
      </c>
      <c r="B31" s="22">
        <v>70112</v>
      </c>
      <c r="C31" s="145">
        <f t="shared" si="4"/>
        <v>0.43769352225890457</v>
      </c>
      <c r="D31" s="22">
        <v>3690.1052631578946</v>
      </c>
      <c r="E31" s="86">
        <f t="shared" si="5"/>
        <v>0.28635736202112516</v>
      </c>
      <c r="F31" s="22">
        <v>8844</v>
      </c>
      <c r="G31" s="142">
        <f t="shared" si="1"/>
        <v>6.4868555821099355E-3</v>
      </c>
      <c r="H31" s="117">
        <f>5008457370/1000</f>
        <v>5008457.37</v>
      </c>
      <c r="I31" s="145">
        <v>0.40551160395022567</v>
      </c>
      <c r="K31" s="33">
        <v>35827</v>
      </c>
      <c r="L31" s="117">
        <f>3532674.607</f>
        <v>3532674.6069999998</v>
      </c>
      <c r="M31" s="370">
        <f t="shared" si="2"/>
        <v>1.3142831920265501</v>
      </c>
      <c r="N31" s="361">
        <f>L31/19</f>
        <v>185930.24247368419</v>
      </c>
      <c r="O31" s="362">
        <f t="shared" si="3"/>
        <v>1.0706744349711237</v>
      </c>
      <c r="P31" s="372"/>
      <c r="Q31" s="369">
        <f>12350959.433</f>
        <v>12350959.433</v>
      </c>
    </row>
    <row r="32" spans="1:17">
      <c r="A32" s="33">
        <v>35855</v>
      </c>
      <c r="B32" s="22">
        <v>57992</v>
      </c>
      <c r="C32" s="145">
        <f t="shared" si="4"/>
        <v>-0.17286627110908262</v>
      </c>
      <c r="D32" s="22">
        <v>2636</v>
      </c>
      <c r="E32" s="86">
        <f t="shared" si="5"/>
        <v>-0.28565723413966221</v>
      </c>
      <c r="F32" s="22">
        <v>8603</v>
      </c>
      <c r="G32" s="142">
        <f t="shared" si="1"/>
        <v>-2.7250113071008594E-2</v>
      </c>
      <c r="H32" s="117">
        <v>4173303</v>
      </c>
      <c r="I32" s="145">
        <v>0.71130000000000004</v>
      </c>
      <c r="K32" s="33">
        <v>35855</v>
      </c>
      <c r="L32" s="117">
        <f>1548938.159</f>
        <v>1548938.159</v>
      </c>
      <c r="M32" s="370">
        <f t="shared" si="2"/>
        <v>-0.56153953270115031</v>
      </c>
      <c r="N32" s="361">
        <f>L32/22</f>
        <v>70406.279954545447</v>
      </c>
      <c r="O32" s="362">
        <f t="shared" si="3"/>
        <v>-0.62132959642372076</v>
      </c>
      <c r="P32" s="372"/>
      <c r="Q32" s="369">
        <f>5867086.591</f>
        <v>5867086.591</v>
      </c>
    </row>
    <row r="33" spans="1:17">
      <c r="A33" s="33">
        <v>35886</v>
      </c>
      <c r="B33" s="22">
        <v>84560</v>
      </c>
      <c r="C33" s="145">
        <f t="shared" si="4"/>
        <v>0.45813215615947028</v>
      </c>
      <c r="D33" s="22">
        <v>4228</v>
      </c>
      <c r="E33" s="86">
        <f t="shared" si="5"/>
        <v>0.60394537177541729</v>
      </c>
      <c r="F33" s="22">
        <v>14527</v>
      </c>
      <c r="G33" s="142">
        <f t="shared" si="1"/>
        <v>0.68859700104614674</v>
      </c>
      <c r="H33" s="117">
        <v>5259837</v>
      </c>
      <c r="I33" s="145">
        <v>1.2755000000000001</v>
      </c>
      <c r="K33" s="33">
        <v>35886</v>
      </c>
      <c r="L33" s="117">
        <v>1041333</v>
      </c>
      <c r="M33" s="370">
        <f t="shared" si="2"/>
        <v>-0.3277117011099473</v>
      </c>
      <c r="N33" s="361">
        <f>L33/22</f>
        <v>47333.318181818184</v>
      </c>
      <c r="O33" s="362">
        <f t="shared" si="3"/>
        <v>-0.32771170110994718</v>
      </c>
      <c r="P33" s="374"/>
      <c r="Q33" s="369">
        <f>4123725.301</f>
        <v>4123725.301</v>
      </c>
    </row>
    <row r="34" spans="1:17">
      <c r="A34" s="33">
        <v>35916</v>
      </c>
      <c r="B34" s="22">
        <v>83605</v>
      </c>
      <c r="C34" s="145">
        <f t="shared" si="4"/>
        <v>-1.1293755912961211E-2</v>
      </c>
      <c r="D34" s="22">
        <v>4400</v>
      </c>
      <c r="E34" s="86">
        <f t="shared" si="5"/>
        <v>4.068117313150426E-2</v>
      </c>
      <c r="F34" s="22">
        <v>15973</v>
      </c>
      <c r="G34" s="142">
        <f t="shared" si="1"/>
        <v>9.953878983960901E-2</v>
      </c>
      <c r="H34" s="117">
        <v>4628267</v>
      </c>
      <c r="I34" s="145">
        <v>1.2676000000000001</v>
      </c>
      <c r="K34" s="33">
        <v>35916</v>
      </c>
      <c r="L34" s="117">
        <v>1062904</v>
      </c>
      <c r="M34" s="370">
        <f t="shared" si="2"/>
        <v>2.0714795363250757E-2</v>
      </c>
      <c r="N34" s="361">
        <f>L34/19</f>
        <v>55942.315789473687</v>
      </c>
      <c r="O34" s="362">
        <f t="shared" si="3"/>
        <v>0.18188028936797457</v>
      </c>
      <c r="P34" s="372"/>
      <c r="Q34" s="369">
        <v>3651242</v>
      </c>
    </row>
    <row r="35" spans="1:17">
      <c r="A35" s="33">
        <v>35947</v>
      </c>
      <c r="B35" s="22">
        <v>94850</v>
      </c>
      <c r="C35" s="145">
        <f t="shared" si="4"/>
        <v>0.1345015250284074</v>
      </c>
      <c r="D35" s="22">
        <v>4311</v>
      </c>
      <c r="E35" s="86">
        <f t="shared" si="5"/>
        <v>-2.0227272727272726E-2</v>
      </c>
      <c r="F35" s="22">
        <v>18442</v>
      </c>
      <c r="G35" s="142">
        <f t="shared" si="1"/>
        <v>0.1545733425154949</v>
      </c>
      <c r="H35" s="117">
        <v>4451961</v>
      </c>
      <c r="I35" s="145">
        <v>1.1901433771763681</v>
      </c>
      <c r="K35" s="375">
        <v>35947</v>
      </c>
      <c r="L35" s="118">
        <v>1337601</v>
      </c>
      <c r="M35" s="370">
        <f t="shared" si="2"/>
        <v>0.25844008489948295</v>
      </c>
      <c r="N35" s="361">
        <f>L35/22</f>
        <v>60800.045454545456</v>
      </c>
      <c r="O35" s="362">
        <f t="shared" si="3"/>
        <v>8.6834618776826134E-2</v>
      </c>
      <c r="P35" s="374"/>
      <c r="Q35" s="376">
        <v>3740693</v>
      </c>
    </row>
    <row r="36" spans="1:17">
      <c r="A36" s="33">
        <v>35977</v>
      </c>
      <c r="B36" s="122">
        <v>93106</v>
      </c>
      <c r="C36" s="145">
        <f t="shared" si="4"/>
        <v>-1.8386926726410121E-2</v>
      </c>
      <c r="D36" s="121">
        <v>4232.090909090909</v>
      </c>
      <c r="E36" s="86">
        <f t="shared" si="5"/>
        <v>-1.8304126863625838E-2</v>
      </c>
      <c r="F36" s="117">
        <v>16446</v>
      </c>
      <c r="G36" s="142">
        <f t="shared" si="1"/>
        <v>-0.10823121136536168</v>
      </c>
      <c r="H36" s="113">
        <v>3993667</v>
      </c>
      <c r="I36" s="112">
        <v>1.0868</v>
      </c>
      <c r="K36" s="33">
        <v>35977</v>
      </c>
      <c r="L36" s="117">
        <v>1503167</v>
      </c>
      <c r="M36" s="370">
        <f t="shared" si="2"/>
        <v>0.12377831655329205</v>
      </c>
      <c r="N36" s="361">
        <f>L36/22</f>
        <v>68325.772727272721</v>
      </c>
      <c r="O36" s="362">
        <f t="shared" si="3"/>
        <v>0.12377831655329191</v>
      </c>
      <c r="P36" s="372"/>
      <c r="Q36" s="369">
        <v>3674694</v>
      </c>
    </row>
    <row r="37" spans="1:17">
      <c r="A37" s="33">
        <v>36008</v>
      </c>
      <c r="B37" s="122">
        <v>92927</v>
      </c>
      <c r="C37" s="145">
        <f t="shared" si="4"/>
        <v>-1.9225399007582755E-3</v>
      </c>
      <c r="D37" s="121">
        <v>4646</v>
      </c>
      <c r="E37" s="86">
        <f t="shared" si="5"/>
        <v>9.7802504672094198E-2</v>
      </c>
      <c r="F37" s="117">
        <v>14293</v>
      </c>
      <c r="G37" s="142">
        <f t="shared" si="1"/>
        <v>-0.13091329198589322</v>
      </c>
      <c r="H37" s="113">
        <v>3122402</v>
      </c>
      <c r="I37" s="112">
        <v>1.0407</v>
      </c>
      <c r="K37" s="33">
        <v>36008</v>
      </c>
      <c r="L37" s="117">
        <v>1540971</v>
      </c>
      <c r="M37" s="370">
        <f t="shared" si="2"/>
        <v>2.5149567546387062E-2</v>
      </c>
      <c r="N37" s="361">
        <f>L37/20</f>
        <v>77048.55</v>
      </c>
      <c r="O37" s="362">
        <f t="shared" si="3"/>
        <v>0.12766452430102593</v>
      </c>
      <c r="P37" s="372"/>
      <c r="Q37" s="369">
        <v>3000394</v>
      </c>
    </row>
    <row r="38" spans="1:17">
      <c r="A38" s="33">
        <v>36039</v>
      </c>
      <c r="B38" s="122">
        <v>75348</v>
      </c>
      <c r="C38" s="145">
        <f t="shared" si="4"/>
        <v>-0.18916999365093029</v>
      </c>
      <c r="D38" s="121">
        <v>3588</v>
      </c>
      <c r="E38" s="86">
        <f t="shared" si="5"/>
        <v>-0.22772277227722773</v>
      </c>
      <c r="F38" s="117">
        <v>681</v>
      </c>
      <c r="G38" s="142">
        <f t="shared" ref="G38:G63" si="6">(F38-F37)/F37</f>
        <v>-0.95235429930735327</v>
      </c>
      <c r="H38" s="113">
        <v>2898245</v>
      </c>
      <c r="I38" s="112">
        <v>0.48280000000000001</v>
      </c>
      <c r="K38" s="33">
        <v>36039</v>
      </c>
      <c r="L38" s="117">
        <v>2863502</v>
      </c>
      <c r="M38" s="370">
        <f t="shared" si="2"/>
        <v>0.85824522330400765</v>
      </c>
      <c r="N38" s="361">
        <f>L38/22</f>
        <v>130159.18181818182</v>
      </c>
      <c r="O38" s="362">
        <f t="shared" si="3"/>
        <v>0.68931383936727975</v>
      </c>
      <c r="P38" s="372"/>
      <c r="Q38" s="369">
        <v>6002443</v>
      </c>
    </row>
    <row r="39" spans="1:17">
      <c r="A39" s="33">
        <v>36069</v>
      </c>
      <c r="B39" s="122">
        <v>16893</v>
      </c>
      <c r="C39" s="145">
        <f t="shared" ref="C39:C63" si="7">(B39-B38)/B38</f>
        <v>-0.7758002866698519</v>
      </c>
      <c r="D39" s="121">
        <v>804</v>
      </c>
      <c r="E39" s="86">
        <f t="shared" si="5"/>
        <v>-0.77591973244147161</v>
      </c>
      <c r="F39" s="117">
        <v>1240</v>
      </c>
      <c r="G39" s="142">
        <f t="shared" si="6"/>
        <v>0.82085168869309844</v>
      </c>
      <c r="H39" s="113">
        <v>691370</v>
      </c>
      <c r="I39" s="112">
        <v>0.21379999999999999</v>
      </c>
      <c r="K39" s="375">
        <v>36069</v>
      </c>
      <c r="L39" s="118">
        <v>1424062</v>
      </c>
      <c r="M39" s="370">
        <f t="shared" si="2"/>
        <v>-0.50268517360909826</v>
      </c>
      <c r="N39" s="361">
        <f>L39/21</f>
        <v>67812.476190476184</v>
      </c>
      <c r="O39" s="362">
        <f t="shared" si="3"/>
        <v>-0.47900351520953155</v>
      </c>
      <c r="P39" s="374"/>
      <c r="Q39" s="376">
        <v>3234383</v>
      </c>
    </row>
    <row r="40" spans="1:17">
      <c r="A40" s="33">
        <v>36100</v>
      </c>
      <c r="B40" s="122">
        <v>25484</v>
      </c>
      <c r="C40" s="145">
        <f t="shared" si="7"/>
        <v>0.50855383886817029</v>
      </c>
      <c r="D40" s="121">
        <v>1213.5238095238096</v>
      </c>
      <c r="E40" s="86">
        <f t="shared" si="5"/>
        <v>0.50935797204453936</v>
      </c>
      <c r="F40" s="113">
        <v>1519</v>
      </c>
      <c r="G40" s="142">
        <f t="shared" si="6"/>
        <v>0.22500000000000001</v>
      </c>
      <c r="H40" s="117">
        <v>1217831</v>
      </c>
      <c r="I40" s="111">
        <v>0.27310459182128854</v>
      </c>
      <c r="K40" s="33">
        <v>36100</v>
      </c>
      <c r="L40" s="117">
        <v>2016750</v>
      </c>
      <c r="M40" s="370">
        <f t="shared" si="2"/>
        <v>0.41619536228057485</v>
      </c>
      <c r="N40" s="361">
        <f>L40/21</f>
        <v>96035.71428571429</v>
      </c>
      <c r="O40" s="362">
        <f t="shared" si="3"/>
        <v>0.41619536228057508</v>
      </c>
      <c r="P40" s="372"/>
      <c r="Q40" s="369">
        <v>4459211</v>
      </c>
    </row>
    <row r="41" spans="1:17">
      <c r="A41" s="33">
        <v>36130</v>
      </c>
      <c r="B41" s="122">
        <v>27600</v>
      </c>
      <c r="C41" s="145">
        <f t="shared" si="7"/>
        <v>8.3032490974729242E-2</v>
      </c>
      <c r="D41" s="121">
        <v>1255</v>
      </c>
      <c r="E41" s="86">
        <f t="shared" si="5"/>
        <v>3.4178307957934299E-2</v>
      </c>
      <c r="F41" s="22">
        <v>1650</v>
      </c>
      <c r="G41" s="142">
        <f t="shared" si="6"/>
        <v>8.6240947992100067E-2</v>
      </c>
      <c r="H41" s="22">
        <v>1529699</v>
      </c>
      <c r="I41" s="111">
        <v>0.24276535904126587</v>
      </c>
      <c r="K41" s="33">
        <v>36130</v>
      </c>
      <c r="L41" s="117">
        <v>2371991</v>
      </c>
      <c r="M41" s="370">
        <f t="shared" si="2"/>
        <v>0.17614528325275816</v>
      </c>
      <c r="N41" s="361">
        <f>L41/22</f>
        <v>107817.77272727272</v>
      </c>
      <c r="O41" s="362">
        <f t="shared" si="3"/>
        <v>0.1226841340139963</v>
      </c>
      <c r="P41" s="372"/>
      <c r="Q41" s="369">
        <v>6301142</v>
      </c>
    </row>
    <row r="42" spans="1:17">
      <c r="A42" s="33">
        <v>36161</v>
      </c>
      <c r="B42" s="122">
        <v>23755</v>
      </c>
      <c r="C42" s="145">
        <f t="shared" si="7"/>
        <v>-0.13931159420289854</v>
      </c>
      <c r="D42" s="121">
        <v>1397</v>
      </c>
      <c r="E42" s="86">
        <f t="shared" si="5"/>
        <v>0.11314741035856574</v>
      </c>
      <c r="F42" s="22">
        <v>2682</v>
      </c>
      <c r="G42" s="142">
        <f t="shared" si="6"/>
        <v>0.62545454545454549</v>
      </c>
      <c r="H42" s="117">
        <v>1463754</v>
      </c>
      <c r="I42" s="111">
        <v>0.37969999999999998</v>
      </c>
      <c r="K42" s="33">
        <v>36161</v>
      </c>
      <c r="L42" s="117">
        <v>1284582.825</v>
      </c>
      <c r="M42" s="370">
        <f t="shared" si="2"/>
        <v>-0.45843688909443586</v>
      </c>
      <c r="N42" s="361">
        <f>L42/17</f>
        <v>75563.695588235292</v>
      </c>
      <c r="O42" s="362">
        <f t="shared" si="3"/>
        <v>-0.29915362118103461</v>
      </c>
      <c r="P42" s="372"/>
      <c r="Q42" s="369">
        <v>3854892</v>
      </c>
    </row>
    <row r="43" spans="1:17">
      <c r="A43" s="33">
        <v>36192</v>
      </c>
      <c r="B43" s="122">
        <v>35770</v>
      </c>
      <c r="C43" s="145">
        <f t="shared" si="7"/>
        <v>0.50578825510418857</v>
      </c>
      <c r="D43" s="121">
        <v>2236</v>
      </c>
      <c r="E43" s="86">
        <f t="shared" si="5"/>
        <v>0.6005726556907659</v>
      </c>
      <c r="F43" s="22">
        <v>2546</v>
      </c>
      <c r="G43" s="142">
        <f t="shared" si="6"/>
        <v>-5.070842654735272E-2</v>
      </c>
      <c r="H43" s="117">
        <v>2018657</v>
      </c>
      <c r="I43" s="111">
        <v>0.64090000000000003</v>
      </c>
      <c r="K43" s="33">
        <v>36192</v>
      </c>
      <c r="L43" s="117">
        <v>958413.78799999994</v>
      </c>
      <c r="M43" s="370">
        <f t="shared" si="2"/>
        <v>-0.25391047634472308</v>
      </c>
      <c r="N43" s="361">
        <f>L43/16</f>
        <v>59900.861749999996</v>
      </c>
      <c r="O43" s="362">
        <f t="shared" si="3"/>
        <v>-0.20727988111626827</v>
      </c>
      <c r="P43" s="372"/>
      <c r="Q43" s="369">
        <v>3149496.4310900001</v>
      </c>
    </row>
    <row r="44" spans="1:17">
      <c r="A44" s="33">
        <v>36220</v>
      </c>
      <c r="B44" s="122">
        <v>34817</v>
      </c>
      <c r="C44" s="145">
        <f t="shared" si="7"/>
        <v>-2.6642437797036622E-2</v>
      </c>
      <c r="D44" s="121">
        <v>1583</v>
      </c>
      <c r="E44" s="86">
        <f t="shared" si="5"/>
        <v>-0.29203935599284436</v>
      </c>
      <c r="F44" s="22">
        <v>2048</v>
      </c>
      <c r="G44" s="142">
        <f t="shared" si="6"/>
        <v>-0.19560094265514533</v>
      </c>
      <c r="H44" s="117">
        <v>1809569</v>
      </c>
      <c r="I44" s="111">
        <v>0.76529999999999998</v>
      </c>
      <c r="K44" s="375">
        <v>36220</v>
      </c>
      <c r="L44" s="118">
        <v>731023.74699999997</v>
      </c>
      <c r="M44" s="377">
        <v>-0.23725664618673034</v>
      </c>
      <c r="N44" s="361">
        <f>L44/22</f>
        <v>33228.352136363632</v>
      </c>
      <c r="O44" s="362">
        <f t="shared" si="3"/>
        <v>-0.44527756086307668</v>
      </c>
      <c r="P44" s="374"/>
      <c r="Q44" s="376">
        <v>2364529.7822599998</v>
      </c>
    </row>
    <row r="45" spans="1:17">
      <c r="A45" s="33">
        <v>36251</v>
      </c>
      <c r="B45" s="122">
        <v>56542</v>
      </c>
      <c r="C45" s="145">
        <f t="shared" si="7"/>
        <v>0.62397679294597463</v>
      </c>
      <c r="D45" s="121">
        <v>2570</v>
      </c>
      <c r="E45" s="86">
        <f t="shared" si="5"/>
        <v>0.62349968414403034</v>
      </c>
      <c r="F45" s="22">
        <v>4878</v>
      </c>
      <c r="G45" s="142">
        <f t="shared" si="6"/>
        <v>1.3818359375</v>
      </c>
      <c r="H45" s="117">
        <v>3504262</v>
      </c>
      <c r="I45" s="111">
        <v>0.45369999999999999</v>
      </c>
      <c r="K45" s="33">
        <v>36251</v>
      </c>
      <c r="L45" s="117">
        <v>2289466.0649999999</v>
      </c>
      <c r="M45" s="370">
        <f>SUM(L45-L43)/L43</f>
        <v>1.3888075209953052</v>
      </c>
      <c r="N45" s="361">
        <f>L45/22</f>
        <v>104066.63931818181</v>
      </c>
      <c r="O45" s="362">
        <f>SUM(N45-N43)/N43</f>
        <v>0.73731456072385837</v>
      </c>
      <c r="P45" s="372"/>
      <c r="Q45" s="369">
        <v>7724019.84344</v>
      </c>
    </row>
    <row r="46" spans="1:17">
      <c r="A46" s="33">
        <v>36281</v>
      </c>
      <c r="B46" s="122">
        <v>58378</v>
      </c>
      <c r="C46" s="145">
        <f t="shared" si="7"/>
        <v>3.2471437161755864E-2</v>
      </c>
      <c r="D46" s="121">
        <v>2780</v>
      </c>
      <c r="E46" s="86">
        <f t="shared" si="5"/>
        <v>8.171206225680934E-2</v>
      </c>
      <c r="F46" s="22">
        <v>3450</v>
      </c>
      <c r="G46" s="142">
        <f t="shared" si="6"/>
        <v>-0.29274292742927427</v>
      </c>
      <c r="H46" s="117">
        <v>4373213.71</v>
      </c>
      <c r="I46" s="111">
        <v>0.39129999999999998</v>
      </c>
      <c r="K46" s="375">
        <v>36281</v>
      </c>
      <c r="L46" s="118">
        <v>3389211.5869999998</v>
      </c>
      <c r="M46" s="377">
        <v>0.48035021737699352</v>
      </c>
      <c r="N46" s="361">
        <f>L46/21</f>
        <v>161391.02795238094</v>
      </c>
      <c r="O46" s="378">
        <v>0.55084308487113609</v>
      </c>
      <c r="P46" s="374"/>
      <c r="Q46" s="376">
        <v>11175370.31728</v>
      </c>
    </row>
    <row r="47" spans="1:17">
      <c r="A47" s="33">
        <v>36312</v>
      </c>
      <c r="B47" s="122">
        <v>46973</v>
      </c>
      <c r="C47" s="145">
        <f t="shared" si="7"/>
        <v>-0.19536469217856042</v>
      </c>
      <c r="D47" s="121">
        <v>2135</v>
      </c>
      <c r="E47" s="86">
        <f t="shared" si="5"/>
        <v>-0.23201438848920863</v>
      </c>
      <c r="F47" s="22">
        <v>3939</v>
      </c>
      <c r="G47" s="142">
        <f t="shared" si="6"/>
        <v>0.14173913043478262</v>
      </c>
      <c r="H47" s="117">
        <v>3731312.53</v>
      </c>
      <c r="I47" s="111">
        <v>0.39589999999999997</v>
      </c>
      <c r="K47" s="33">
        <v>36312</v>
      </c>
      <c r="L47" s="117">
        <v>3212585.24</v>
      </c>
      <c r="M47" s="370">
        <f t="shared" ref="M47:M62" si="8">SUM(L47-L46)/L46</f>
        <v>-5.2114287487239022E-2</v>
      </c>
      <c r="N47" s="361">
        <f>L47/22</f>
        <v>146026.60181818184</v>
      </c>
      <c r="O47" s="362">
        <f t="shared" ref="O47:O62" si="9">SUM(N47-N46)/N46</f>
        <v>-9.5200001692364478E-2</v>
      </c>
      <c r="P47" s="372"/>
      <c r="Q47" s="369">
        <v>9425290.3905699998</v>
      </c>
    </row>
    <row r="48" spans="1:17">
      <c r="A48" s="33">
        <v>36342</v>
      </c>
      <c r="B48" s="122">
        <v>41173</v>
      </c>
      <c r="C48" s="145">
        <f t="shared" si="7"/>
        <v>-0.12347518787388499</v>
      </c>
      <c r="D48" s="121">
        <v>1872</v>
      </c>
      <c r="E48" s="86">
        <f t="shared" si="5"/>
        <v>-0.12318501170960187</v>
      </c>
      <c r="F48" s="22">
        <v>3019</v>
      </c>
      <c r="G48" s="142">
        <f t="shared" si="6"/>
        <v>-0.23356181772023357</v>
      </c>
      <c r="H48" s="117">
        <v>3458658.77</v>
      </c>
      <c r="I48" s="111">
        <v>0.23499999999999999</v>
      </c>
      <c r="K48" s="33">
        <v>36342</v>
      </c>
      <c r="L48" s="117">
        <v>5033828.1090000002</v>
      </c>
      <c r="M48" s="370">
        <f t="shared" si="8"/>
        <v>0.56690880799788512</v>
      </c>
      <c r="N48" s="361">
        <f>L48/22</f>
        <v>228810.36859090909</v>
      </c>
      <c r="O48" s="362">
        <f t="shared" si="9"/>
        <v>0.56690880799788501</v>
      </c>
      <c r="P48" s="372"/>
      <c r="Q48" s="369">
        <v>14718928.48997</v>
      </c>
    </row>
    <row r="49" spans="1:17">
      <c r="A49" s="33">
        <v>36373</v>
      </c>
      <c r="B49" s="117">
        <v>44288</v>
      </c>
      <c r="C49" s="145">
        <f t="shared" si="7"/>
        <v>7.5656376751754795E-2</v>
      </c>
      <c r="D49" s="121">
        <v>2109</v>
      </c>
      <c r="E49" s="86">
        <f t="shared" si="5"/>
        <v>0.1266025641025641</v>
      </c>
      <c r="F49" s="22">
        <v>2903</v>
      </c>
      <c r="G49" s="142">
        <f t="shared" si="6"/>
        <v>-3.8423318979794632E-2</v>
      </c>
      <c r="H49" s="117">
        <v>3325850.16</v>
      </c>
      <c r="I49" s="145">
        <v>0.36840000000000001</v>
      </c>
      <c r="K49" s="33">
        <v>36373</v>
      </c>
      <c r="L49" s="117">
        <v>2475923.6269999999</v>
      </c>
      <c r="M49" s="370">
        <f t="shared" si="8"/>
        <v>-0.50814299308844357</v>
      </c>
      <c r="N49" s="361">
        <f>L49/21</f>
        <v>117901.12509523809</v>
      </c>
      <c r="O49" s="362">
        <f t="shared" si="9"/>
        <v>-0.48472123085455993</v>
      </c>
      <c r="P49" s="372"/>
      <c r="Q49" s="369">
        <v>9027282.0063400008</v>
      </c>
    </row>
    <row r="50" spans="1:17">
      <c r="A50" s="33">
        <v>36404</v>
      </c>
      <c r="B50" s="117">
        <v>29451</v>
      </c>
      <c r="C50" s="145">
        <f t="shared" si="7"/>
        <v>-0.33501174132947975</v>
      </c>
      <c r="D50" s="121">
        <v>1339</v>
      </c>
      <c r="E50" s="86">
        <f t="shared" si="5"/>
        <v>-0.36510194404931245</v>
      </c>
      <c r="F50" s="22">
        <v>1909</v>
      </c>
      <c r="G50" s="142">
        <f t="shared" si="6"/>
        <v>-0.34240440923182913</v>
      </c>
      <c r="H50" s="117">
        <v>2137981.85</v>
      </c>
      <c r="I50" s="145">
        <v>0.38529999999999998</v>
      </c>
      <c r="K50" s="33">
        <v>36404</v>
      </c>
      <c r="L50" s="117">
        <v>1296300.44</v>
      </c>
      <c r="M50" s="370">
        <f t="shared" si="8"/>
        <v>-0.47643763084458018</v>
      </c>
      <c r="N50" s="361">
        <f>L50/22</f>
        <v>58922.747272727269</v>
      </c>
      <c r="O50" s="362">
        <f t="shared" si="9"/>
        <v>-0.50023592035164477</v>
      </c>
      <c r="P50" s="372"/>
      <c r="Q50" s="369">
        <v>5548441.6293000001</v>
      </c>
    </row>
    <row r="51" spans="1:17">
      <c r="A51" s="33">
        <v>36434</v>
      </c>
      <c r="B51" s="117">
        <v>31079</v>
      </c>
      <c r="C51" s="145">
        <f t="shared" si="7"/>
        <v>5.5278258802757121E-2</v>
      </c>
      <c r="D51" s="121">
        <v>1480</v>
      </c>
      <c r="E51" s="86">
        <f t="shared" si="5"/>
        <v>0.1053024645257655</v>
      </c>
      <c r="F51" s="22">
        <v>2219</v>
      </c>
      <c r="G51" s="142">
        <f t="shared" si="6"/>
        <v>0.16238868517548455</v>
      </c>
      <c r="H51" s="117">
        <v>2299510.56</v>
      </c>
      <c r="I51" s="145">
        <v>0.41570000000000001</v>
      </c>
      <c r="K51" s="33">
        <v>36434</v>
      </c>
      <c r="L51" s="117">
        <v>1460210</v>
      </c>
      <c r="M51" s="370">
        <f t="shared" si="8"/>
        <v>0.12644411352664514</v>
      </c>
      <c r="N51" s="361">
        <f>L51/21</f>
        <v>69533.809523809527</v>
      </c>
      <c r="O51" s="362">
        <f t="shared" si="9"/>
        <v>0.18008430940886641</v>
      </c>
      <c r="P51" s="372"/>
      <c r="Q51" s="369">
        <v>5531380</v>
      </c>
    </row>
    <row r="52" spans="1:17">
      <c r="A52" s="33">
        <v>36465</v>
      </c>
      <c r="B52" s="22">
        <v>17584</v>
      </c>
      <c r="C52" s="145">
        <f t="shared" si="7"/>
        <v>-0.4342160301167991</v>
      </c>
      <c r="D52" s="22">
        <v>879</v>
      </c>
      <c r="E52" s="86">
        <f t="shared" si="5"/>
        <v>-0.4060810810810811</v>
      </c>
      <c r="F52" s="22">
        <v>2141</v>
      </c>
      <c r="G52" s="142">
        <f t="shared" si="6"/>
        <v>-3.5150968904912122E-2</v>
      </c>
      <c r="H52" s="22">
        <v>1313773.78</v>
      </c>
      <c r="I52" s="145">
        <v>0.31009999999999999</v>
      </c>
      <c r="K52" s="33">
        <v>36465</v>
      </c>
      <c r="L52" s="117">
        <v>970855.76599999995</v>
      </c>
      <c r="M52" s="370">
        <f t="shared" si="8"/>
        <v>-0.33512592983201051</v>
      </c>
      <c r="N52" s="361">
        <f>L52/20</f>
        <v>48542.7883</v>
      </c>
      <c r="O52" s="362">
        <f t="shared" si="9"/>
        <v>-0.301882226323611</v>
      </c>
      <c r="P52" s="372"/>
      <c r="Q52" s="369">
        <v>4236802.15166</v>
      </c>
    </row>
    <row r="53" spans="1:17">
      <c r="A53" s="33">
        <v>36495</v>
      </c>
      <c r="B53" s="22">
        <v>16868</v>
      </c>
      <c r="C53" s="145">
        <f t="shared" si="7"/>
        <v>-4.0718835304822565E-2</v>
      </c>
      <c r="D53" s="22">
        <v>767</v>
      </c>
      <c r="E53" s="86">
        <f t="shared" si="5"/>
        <v>-0.12741751990898748</v>
      </c>
      <c r="F53" s="22">
        <v>2432</v>
      </c>
      <c r="G53" s="142">
        <f t="shared" si="6"/>
        <v>0.13591779542269966</v>
      </c>
      <c r="H53" s="22">
        <v>1323920.92</v>
      </c>
      <c r="I53" s="145">
        <v>0.27900000000000003</v>
      </c>
      <c r="K53" s="33">
        <v>36495</v>
      </c>
      <c r="L53" s="117">
        <v>1111863.294</v>
      </c>
      <c r="M53" s="370">
        <f t="shared" si="8"/>
        <v>0.14524044965089083</v>
      </c>
      <c r="N53" s="361">
        <f>L53/22</f>
        <v>50539.240636363633</v>
      </c>
      <c r="O53" s="362">
        <f t="shared" si="9"/>
        <v>4.1127681500809719E-2</v>
      </c>
      <c r="P53" s="372"/>
      <c r="Q53" s="369">
        <v>4745569.6172099998</v>
      </c>
    </row>
    <row r="54" spans="1:17">
      <c r="A54" s="33">
        <v>36526</v>
      </c>
      <c r="B54" s="22">
        <v>39595</v>
      </c>
      <c r="C54" s="145">
        <f t="shared" si="7"/>
        <v>1.3473440834716623</v>
      </c>
      <c r="D54" s="22">
        <v>2084</v>
      </c>
      <c r="E54" s="86">
        <f t="shared" si="5"/>
        <v>1.7170795306388527</v>
      </c>
      <c r="F54" s="22">
        <v>3152</v>
      </c>
      <c r="G54" s="142">
        <f t="shared" si="6"/>
        <v>0.29605263157894735</v>
      </c>
      <c r="H54" s="22">
        <v>3669533.19</v>
      </c>
      <c r="I54" s="145">
        <v>0.26169999999999999</v>
      </c>
      <c r="K54" s="33">
        <v>36526</v>
      </c>
      <c r="L54" s="117">
        <v>3235802.9240000001</v>
      </c>
      <c r="M54" s="370">
        <f t="shared" si="8"/>
        <v>1.9102524936847136</v>
      </c>
      <c r="N54" s="361">
        <f>L54/19</f>
        <v>170305.41705263159</v>
      </c>
      <c r="O54" s="362">
        <f t="shared" si="9"/>
        <v>2.3697660453191429</v>
      </c>
      <c r="P54" s="372"/>
      <c r="Q54" s="369">
        <v>14024078.088719999</v>
      </c>
    </row>
    <row r="55" spans="1:17">
      <c r="A55" s="33">
        <v>36557</v>
      </c>
      <c r="B55" s="22">
        <v>29311</v>
      </c>
      <c r="C55" s="145">
        <f t="shared" si="7"/>
        <v>-0.25972976385907309</v>
      </c>
      <c r="D55" s="22">
        <v>1628</v>
      </c>
      <c r="E55" s="86">
        <f t="shared" si="5"/>
        <v>-0.21880998080614203</v>
      </c>
      <c r="F55" s="22">
        <v>2990</v>
      </c>
      <c r="G55" s="142">
        <f t="shared" si="6"/>
        <v>-5.1395939086294418E-2</v>
      </c>
      <c r="H55" s="22">
        <v>2933479.3</v>
      </c>
      <c r="I55" s="145">
        <v>0.185</v>
      </c>
      <c r="K55" s="33">
        <v>36557</v>
      </c>
      <c r="L55" s="117">
        <v>3493184.7719999999</v>
      </c>
      <c r="M55" s="370">
        <f t="shared" si="8"/>
        <v>7.9541880035707557E-2</v>
      </c>
      <c r="N55" s="361">
        <f>L55/18</f>
        <v>194065.82066666667</v>
      </c>
      <c r="O55" s="362">
        <f t="shared" si="9"/>
        <v>0.13951642892658023</v>
      </c>
      <c r="P55" s="372"/>
      <c r="Q55" s="369">
        <v>15855165.475409999</v>
      </c>
    </row>
    <row r="56" spans="1:17">
      <c r="A56" s="33">
        <v>36586</v>
      </c>
      <c r="B56" s="22">
        <v>38877</v>
      </c>
      <c r="C56" s="145">
        <f t="shared" si="7"/>
        <v>0.32636211661151104</v>
      </c>
      <c r="D56" s="22">
        <v>1767</v>
      </c>
      <c r="E56" s="86">
        <f t="shared" si="5"/>
        <v>8.5380835380835379E-2</v>
      </c>
      <c r="F56" s="22">
        <v>2891</v>
      </c>
      <c r="G56" s="142">
        <f t="shared" si="6"/>
        <v>-3.311036789297659E-2</v>
      </c>
      <c r="H56" s="22">
        <v>3731579.01</v>
      </c>
      <c r="I56" s="145">
        <v>0.35599999999999998</v>
      </c>
      <c r="K56" s="33">
        <v>36586</v>
      </c>
      <c r="L56" s="117">
        <v>2068083.1740000001</v>
      </c>
      <c r="M56" s="370">
        <f t="shared" si="8"/>
        <v>-0.40796628034768034</v>
      </c>
      <c r="N56" s="361">
        <f>L56/22</f>
        <v>94003.780636363648</v>
      </c>
      <c r="O56" s="362">
        <f t="shared" si="9"/>
        <v>-0.51560877482992029</v>
      </c>
      <c r="P56" s="372"/>
      <c r="Q56" s="369">
        <v>10483049.15171</v>
      </c>
    </row>
    <row r="57" spans="1:17">
      <c r="A57" s="33">
        <v>36617</v>
      </c>
      <c r="B57" s="22">
        <v>27905</v>
      </c>
      <c r="C57" s="145">
        <f t="shared" si="7"/>
        <v>-0.28222342258919153</v>
      </c>
      <c r="D57" s="22">
        <v>1469</v>
      </c>
      <c r="E57" s="86">
        <f t="shared" si="5"/>
        <v>-0.16864742501414828</v>
      </c>
      <c r="F57" s="22">
        <v>2926</v>
      </c>
      <c r="G57" s="142">
        <f t="shared" si="6"/>
        <v>1.2106537530266344E-2</v>
      </c>
      <c r="H57" s="22">
        <v>2540663.31</v>
      </c>
      <c r="I57" s="145">
        <v>0.31340000000000001</v>
      </c>
      <c r="K57" s="33">
        <v>36617</v>
      </c>
      <c r="L57" s="117">
        <v>1380300.2930000001</v>
      </c>
      <c r="M57" s="370">
        <f t="shared" si="8"/>
        <v>-0.33257022234251782</v>
      </c>
      <c r="N57" s="361">
        <f>L57/19</f>
        <v>72647.383842105264</v>
      </c>
      <c r="O57" s="362">
        <f t="shared" si="9"/>
        <v>-0.22718657323870495</v>
      </c>
      <c r="P57" s="372"/>
      <c r="Q57" s="369">
        <v>8107438.7313900003</v>
      </c>
    </row>
    <row r="58" spans="1:17">
      <c r="A58" s="33">
        <v>36647</v>
      </c>
      <c r="B58" s="22">
        <v>32154</v>
      </c>
      <c r="C58" s="145">
        <f t="shared" si="7"/>
        <v>0.15226661888550438</v>
      </c>
      <c r="D58" s="22">
        <v>1531</v>
      </c>
      <c r="E58" s="86">
        <f t="shared" si="5"/>
        <v>4.2205582028590878E-2</v>
      </c>
      <c r="F58" s="22">
        <v>2701</v>
      </c>
      <c r="G58" s="142">
        <f t="shared" si="6"/>
        <v>-7.6896787423103213E-2</v>
      </c>
      <c r="H58" s="22">
        <v>2955281.09</v>
      </c>
      <c r="I58" s="145">
        <v>0.34179999999999999</v>
      </c>
      <c r="K58" s="33">
        <v>36647</v>
      </c>
      <c r="L58" s="117">
        <v>1283123.4310000001</v>
      </c>
      <c r="M58" s="370">
        <f t="shared" si="8"/>
        <v>-7.0402696060284001E-2</v>
      </c>
      <c r="N58" s="361">
        <f>L58/21</f>
        <v>61101.115761904766</v>
      </c>
      <c r="O58" s="362">
        <f t="shared" si="9"/>
        <v>-0.15893577262597122</v>
      </c>
      <c r="P58" s="372"/>
      <c r="Q58" s="369">
        <v>8646598.2519700006</v>
      </c>
    </row>
    <row r="59" spans="1:17">
      <c r="A59" s="33">
        <v>36678</v>
      </c>
      <c r="B59" s="22">
        <v>35997</v>
      </c>
      <c r="C59" s="145">
        <f t="shared" si="7"/>
        <v>0.11951856689680911</v>
      </c>
      <c r="D59" s="22">
        <v>1714</v>
      </c>
      <c r="E59" s="86">
        <f t="shared" si="5"/>
        <v>0.11952971913781842</v>
      </c>
      <c r="F59" s="22">
        <v>3173</v>
      </c>
      <c r="G59" s="142">
        <f t="shared" si="6"/>
        <v>0.17475009255831173</v>
      </c>
      <c r="H59" s="22">
        <v>3044745.42</v>
      </c>
      <c r="I59" s="145">
        <v>0.40450000000000003</v>
      </c>
      <c r="K59" s="33">
        <v>36678</v>
      </c>
      <c r="L59" s="117">
        <v>1114119.436</v>
      </c>
      <c r="M59" s="370">
        <f t="shared" si="8"/>
        <v>-0.13171296768253007</v>
      </c>
      <c r="N59" s="361">
        <f>L59/21</f>
        <v>53053.306476190475</v>
      </c>
      <c r="O59" s="362">
        <f t="shared" si="9"/>
        <v>-0.13171296768253007</v>
      </c>
      <c r="P59" s="372"/>
      <c r="Q59" s="369">
        <v>7527575.1778800003</v>
      </c>
    </row>
    <row r="60" spans="1:17">
      <c r="A60" s="33">
        <v>36708</v>
      </c>
      <c r="B60" s="22">
        <v>32968</v>
      </c>
      <c r="C60" s="145">
        <f t="shared" si="7"/>
        <v>-8.4145901047309499E-2</v>
      </c>
      <c r="D60" s="22">
        <v>1570</v>
      </c>
      <c r="E60" s="86">
        <f t="shared" si="5"/>
        <v>-8.401400233372229E-2</v>
      </c>
      <c r="F60" s="22">
        <v>2986</v>
      </c>
      <c r="G60" s="142">
        <f t="shared" si="6"/>
        <v>-5.8934762054837692E-2</v>
      </c>
      <c r="H60" s="22">
        <v>2725965.59</v>
      </c>
      <c r="I60" s="145">
        <v>0.59940000000000004</v>
      </c>
      <c r="K60" s="33">
        <v>36708</v>
      </c>
      <c r="L60" s="117">
        <v>809607.93500000006</v>
      </c>
      <c r="M60" s="370">
        <f t="shared" si="8"/>
        <v>-0.27332033816166179</v>
      </c>
      <c r="N60" s="361">
        <f>L60/21</f>
        <v>38552.75880952381</v>
      </c>
      <c r="O60" s="362">
        <f t="shared" si="9"/>
        <v>-0.27332033816166185</v>
      </c>
      <c r="P60" s="372"/>
      <c r="Q60" s="369">
        <v>4547674.0975700002</v>
      </c>
    </row>
    <row r="61" spans="1:17">
      <c r="A61" s="33">
        <v>36739</v>
      </c>
      <c r="B61" s="22">
        <v>20228</v>
      </c>
      <c r="C61" s="145">
        <f t="shared" si="7"/>
        <v>-0.3864353312302839</v>
      </c>
      <c r="D61" s="22">
        <v>963</v>
      </c>
      <c r="E61" s="86">
        <f t="shared" si="5"/>
        <v>-0.38662420382165608</v>
      </c>
      <c r="F61" s="22">
        <v>2685</v>
      </c>
      <c r="G61" s="142">
        <f t="shared" si="6"/>
        <v>-0.10080375083724046</v>
      </c>
      <c r="H61" s="22">
        <v>1642642.97</v>
      </c>
      <c r="I61" s="145">
        <v>0.43759999999999999</v>
      </c>
      <c r="K61" s="33">
        <v>36739</v>
      </c>
      <c r="L61" s="117">
        <v>627513.37699999998</v>
      </c>
      <c r="M61" s="370">
        <f t="shared" si="8"/>
        <v>-0.22491696304829334</v>
      </c>
      <c r="N61" s="361">
        <f>L61/22</f>
        <v>28523.335318181817</v>
      </c>
      <c r="O61" s="362">
        <f t="shared" si="9"/>
        <v>-0.26014801018246181</v>
      </c>
      <c r="P61" s="372"/>
      <c r="Q61" s="369">
        <v>3753408.96894</v>
      </c>
    </row>
    <row r="62" spans="1:17">
      <c r="A62" s="33">
        <v>36770</v>
      </c>
      <c r="B62" s="22">
        <v>29259</v>
      </c>
      <c r="C62" s="145">
        <f t="shared" si="7"/>
        <v>0.44646035198734429</v>
      </c>
      <c r="D62" s="22">
        <v>1393</v>
      </c>
      <c r="E62" s="86">
        <f t="shared" si="5"/>
        <v>0.44652128764278298</v>
      </c>
      <c r="F62" s="22">
        <v>2705</v>
      </c>
      <c r="G62" s="142">
        <f t="shared" si="6"/>
        <v>7.4487895716945996E-3</v>
      </c>
      <c r="H62" s="22">
        <v>2169282.08</v>
      </c>
      <c r="I62" s="145">
        <v>0.50770000000000004</v>
      </c>
      <c r="K62" s="33">
        <v>36770</v>
      </c>
      <c r="L62" s="117">
        <v>750840.73400000005</v>
      </c>
      <c r="M62" s="370">
        <f t="shared" si="8"/>
        <v>0.19653343103154292</v>
      </c>
      <c r="N62" s="361">
        <f>L62/21</f>
        <v>35754.320666666667</v>
      </c>
      <c r="O62" s="362">
        <f t="shared" si="9"/>
        <v>0.25351121346161631</v>
      </c>
      <c r="P62" s="372"/>
      <c r="Q62" s="369">
        <v>4272739.4062000001</v>
      </c>
    </row>
    <row r="63" spans="1:17">
      <c r="A63" s="33">
        <v>36800</v>
      </c>
      <c r="B63" s="22">
        <v>34279</v>
      </c>
      <c r="C63" s="145">
        <f t="shared" si="7"/>
        <v>0.17157114050377661</v>
      </c>
      <c r="D63" s="22">
        <v>1632</v>
      </c>
      <c r="E63" s="86">
        <f t="shared" si="5"/>
        <v>0.1715721464465183</v>
      </c>
      <c r="F63" s="22">
        <v>2322</v>
      </c>
      <c r="G63" s="142">
        <f t="shared" si="6"/>
        <v>-0.14158964879852126</v>
      </c>
      <c r="H63" s="22">
        <v>2564161.1800000002</v>
      </c>
      <c r="I63" s="145">
        <v>0.36909999999999998</v>
      </c>
      <c r="K63" s="33">
        <v>36800</v>
      </c>
      <c r="L63" s="117">
        <v>1242013.6399999999</v>
      </c>
      <c r="M63" s="370">
        <f t="shared" ref="M63:M68" si="10">SUM(L63-L62)/L62</f>
        <v>0.65416390421886705</v>
      </c>
      <c r="N63" s="361">
        <f>L63/21</f>
        <v>59143.506666666661</v>
      </c>
      <c r="O63" s="362">
        <f t="shared" ref="O63:O68" si="11">SUM(N63-N62)/N62</f>
        <v>0.65416390421886716</v>
      </c>
      <c r="P63" s="372"/>
      <c r="Q63" s="369">
        <v>6947147.3007399999</v>
      </c>
    </row>
    <row r="64" spans="1:17">
      <c r="A64" s="33">
        <v>36831</v>
      </c>
      <c r="B64" s="22">
        <v>27552</v>
      </c>
      <c r="C64" s="145">
        <f t="shared" ref="C64:C69" si="12">(B64-B63)/B63</f>
        <v>-0.19624259750867878</v>
      </c>
      <c r="D64" s="22">
        <v>1252</v>
      </c>
      <c r="E64" s="86">
        <f t="shared" ref="E64:E69" si="13">(D64-D63)/D63</f>
        <v>-0.23284313725490197</v>
      </c>
      <c r="F64" s="22">
        <v>2246</v>
      </c>
      <c r="G64" s="142">
        <f t="shared" ref="G64:G69" si="14">(F64-F63)/F63</f>
        <v>-3.273040482342808E-2</v>
      </c>
      <c r="H64" s="22">
        <v>2064261.91</v>
      </c>
      <c r="I64" s="145">
        <v>0.54590000000000005</v>
      </c>
      <c r="K64" s="393">
        <v>36831</v>
      </c>
      <c r="L64" s="394">
        <v>700644.59900000005</v>
      </c>
      <c r="M64" s="370">
        <f t="shared" si="10"/>
        <v>-0.43588010917496839</v>
      </c>
      <c r="N64" s="395">
        <f>L64/22</f>
        <v>31847.481772727275</v>
      </c>
      <c r="O64" s="362">
        <f t="shared" si="11"/>
        <v>-0.46152192239428802</v>
      </c>
      <c r="P64" s="396"/>
      <c r="Q64" s="373">
        <v>3781592.3550900002</v>
      </c>
    </row>
    <row r="65" spans="1:17">
      <c r="A65" s="33">
        <v>36861</v>
      </c>
      <c r="B65" s="22">
        <v>18817</v>
      </c>
      <c r="C65" s="145">
        <f t="shared" si="12"/>
        <v>-0.31703687572590011</v>
      </c>
      <c r="D65" s="22">
        <v>1107</v>
      </c>
      <c r="E65" s="86">
        <f t="shared" si="13"/>
        <v>-0.11581469648562301</v>
      </c>
      <c r="F65" s="22">
        <v>1644</v>
      </c>
      <c r="G65" s="142">
        <f t="shared" si="14"/>
        <v>-0.26803205699020483</v>
      </c>
      <c r="H65" s="22">
        <v>1363954.65</v>
      </c>
      <c r="I65" s="145">
        <v>0.43190000000000001</v>
      </c>
      <c r="K65" s="33">
        <v>36861</v>
      </c>
      <c r="L65" s="117">
        <v>664708.18099999998</v>
      </c>
      <c r="M65" s="370">
        <f t="shared" si="10"/>
        <v>-5.1290508841844454E-2</v>
      </c>
      <c r="N65" s="361">
        <f>L65/17</f>
        <v>39100.481235294115</v>
      </c>
      <c r="O65" s="362">
        <f t="shared" si="11"/>
        <v>0.22774169443996597</v>
      </c>
      <c r="P65" s="372"/>
      <c r="Q65" s="369">
        <v>3158126.4724400002</v>
      </c>
    </row>
    <row r="66" spans="1:17">
      <c r="A66" s="33">
        <v>36892</v>
      </c>
      <c r="B66" s="22">
        <v>22974</v>
      </c>
      <c r="C66" s="145">
        <f t="shared" si="12"/>
        <v>0.22091725567306159</v>
      </c>
      <c r="D66" s="22">
        <v>1209</v>
      </c>
      <c r="E66" s="86">
        <f t="shared" si="13"/>
        <v>9.2140921409214094E-2</v>
      </c>
      <c r="F66" s="22">
        <v>2008</v>
      </c>
      <c r="G66" s="142">
        <f t="shared" si="14"/>
        <v>0.22141119221411193</v>
      </c>
      <c r="H66" s="22">
        <v>1579887.74</v>
      </c>
      <c r="I66" s="145">
        <v>0.40100000000000002</v>
      </c>
      <c r="K66" s="33">
        <v>36892</v>
      </c>
      <c r="L66" s="117">
        <v>884568.19400000002</v>
      </c>
      <c r="M66" s="370">
        <f t="shared" si="10"/>
        <v>0.33076170759511087</v>
      </c>
      <c r="N66" s="361">
        <f>L66/19</f>
        <v>46556.220736842108</v>
      </c>
      <c r="O66" s="362">
        <f t="shared" si="11"/>
        <v>0.19068152784825718</v>
      </c>
      <c r="P66" s="372"/>
      <c r="Q66" s="369">
        <v>3940080.4247900001</v>
      </c>
    </row>
    <row r="67" spans="1:17">
      <c r="A67" s="33">
        <v>36923</v>
      </c>
      <c r="B67" s="22">
        <v>22076</v>
      </c>
      <c r="C67" s="145">
        <f t="shared" si="12"/>
        <v>-3.9087664316183511E-2</v>
      </c>
      <c r="D67" s="22">
        <v>1162</v>
      </c>
      <c r="E67" s="86">
        <f t="shared" si="13"/>
        <v>-3.8875103391232423E-2</v>
      </c>
      <c r="F67" s="22">
        <v>2361</v>
      </c>
      <c r="G67" s="142">
        <f t="shared" si="14"/>
        <v>0.17579681274900399</v>
      </c>
      <c r="H67" s="22">
        <v>1585024.95</v>
      </c>
      <c r="I67" s="145">
        <v>0.49790000000000001</v>
      </c>
      <c r="K67" s="33">
        <v>36923</v>
      </c>
      <c r="L67" s="117">
        <v>669832.33700000006</v>
      </c>
      <c r="M67" s="370">
        <f t="shared" si="10"/>
        <v>-0.2427578319642815</v>
      </c>
      <c r="N67" s="361">
        <f>L67/19</f>
        <v>35254.333526315793</v>
      </c>
      <c r="O67" s="362">
        <f t="shared" si="11"/>
        <v>-0.2427578319642815</v>
      </c>
      <c r="P67" s="372"/>
      <c r="Q67" s="369">
        <v>3183122.9786499999</v>
      </c>
    </row>
    <row r="68" spans="1:17">
      <c r="A68" s="33">
        <v>36951</v>
      </c>
      <c r="B68" s="22">
        <v>20961</v>
      </c>
      <c r="C68" s="145">
        <f t="shared" si="12"/>
        <v>-5.0507338285921362E-2</v>
      </c>
      <c r="D68" s="22">
        <v>1048</v>
      </c>
      <c r="E68" s="86">
        <f t="shared" si="13"/>
        <v>-9.8106712564543896E-2</v>
      </c>
      <c r="F68" s="22">
        <v>2416</v>
      </c>
      <c r="G68" s="142">
        <f t="shared" si="14"/>
        <v>2.3295213892418468E-2</v>
      </c>
      <c r="H68" s="22">
        <v>1403715.34</v>
      </c>
      <c r="I68" s="145">
        <v>0.52949999999999997</v>
      </c>
      <c r="K68" s="33">
        <v>36951</v>
      </c>
      <c r="L68" s="117">
        <v>602894.30000000005</v>
      </c>
      <c r="M68" s="370">
        <f t="shared" si="10"/>
        <v>-9.9932525353728943E-2</v>
      </c>
      <c r="N68" s="361">
        <f>L68/20</f>
        <v>30144.715000000004</v>
      </c>
      <c r="O68" s="362">
        <f t="shared" si="11"/>
        <v>-0.14493589908604246</v>
      </c>
      <c r="P68" s="372"/>
      <c r="Q68" s="369">
        <v>2651161.7817500001</v>
      </c>
    </row>
    <row r="69" spans="1:17">
      <c r="A69" s="33">
        <v>36982</v>
      </c>
      <c r="B69" s="22">
        <v>36447</v>
      </c>
      <c r="C69" s="145">
        <f t="shared" si="12"/>
        <v>0.73880062974094751</v>
      </c>
      <c r="D69" s="22">
        <v>1736</v>
      </c>
      <c r="E69" s="86">
        <f t="shared" si="13"/>
        <v>0.65648854961832059</v>
      </c>
      <c r="F69" s="22">
        <v>1340</v>
      </c>
      <c r="G69" s="142">
        <f t="shared" si="14"/>
        <v>-0.44536423841059603</v>
      </c>
      <c r="H69" s="22">
        <v>2098961.58</v>
      </c>
      <c r="I69" s="145">
        <v>0.60650000000000004</v>
      </c>
      <c r="K69" s="33">
        <v>36982</v>
      </c>
      <c r="L69" s="117">
        <v>919862.85199999996</v>
      </c>
      <c r="M69" s="370">
        <f>SUM(L69-L68)/L68</f>
        <v>0.52574481463832035</v>
      </c>
      <c r="N69" s="361">
        <f>L69/20</f>
        <v>45993.142599999999</v>
      </c>
      <c r="O69" s="362">
        <f t="shared" ref="O69:O74" si="15">SUM(N69-N68)/N68</f>
        <v>0.52574481463832035</v>
      </c>
      <c r="P69" s="372"/>
      <c r="Q69" s="369">
        <v>3460816.83238</v>
      </c>
    </row>
    <row r="70" spans="1:17">
      <c r="A70" s="33">
        <v>37012</v>
      </c>
      <c r="B70" s="22">
        <v>26089</v>
      </c>
      <c r="C70" s="145">
        <f t="shared" ref="C70:C75" si="16">(B70-B69)/B69</f>
        <v>-0.28419348643235381</v>
      </c>
      <c r="D70" s="22">
        <v>1242</v>
      </c>
      <c r="E70" s="86">
        <f t="shared" ref="E70:E75" si="17">(D70-D69)/D69</f>
        <v>-0.28456221198156684</v>
      </c>
      <c r="F70" s="22">
        <v>1936</v>
      </c>
      <c r="G70" s="142">
        <f t="shared" ref="G70:G75" si="18">(F70-F69)/F69</f>
        <v>0.44477611940298506</v>
      </c>
      <c r="H70" s="22">
        <v>1497598.04</v>
      </c>
      <c r="I70" s="145">
        <v>0.44719999999999999</v>
      </c>
      <c r="K70" s="33">
        <v>37012</v>
      </c>
      <c r="L70" s="117">
        <v>934651.10600000003</v>
      </c>
      <c r="M70" s="370">
        <f>SUM(L70-L69)/L69</f>
        <v>1.6076585729978009E-2</v>
      </c>
      <c r="N70" s="361">
        <f>L70/21</f>
        <v>44507.195523809525</v>
      </c>
      <c r="O70" s="362">
        <f t="shared" si="15"/>
        <v>-3.2308013590497162E-2</v>
      </c>
      <c r="P70" s="372"/>
      <c r="Q70" s="369">
        <v>3349095.3864699998</v>
      </c>
    </row>
    <row r="71" spans="1:17">
      <c r="A71" s="33">
        <v>37043</v>
      </c>
      <c r="B71" s="21">
        <v>19693</v>
      </c>
      <c r="C71" s="145">
        <f t="shared" si="16"/>
        <v>-0.24516079573766722</v>
      </c>
      <c r="D71" s="15">
        <v>985</v>
      </c>
      <c r="E71" s="86">
        <f t="shared" si="17"/>
        <v>-0.2069243156199678</v>
      </c>
      <c r="F71" s="22">
        <v>1854</v>
      </c>
      <c r="G71" s="142">
        <f t="shared" si="18"/>
        <v>-4.2355371900826444E-2</v>
      </c>
      <c r="H71" s="22">
        <v>1150424.01</v>
      </c>
      <c r="I71" s="476">
        <v>0.44109999999999999</v>
      </c>
      <c r="K71" s="33">
        <v>37043</v>
      </c>
      <c r="L71" s="117">
        <v>752371.94200000004</v>
      </c>
      <c r="M71" s="370">
        <f>SUM(L71-L70)/L70</f>
        <v>-0.19502375039183872</v>
      </c>
      <c r="N71" s="361">
        <f>L71/20</f>
        <v>37618.597099999999</v>
      </c>
      <c r="O71" s="362">
        <f t="shared" si="15"/>
        <v>-0.15477493791143071</v>
      </c>
      <c r="P71" s="372"/>
      <c r="Q71" s="369">
        <v>2607843.6184299998</v>
      </c>
    </row>
    <row r="72" spans="1:17">
      <c r="A72" s="33">
        <v>37073</v>
      </c>
      <c r="B72" s="21">
        <v>28487</v>
      </c>
      <c r="C72" s="145">
        <f t="shared" si="16"/>
        <v>0.44655461331437568</v>
      </c>
      <c r="D72" s="513">
        <v>1294.8636363636363</v>
      </c>
      <c r="E72" s="86">
        <f t="shared" si="17"/>
        <v>0.31458237194277794</v>
      </c>
      <c r="F72" s="22">
        <v>1781</v>
      </c>
      <c r="G72" s="142">
        <f t="shared" si="18"/>
        <v>-3.9374325782092774E-2</v>
      </c>
      <c r="H72" s="22">
        <v>1768056.32</v>
      </c>
      <c r="I72" s="476">
        <v>0.27261227673532157</v>
      </c>
      <c r="K72" s="33">
        <v>37073</v>
      </c>
      <c r="L72" s="117">
        <v>1834002.906</v>
      </c>
      <c r="M72" s="370">
        <f t="shared" ref="M72:M96" si="19">SUM(L72-L71)/L71</f>
        <v>1.4376279917147678</v>
      </c>
      <c r="N72" s="361">
        <f>L72/20</f>
        <v>91700.145300000004</v>
      </c>
      <c r="O72" s="362">
        <f t="shared" si="15"/>
        <v>1.4376279917147683</v>
      </c>
      <c r="P72" s="372"/>
      <c r="Q72" s="369">
        <v>6485607.8426599996</v>
      </c>
    </row>
    <row r="73" spans="1:17">
      <c r="A73" s="33">
        <v>37104</v>
      </c>
      <c r="B73" s="22">
        <v>21717</v>
      </c>
      <c r="C73" s="145">
        <f t="shared" si="16"/>
        <v>-0.23765226243549689</v>
      </c>
      <c r="D73" s="20">
        <v>987.13636363636363</v>
      </c>
      <c r="E73" s="86">
        <f t="shared" si="17"/>
        <v>-0.23765226243549684</v>
      </c>
      <c r="F73" s="22">
        <v>1741</v>
      </c>
      <c r="G73" s="142">
        <f t="shared" si="18"/>
        <v>-2.2459292532285232E-2</v>
      </c>
      <c r="H73" s="22">
        <v>1462661.01</v>
      </c>
      <c r="I73" s="86">
        <v>0.3049</v>
      </c>
      <c r="K73" s="33">
        <v>37104</v>
      </c>
      <c r="L73" s="22">
        <v>1421483.3729999999</v>
      </c>
      <c r="M73" s="370">
        <f t="shared" si="19"/>
        <v>-0.22492850564763503</v>
      </c>
      <c r="N73" s="361">
        <f>L73/22</f>
        <v>64612.880590909088</v>
      </c>
      <c r="O73" s="362">
        <f t="shared" si="15"/>
        <v>-0.29538955058875915</v>
      </c>
      <c r="P73" s="507"/>
      <c r="Q73" s="369">
        <v>4797538.9752399996</v>
      </c>
    </row>
    <row r="74" spans="1:17">
      <c r="A74" s="33">
        <v>37135</v>
      </c>
      <c r="B74" s="22">
        <v>28940</v>
      </c>
      <c r="C74" s="145">
        <f t="shared" si="16"/>
        <v>0.33259658332182163</v>
      </c>
      <c r="D74" s="20">
        <v>1523.1578947368421</v>
      </c>
      <c r="E74" s="86">
        <f t="shared" si="17"/>
        <v>0.54300657016210918</v>
      </c>
      <c r="F74" s="22">
        <v>1871</v>
      </c>
      <c r="G74" s="142">
        <f t="shared" si="18"/>
        <v>7.4669730040206772E-2</v>
      </c>
      <c r="H74" s="22">
        <v>1847550.05</v>
      </c>
      <c r="I74" s="86">
        <v>0.32850000000000001</v>
      </c>
      <c r="K74" s="33">
        <v>37135</v>
      </c>
      <c r="L74" s="22">
        <v>1397913.433</v>
      </c>
      <c r="M74" s="370">
        <f t="shared" si="19"/>
        <v>-1.6581228066182906E-2</v>
      </c>
      <c r="N74" s="361">
        <f>L74/19</f>
        <v>73574.391210526315</v>
      </c>
      <c r="O74" s="362">
        <f t="shared" si="15"/>
        <v>0.13869542013389347</v>
      </c>
      <c r="P74" s="507"/>
      <c r="Q74" s="369">
        <v>5624442.1319300001</v>
      </c>
    </row>
    <row r="75" spans="1:17">
      <c r="A75" s="33">
        <v>37165</v>
      </c>
      <c r="B75" s="22">
        <v>19939</v>
      </c>
      <c r="C75" s="145">
        <f t="shared" si="16"/>
        <v>-0.31102280580511404</v>
      </c>
      <c r="D75" s="20">
        <v>866.91304347826087</v>
      </c>
      <c r="E75" s="86">
        <f t="shared" si="17"/>
        <v>-0.43084492653465939</v>
      </c>
      <c r="F75" s="22">
        <v>1831</v>
      </c>
      <c r="G75" s="142">
        <f t="shared" si="18"/>
        <v>-2.1378941742383754E-2</v>
      </c>
      <c r="H75" s="22">
        <v>1215557.6000000001</v>
      </c>
      <c r="I75" s="86">
        <v>0.38175701862080463</v>
      </c>
      <c r="K75" s="33">
        <v>37165</v>
      </c>
      <c r="L75" s="22">
        <v>803484.58499999996</v>
      </c>
      <c r="M75" s="370">
        <f t="shared" si="19"/>
        <v>-0.42522579293363155</v>
      </c>
      <c r="N75" s="361">
        <f>L75/19</f>
        <v>42288.66236842105</v>
      </c>
      <c r="O75" s="362">
        <f t="shared" ref="O75:O89" si="20">SUM(N75-N74)/N74</f>
        <v>-0.42522579293363155</v>
      </c>
      <c r="P75" s="507"/>
      <c r="Q75" s="369">
        <v>3184113.2990600001</v>
      </c>
    </row>
    <row r="76" spans="1:17">
      <c r="A76" s="33">
        <v>37196</v>
      </c>
      <c r="B76" s="22">
        <v>23097</v>
      </c>
      <c r="C76" s="145">
        <f>(B76-B75)/B75</f>
        <v>0.15838306835849342</v>
      </c>
      <c r="D76" s="20">
        <v>1154.8499999999999</v>
      </c>
      <c r="E76" s="86">
        <f t="shared" ref="E76:E81" si="21">(D76-D75)/D75</f>
        <v>0.33214052861226728</v>
      </c>
      <c r="F76" s="22">
        <v>2552</v>
      </c>
      <c r="G76" s="142">
        <f t="shared" ref="G76:G81" si="22">(F76-F75)/F75</f>
        <v>0.39377389404696889</v>
      </c>
      <c r="H76" s="22">
        <v>1461088.98</v>
      </c>
      <c r="I76" s="86">
        <v>0.42232625087148734</v>
      </c>
      <c r="K76" s="33">
        <v>37196</v>
      </c>
      <c r="L76" s="22">
        <v>1119952.0460000001</v>
      </c>
      <c r="M76" s="370">
        <f t="shared" si="19"/>
        <v>0.39386873987134446</v>
      </c>
      <c r="N76" s="361">
        <f>L76/20</f>
        <v>55997.602300000006</v>
      </c>
      <c r="O76" s="362">
        <f t="shared" si="20"/>
        <v>0.32417530287777729</v>
      </c>
      <c r="P76" s="507"/>
      <c r="Q76" s="369">
        <v>3459621.5058499998</v>
      </c>
    </row>
    <row r="77" spans="1:17">
      <c r="A77" s="33">
        <v>37226</v>
      </c>
      <c r="B77" s="22">
        <v>17108</v>
      </c>
      <c r="C77" s="145">
        <f>(B77-B76)/B76</f>
        <v>-0.259297744295796</v>
      </c>
      <c r="D77" s="20">
        <v>1006</v>
      </c>
      <c r="E77" s="86">
        <f t="shared" si="21"/>
        <v>-0.12889119799108104</v>
      </c>
      <c r="F77" s="22">
        <v>2164</v>
      </c>
      <c r="G77" s="142">
        <f t="shared" si="22"/>
        <v>-0.15203761755485892</v>
      </c>
      <c r="H77" s="22">
        <v>1150411.55</v>
      </c>
      <c r="I77" s="86">
        <v>0.2587995476337866</v>
      </c>
      <c r="K77" s="33">
        <v>37226</v>
      </c>
      <c r="L77" s="22">
        <v>994074.87600000005</v>
      </c>
      <c r="M77" s="370">
        <f t="shared" si="19"/>
        <v>-0.11239514267559991</v>
      </c>
      <c r="N77" s="361">
        <f>L77/17</f>
        <v>58474.992705882352</v>
      </c>
      <c r="O77" s="362">
        <f t="shared" si="20"/>
        <v>4.4241008616941198E-2</v>
      </c>
      <c r="P77" s="507"/>
      <c r="Q77" s="369">
        <v>4445183.7745399997</v>
      </c>
    </row>
    <row r="78" spans="1:17">
      <c r="A78" s="375">
        <v>37257</v>
      </c>
      <c r="B78" s="686">
        <v>20037</v>
      </c>
      <c r="C78" s="145">
        <f t="shared" ref="C78:C89" si="23">(B78-B77)/B77</f>
        <v>0.17120645312134675</v>
      </c>
      <c r="D78" s="687">
        <v>911</v>
      </c>
      <c r="E78" s="125">
        <f t="shared" si="21"/>
        <v>-9.4433399602385684E-2</v>
      </c>
      <c r="F78" s="686">
        <v>2490</v>
      </c>
      <c r="G78" s="688">
        <f t="shared" si="22"/>
        <v>0.15064695009242143</v>
      </c>
      <c r="H78" s="686">
        <v>1462811.7109999999</v>
      </c>
      <c r="I78" s="125">
        <v>0.26903054379168867</v>
      </c>
      <c r="J78" s="46"/>
      <c r="K78" s="375">
        <v>37257</v>
      </c>
      <c r="L78" s="686">
        <v>1344614.004</v>
      </c>
      <c r="M78" s="377">
        <f t="shared" si="19"/>
        <v>0.35262849556213904</v>
      </c>
      <c r="N78" s="689">
        <f>L78/22</f>
        <v>61118.818363636361</v>
      </c>
      <c r="O78" s="378">
        <f t="shared" si="20"/>
        <v>4.5212928388925655E-2</v>
      </c>
      <c r="P78" s="690"/>
      <c r="Q78" s="376">
        <v>5437344.3638899997</v>
      </c>
    </row>
    <row r="79" spans="1:17">
      <c r="A79" s="375">
        <v>37288</v>
      </c>
      <c r="B79" s="686">
        <v>16320</v>
      </c>
      <c r="C79" s="145">
        <f t="shared" si="23"/>
        <v>-0.18550681239706543</v>
      </c>
      <c r="D79" s="687">
        <v>1020</v>
      </c>
      <c r="E79" s="125">
        <f t="shared" si="21"/>
        <v>0.11964873765093303</v>
      </c>
      <c r="F79" s="686">
        <v>2696</v>
      </c>
      <c r="G79" s="688">
        <f t="shared" si="22"/>
        <v>8.2730923694779121E-2</v>
      </c>
      <c r="H79" s="686">
        <v>1178123.67</v>
      </c>
      <c r="I79" s="125">
        <v>0.22983381622573013</v>
      </c>
      <c r="J79" s="870"/>
      <c r="K79" s="375">
        <v>37288</v>
      </c>
      <c r="L79" s="686">
        <v>1067203.558</v>
      </c>
      <c r="M79" s="377">
        <f t="shared" si="19"/>
        <v>-0.20631232842641137</v>
      </c>
      <c r="N79" s="689">
        <f>L79/16</f>
        <v>66700.222374999998</v>
      </c>
      <c r="O79" s="378">
        <f t="shared" si="20"/>
        <v>9.132054841368438E-2</v>
      </c>
      <c r="P79" s="690"/>
      <c r="Q79" s="376">
        <v>5125980.5425800001</v>
      </c>
    </row>
    <row r="80" spans="1:17">
      <c r="A80" s="375">
        <v>37316</v>
      </c>
      <c r="B80" s="686">
        <v>20429</v>
      </c>
      <c r="C80" s="145">
        <f t="shared" si="23"/>
        <v>0.25177696078431372</v>
      </c>
      <c r="D80" s="687">
        <v>1021</v>
      </c>
      <c r="E80" s="125">
        <f t="shared" si="21"/>
        <v>9.8039215686274508E-4</v>
      </c>
      <c r="F80" s="686">
        <v>2633</v>
      </c>
      <c r="G80" s="688">
        <f t="shared" si="22"/>
        <v>-2.3367952522255191E-2</v>
      </c>
      <c r="H80" s="686">
        <v>1538686.5</v>
      </c>
      <c r="I80" s="125">
        <v>0.21958008413126953</v>
      </c>
      <c r="J80" s="870"/>
      <c r="K80" s="375">
        <v>37316</v>
      </c>
      <c r="L80" s="686">
        <v>1378710.7590000001</v>
      </c>
      <c r="M80" s="377">
        <f t="shared" si="19"/>
        <v>0.29189108175743184</v>
      </c>
      <c r="N80" s="689">
        <f>L80/20</f>
        <v>68935.537949999998</v>
      </c>
      <c r="O80" s="378">
        <f t="shared" si="20"/>
        <v>3.3512865405945363E-2</v>
      </c>
      <c r="P80" s="690"/>
      <c r="Q80" s="376">
        <v>7007404.6382099995</v>
      </c>
    </row>
    <row r="81" spans="1:17">
      <c r="A81" s="375">
        <v>37347</v>
      </c>
      <c r="B81" s="686">
        <v>22848</v>
      </c>
      <c r="C81" s="145">
        <f t="shared" si="23"/>
        <v>0.11841010328454647</v>
      </c>
      <c r="D81" s="687">
        <v>1088</v>
      </c>
      <c r="E81" s="125">
        <f t="shared" si="21"/>
        <v>6.5621939275220378E-2</v>
      </c>
      <c r="F81" s="686">
        <v>2636</v>
      </c>
      <c r="G81" s="688">
        <f t="shared" si="22"/>
        <v>1.1393847322445879E-3</v>
      </c>
      <c r="H81" s="686">
        <v>1801200.66</v>
      </c>
      <c r="I81" s="125">
        <v>0.19019002164094986</v>
      </c>
      <c r="J81" s="870"/>
      <c r="K81" s="375">
        <v>37347</v>
      </c>
      <c r="L81" s="686">
        <v>2202950.5430000001</v>
      </c>
      <c r="M81" s="377">
        <f t="shared" si="19"/>
        <v>0.59783372155435532</v>
      </c>
      <c r="N81" s="689">
        <f>L81/21</f>
        <v>104902.40680952382</v>
      </c>
      <c r="O81" s="378">
        <f t="shared" si="20"/>
        <v>0.52174640148033868</v>
      </c>
      <c r="P81" s="690"/>
      <c r="Q81" s="376">
        <v>9470531.8631299995</v>
      </c>
    </row>
    <row r="82" spans="1:17">
      <c r="A82" s="375">
        <v>37377</v>
      </c>
      <c r="B82" s="686">
        <v>18316</v>
      </c>
      <c r="C82" s="145">
        <f t="shared" si="23"/>
        <v>-0.19835434173669467</v>
      </c>
      <c r="D82" s="687">
        <v>872</v>
      </c>
      <c r="E82" s="125">
        <f t="shared" ref="E82:E88" si="24">(D82-D81)/D81</f>
        <v>-0.19852941176470587</v>
      </c>
      <c r="F82" s="686">
        <v>2172</v>
      </c>
      <c r="G82" s="688">
        <f>(F82-F81)/F81</f>
        <v>-0.17602427921092564</v>
      </c>
      <c r="H82" s="686">
        <v>1433668.72</v>
      </c>
      <c r="I82" s="125">
        <v>0.25829552542249784</v>
      </c>
      <c r="J82" s="870"/>
      <c r="K82" s="375">
        <v>37377</v>
      </c>
      <c r="L82" s="686">
        <v>1117400.946</v>
      </c>
      <c r="M82" s="377">
        <f t="shared" si="19"/>
        <v>-0.49277075259333231</v>
      </c>
      <c r="N82" s="689">
        <f>L82/21</f>
        <v>53209.568857142855</v>
      </c>
      <c r="O82" s="378">
        <f t="shared" si="20"/>
        <v>-0.49277075259333236</v>
      </c>
      <c r="P82" s="690"/>
      <c r="Q82" s="376">
        <v>5550497.7008600002</v>
      </c>
    </row>
    <row r="83" spans="1:17">
      <c r="A83" s="375">
        <v>37408</v>
      </c>
      <c r="B83" s="686">
        <v>19155</v>
      </c>
      <c r="C83" s="145">
        <f t="shared" si="23"/>
        <v>4.5806944747761522E-2</v>
      </c>
      <c r="D83" s="687">
        <v>958</v>
      </c>
      <c r="E83" s="125">
        <f t="shared" si="24"/>
        <v>9.862385321100918E-2</v>
      </c>
      <c r="F83" s="686">
        <v>2563</v>
      </c>
      <c r="G83" s="688">
        <f>(F83-F82)/F82</f>
        <v>0.18001841620626152</v>
      </c>
      <c r="H83" s="686">
        <v>1398535.37</v>
      </c>
      <c r="I83" s="125">
        <v>0.26461831459520058</v>
      </c>
      <c r="J83" s="870"/>
      <c r="K83" s="375">
        <v>37408</v>
      </c>
      <c r="L83" s="686">
        <v>982479.24399999995</v>
      </c>
      <c r="M83" s="377">
        <f t="shared" si="19"/>
        <v>-0.12074600659949687</v>
      </c>
      <c r="N83" s="689">
        <f>L83/20</f>
        <v>49123.962199999994</v>
      </c>
      <c r="O83" s="378">
        <f t="shared" si="20"/>
        <v>-7.6783306929471731E-2</v>
      </c>
      <c r="P83" s="690"/>
      <c r="Q83" s="376">
        <v>5285104.2156300005</v>
      </c>
    </row>
    <row r="84" spans="1:17">
      <c r="A84" s="375">
        <v>37438</v>
      </c>
      <c r="B84" s="686">
        <v>24752</v>
      </c>
      <c r="C84" s="145">
        <f t="shared" si="23"/>
        <v>0.29219524928217178</v>
      </c>
      <c r="D84" s="687">
        <v>1076</v>
      </c>
      <c r="E84" s="125">
        <f t="shared" si="24"/>
        <v>0.12317327766179541</v>
      </c>
      <c r="F84" s="686">
        <v>2286</v>
      </c>
      <c r="G84" s="688">
        <f t="shared" ref="G84:G89" si="25">(F84-F83)/F83</f>
        <v>-0.10807647288333984</v>
      </c>
      <c r="H84" s="686">
        <v>1814321.17</v>
      </c>
      <c r="I84" s="125">
        <v>0.45353358819161099</v>
      </c>
      <c r="J84" s="870"/>
      <c r="K84" s="375">
        <v>37438</v>
      </c>
      <c r="L84" s="686">
        <v>825383.90899999999</v>
      </c>
      <c r="M84" s="377">
        <f t="shared" si="19"/>
        <v>-0.15989684867072873</v>
      </c>
      <c r="N84" s="689">
        <f>L84/23</f>
        <v>35886.256913043479</v>
      </c>
      <c r="O84" s="378">
        <f t="shared" si="20"/>
        <v>-0.26947552058324231</v>
      </c>
      <c r="P84" s="690"/>
      <c r="Q84" s="376">
        <v>4000411.9148800001</v>
      </c>
    </row>
    <row r="85" spans="1:17">
      <c r="A85" s="375">
        <v>37469</v>
      </c>
      <c r="B85" s="686">
        <v>16817</v>
      </c>
      <c r="C85" s="145">
        <f t="shared" si="23"/>
        <v>-0.3205801551389787</v>
      </c>
      <c r="D85" s="687">
        <v>764</v>
      </c>
      <c r="E85" s="125">
        <f t="shared" si="24"/>
        <v>-0.2899628252788104</v>
      </c>
      <c r="F85" s="686">
        <v>2939</v>
      </c>
      <c r="G85" s="688">
        <f t="shared" si="25"/>
        <v>0.28565179352580927</v>
      </c>
      <c r="H85" s="686">
        <v>1230126.43</v>
      </c>
      <c r="I85" s="125">
        <v>0.33944311057018833</v>
      </c>
      <c r="J85" s="870"/>
      <c r="K85" s="375">
        <v>37469</v>
      </c>
      <c r="L85" s="686">
        <v>763571.897</v>
      </c>
      <c r="M85" s="377">
        <f t="shared" si="19"/>
        <v>-7.4888801836334312E-2</v>
      </c>
      <c r="N85" s="689">
        <f>L85/22</f>
        <v>34707.813499999997</v>
      </c>
      <c r="O85" s="378">
        <f t="shared" si="20"/>
        <v>-3.2838292828895076E-2</v>
      </c>
      <c r="P85" s="690"/>
      <c r="Q85" s="376">
        <v>3623754.6236</v>
      </c>
    </row>
    <row r="86" spans="1:17">
      <c r="A86" s="375">
        <v>37500</v>
      </c>
      <c r="B86" s="686">
        <v>24506</v>
      </c>
      <c r="C86" s="145">
        <f t="shared" si="23"/>
        <v>0.45721591246952487</v>
      </c>
      <c r="D86" s="687">
        <v>1167</v>
      </c>
      <c r="E86" s="125">
        <f t="shared" si="24"/>
        <v>0.52748691099476441</v>
      </c>
      <c r="F86" s="686">
        <v>2431</v>
      </c>
      <c r="G86" s="688">
        <f t="shared" si="25"/>
        <v>-0.17284790745151413</v>
      </c>
      <c r="H86" s="686">
        <v>1632764.41</v>
      </c>
      <c r="I86" s="125">
        <v>0.46504173235945945</v>
      </c>
      <c r="J86" s="870"/>
      <c r="K86" s="375">
        <v>37500</v>
      </c>
      <c r="L86" s="686">
        <v>826785.25300000003</v>
      </c>
      <c r="M86" s="377">
        <f t="shared" si="19"/>
        <v>8.2786383637689101E-2</v>
      </c>
      <c r="N86" s="689">
        <f>L86/21</f>
        <v>39370.726333333332</v>
      </c>
      <c r="O86" s="378">
        <f t="shared" si="20"/>
        <v>0.13434764000138863</v>
      </c>
      <c r="P86" s="690"/>
      <c r="Q86" s="376">
        <v>3511006.20952</v>
      </c>
    </row>
    <row r="87" spans="1:17">
      <c r="A87" s="375">
        <v>37530</v>
      </c>
      <c r="B87" s="686">
        <v>24779</v>
      </c>
      <c r="C87" s="145">
        <f t="shared" si="23"/>
        <v>1.1140128948012732E-2</v>
      </c>
      <c r="D87" s="687">
        <v>1077</v>
      </c>
      <c r="E87" s="125">
        <f t="shared" si="24"/>
        <v>-7.7120822622107968E-2</v>
      </c>
      <c r="F87" s="686">
        <v>2623</v>
      </c>
      <c r="G87" s="688">
        <f t="shared" si="25"/>
        <v>7.8979843685726039E-2</v>
      </c>
      <c r="H87" s="686">
        <v>1592941.82</v>
      </c>
      <c r="I87" s="125">
        <v>0.52608664972845809</v>
      </c>
      <c r="J87" s="1033"/>
      <c r="K87" s="375">
        <v>37530</v>
      </c>
      <c r="L87" s="686">
        <v>815630.63800000004</v>
      </c>
      <c r="M87" s="377">
        <f t="shared" si="19"/>
        <v>-1.3491550507855986E-2</v>
      </c>
      <c r="N87" s="689">
        <f>L87/23</f>
        <v>35462.201652173913</v>
      </c>
      <c r="O87" s="378">
        <f t="shared" si="20"/>
        <v>-9.9274893941955447E-2</v>
      </c>
      <c r="P87" s="690"/>
      <c r="Q87" s="376">
        <v>3027907.7045999998</v>
      </c>
    </row>
    <row r="88" spans="1:17">
      <c r="A88" s="375">
        <v>37561</v>
      </c>
      <c r="B88" s="686">
        <v>15373</v>
      </c>
      <c r="C88" s="145">
        <f t="shared" si="23"/>
        <v>-0.37959562532789864</v>
      </c>
      <c r="D88" s="687">
        <v>769</v>
      </c>
      <c r="E88" s="125">
        <f t="shared" si="24"/>
        <v>-0.28597957288765086</v>
      </c>
      <c r="F88" s="686">
        <v>2112</v>
      </c>
      <c r="G88" s="688">
        <f t="shared" si="25"/>
        <v>-0.19481509721692719</v>
      </c>
      <c r="H88" s="686">
        <v>985958.27</v>
      </c>
      <c r="I88" s="125">
        <v>0.3330401591165959</v>
      </c>
      <c r="J88" s="1033"/>
      <c r="K88" s="375">
        <v>37561</v>
      </c>
      <c r="L88" s="686">
        <v>755431.51199999999</v>
      </c>
      <c r="M88" s="377">
        <f t="shared" si="19"/>
        <v>-7.3806847358767372E-2</v>
      </c>
      <c r="N88" s="689">
        <f>L88/20</f>
        <v>37771.575599999996</v>
      </c>
      <c r="O88" s="378">
        <f t="shared" si="20"/>
        <v>6.5122125537417475E-2</v>
      </c>
      <c r="P88" s="690"/>
      <c r="Q88" s="376">
        <v>2960478.6181299998</v>
      </c>
    </row>
    <row r="89" spans="1:17">
      <c r="A89" s="375">
        <v>37591</v>
      </c>
      <c r="B89" s="686">
        <v>10531</v>
      </c>
      <c r="C89" s="399">
        <f t="shared" si="23"/>
        <v>-0.31496780068952057</v>
      </c>
      <c r="D89" s="687">
        <v>554</v>
      </c>
      <c r="E89" s="125">
        <f t="shared" ref="E89:E94" si="26">(D89-D88)/D88</f>
        <v>-0.27958387516254879</v>
      </c>
      <c r="F89" s="686">
        <v>1485</v>
      </c>
      <c r="G89" s="688">
        <f t="shared" si="25"/>
        <v>-0.296875</v>
      </c>
      <c r="H89" s="686">
        <v>671718.53</v>
      </c>
      <c r="I89" s="125">
        <v>0.24247014335769443</v>
      </c>
      <c r="J89" s="1033"/>
      <c r="K89" s="375">
        <v>37591</v>
      </c>
      <c r="L89" s="686">
        <v>664928.32299999997</v>
      </c>
      <c r="M89" s="377">
        <f t="shared" si="19"/>
        <v>-0.11980330124221772</v>
      </c>
      <c r="N89" s="689">
        <f>L89/20</f>
        <v>33246.416149999997</v>
      </c>
      <c r="O89" s="378">
        <f t="shared" si="20"/>
        <v>-0.11980330124221769</v>
      </c>
      <c r="P89" s="690"/>
      <c r="Q89" s="376">
        <v>2770314.40118</v>
      </c>
    </row>
    <row r="90" spans="1:17">
      <c r="A90" s="375">
        <v>37622</v>
      </c>
      <c r="B90" s="686">
        <v>19633</v>
      </c>
      <c r="C90" s="399">
        <f t="shared" ref="C90:C95" si="27">(B90-B89)/B89</f>
        <v>0.86430538410407365</v>
      </c>
      <c r="D90" s="687">
        <v>935</v>
      </c>
      <c r="E90" s="125">
        <f t="shared" si="26"/>
        <v>0.68772563176895307</v>
      </c>
      <c r="F90" s="686">
        <v>2066</v>
      </c>
      <c r="G90" s="688">
        <f t="shared" ref="G90:G95" si="28">(F90-F89)/F89</f>
        <v>0.39124579124579123</v>
      </c>
      <c r="H90" s="686">
        <v>1305398.05</v>
      </c>
      <c r="I90" s="125">
        <v>0.282435756909036</v>
      </c>
      <c r="J90" s="1033"/>
      <c r="K90" s="375">
        <v>37622</v>
      </c>
      <c r="L90" s="686">
        <v>1278166.848</v>
      </c>
      <c r="M90" s="377">
        <f t="shared" si="19"/>
        <v>0.9222626015285561</v>
      </c>
      <c r="N90" s="689">
        <f>L90/21</f>
        <v>60865.088000000003</v>
      </c>
      <c r="O90" s="378">
        <f t="shared" ref="O90:O96" si="29">SUM(N90-N89)/N89</f>
        <v>0.83072628717005359</v>
      </c>
      <c r="P90" s="690"/>
      <c r="Q90" s="376">
        <v>4621929.1221700003</v>
      </c>
    </row>
    <row r="91" spans="1:17">
      <c r="A91" s="375">
        <v>37653</v>
      </c>
      <c r="B91" s="686">
        <v>12296</v>
      </c>
      <c r="C91" s="399">
        <f t="shared" si="27"/>
        <v>-0.37370753323485967</v>
      </c>
      <c r="D91" s="687">
        <v>723</v>
      </c>
      <c r="E91" s="125">
        <f t="shared" si="26"/>
        <v>-0.22673796791443851</v>
      </c>
      <c r="F91" s="686">
        <v>1659</v>
      </c>
      <c r="G91" s="688">
        <f t="shared" si="28"/>
        <v>-0.19699903194578897</v>
      </c>
      <c r="H91" s="686">
        <v>798062.82</v>
      </c>
      <c r="I91" s="125">
        <v>0.2886094855807671</v>
      </c>
      <c r="J91" s="1033"/>
      <c r="K91" s="375">
        <v>37653</v>
      </c>
      <c r="L91" s="686">
        <v>652109.96600000001</v>
      </c>
      <c r="M91" s="377">
        <f t="shared" si="19"/>
        <v>-0.48980841818860882</v>
      </c>
      <c r="N91" s="689">
        <f>L91/17</f>
        <v>38359.409764705881</v>
      </c>
      <c r="O91" s="378">
        <f t="shared" si="29"/>
        <v>-0.36976334011534034</v>
      </c>
      <c r="P91" s="690"/>
      <c r="Q91" s="376">
        <v>2765199.5512000001</v>
      </c>
    </row>
    <row r="92" spans="1:17">
      <c r="A92" s="375">
        <v>37681</v>
      </c>
      <c r="B92" s="686">
        <v>14720</v>
      </c>
      <c r="C92" s="399">
        <f t="shared" si="27"/>
        <v>0.19713728041639558</v>
      </c>
      <c r="D92" s="687">
        <v>715</v>
      </c>
      <c r="E92" s="125">
        <f t="shared" si="26"/>
        <v>-1.1065006915629323E-2</v>
      </c>
      <c r="F92" s="686">
        <v>1774</v>
      </c>
      <c r="G92" s="688">
        <f t="shared" si="28"/>
        <v>6.9318866787221212E-2</v>
      </c>
      <c r="H92" s="686">
        <v>913732.01</v>
      </c>
      <c r="I92" s="125">
        <v>0.23604327518818874</v>
      </c>
      <c r="J92" s="1033"/>
      <c r="K92" s="375">
        <v>37681</v>
      </c>
      <c r="L92" s="686">
        <v>922076.11899999995</v>
      </c>
      <c r="M92" s="377">
        <f t="shared" si="19"/>
        <v>0.41398869374126379</v>
      </c>
      <c r="N92" s="689">
        <f>L92/20</f>
        <v>46103.805949999994</v>
      </c>
      <c r="O92" s="378">
        <f t="shared" si="29"/>
        <v>0.20189038968007419</v>
      </c>
      <c r="P92" s="690"/>
      <c r="Q92" s="376">
        <v>3871035.9753800002</v>
      </c>
    </row>
    <row r="93" spans="1:17">
      <c r="A93" s="375">
        <v>37712</v>
      </c>
      <c r="B93" s="686">
        <v>14493</v>
      </c>
      <c r="C93" s="399">
        <f t="shared" si="27"/>
        <v>-1.5421195652173912E-2</v>
      </c>
      <c r="D93" s="687">
        <v>586</v>
      </c>
      <c r="E93" s="125">
        <f t="shared" si="26"/>
        <v>-0.18041958041958042</v>
      </c>
      <c r="F93" s="686">
        <v>1567</v>
      </c>
      <c r="G93" s="688">
        <f t="shared" si="28"/>
        <v>-0.11668545659526494</v>
      </c>
      <c r="H93" s="686">
        <v>910497.67</v>
      </c>
      <c r="I93" s="125">
        <v>0.26071781109336373</v>
      </c>
      <c r="J93" s="1033"/>
      <c r="K93" s="375">
        <v>37712</v>
      </c>
      <c r="L93" s="686">
        <v>805233.53</v>
      </c>
      <c r="M93" s="377">
        <f t="shared" si="19"/>
        <v>-0.12671685839420371</v>
      </c>
      <c r="N93" s="689">
        <f>L93/22</f>
        <v>36601.524090909094</v>
      </c>
      <c r="O93" s="378">
        <f t="shared" si="29"/>
        <v>-0.20610623490382146</v>
      </c>
      <c r="P93" s="690"/>
      <c r="Q93" s="376">
        <v>3492272.6076199999</v>
      </c>
    </row>
    <row r="94" spans="1:17">
      <c r="A94" s="375">
        <v>37742</v>
      </c>
      <c r="B94" s="686">
        <v>14521</v>
      </c>
      <c r="C94" s="399">
        <f t="shared" si="27"/>
        <v>1.9319671565583385E-3</v>
      </c>
      <c r="D94" s="687">
        <v>764</v>
      </c>
      <c r="E94" s="125">
        <f t="shared" si="26"/>
        <v>0.30375426621160412</v>
      </c>
      <c r="F94" s="686">
        <v>2489</v>
      </c>
      <c r="G94" s="688">
        <f t="shared" si="28"/>
        <v>0.58838544990427566</v>
      </c>
      <c r="H94" s="686">
        <v>951214.05</v>
      </c>
      <c r="I94" s="125">
        <v>0.24240035582422631</v>
      </c>
      <c r="J94" s="1033"/>
      <c r="K94" s="375">
        <v>37742</v>
      </c>
      <c r="L94" s="686">
        <v>1028611.028</v>
      </c>
      <c r="M94" s="377">
        <f t="shared" si="19"/>
        <v>0.27740709952800902</v>
      </c>
      <c r="N94" s="689">
        <f>L94/19</f>
        <v>54137.422526315793</v>
      </c>
      <c r="O94" s="378">
        <f t="shared" si="29"/>
        <v>0.47910295734822089</v>
      </c>
      <c r="P94" s="690"/>
      <c r="Q94" s="376">
        <v>1028611.028</v>
      </c>
    </row>
    <row r="95" spans="1:17">
      <c r="A95" s="375">
        <v>37773</v>
      </c>
      <c r="B95" s="686">
        <v>21750</v>
      </c>
      <c r="C95" s="399">
        <f t="shared" si="27"/>
        <v>0.4978307279113009</v>
      </c>
      <c r="D95" s="687">
        <v>1036</v>
      </c>
      <c r="E95" s="125">
        <f t="shared" ref="E95:E100" si="30">(D95-D94)/D94</f>
        <v>0.35602094240837695</v>
      </c>
      <c r="F95" s="686">
        <v>3736</v>
      </c>
      <c r="G95" s="688">
        <f t="shared" si="28"/>
        <v>0.50100441944556051</v>
      </c>
      <c r="H95" s="686">
        <v>1500481.82</v>
      </c>
      <c r="I95" s="125">
        <v>0.27196342133226864</v>
      </c>
      <c r="J95" s="1033"/>
      <c r="K95" s="375">
        <v>37773</v>
      </c>
      <c r="L95" s="686">
        <v>1552129.7660000001</v>
      </c>
      <c r="M95" s="377">
        <f t="shared" si="19"/>
        <v>0.50895695627327064</v>
      </c>
      <c r="N95" s="689">
        <f>L95/21</f>
        <v>73910.941238095242</v>
      </c>
      <c r="O95" s="378">
        <f t="shared" si="29"/>
        <v>0.3652467699615306</v>
      </c>
      <c r="P95" s="690"/>
      <c r="Q95" s="376">
        <v>5517219.2372399997</v>
      </c>
    </row>
    <row r="96" spans="1:17">
      <c r="A96" s="375">
        <v>37803</v>
      </c>
      <c r="B96" s="686">
        <v>29007</v>
      </c>
      <c r="C96" s="399">
        <f t="shared" ref="C96:C101" si="31">(B96-B95)/B95</f>
        <v>0.33365517241379311</v>
      </c>
      <c r="D96" s="687">
        <v>1261</v>
      </c>
      <c r="E96" s="125">
        <f t="shared" si="30"/>
        <v>0.21718146718146719</v>
      </c>
      <c r="F96" s="686">
        <v>4001</v>
      </c>
      <c r="G96" s="688">
        <f t="shared" ref="G96:G101" si="32">(F96-F95)/F95</f>
        <v>7.0931477516059951E-2</v>
      </c>
      <c r="H96" s="686">
        <v>2031145.12</v>
      </c>
      <c r="I96" s="125">
        <v>0.24043249497522123</v>
      </c>
      <c r="J96" s="1033"/>
      <c r="K96" s="375">
        <v>37803</v>
      </c>
      <c r="L96" s="686">
        <v>2320146.1179999998</v>
      </c>
      <c r="M96" s="377">
        <f t="shared" si="19"/>
        <v>0.49481452441908758</v>
      </c>
      <c r="N96" s="689">
        <f>L96/23</f>
        <v>100875.91817391303</v>
      </c>
      <c r="O96" s="378">
        <f t="shared" si="29"/>
        <v>0.36483065273047116</v>
      </c>
      <c r="P96" s="690"/>
      <c r="Q96" s="376">
        <v>8447881.0578799993</v>
      </c>
    </row>
    <row r="97" spans="1:17">
      <c r="A97" s="375">
        <v>37834</v>
      </c>
      <c r="B97" s="686">
        <v>21560</v>
      </c>
      <c r="C97" s="399">
        <f t="shared" si="31"/>
        <v>-0.25673113386423968</v>
      </c>
      <c r="D97" s="687">
        <v>1027</v>
      </c>
      <c r="E97" s="125">
        <f t="shared" si="30"/>
        <v>-0.18556701030927836</v>
      </c>
      <c r="F97" s="686">
        <v>2774</v>
      </c>
      <c r="G97" s="688">
        <f t="shared" si="32"/>
        <v>-0.30667333166708322</v>
      </c>
      <c r="H97" s="686">
        <v>1575547.42</v>
      </c>
      <c r="I97" s="125">
        <v>0.26212612866301466</v>
      </c>
      <c r="J97" s="1033"/>
      <c r="K97" s="375">
        <v>37834</v>
      </c>
      <c r="L97" s="686">
        <v>1521323.1610000001</v>
      </c>
      <c r="M97" s="377">
        <f>SUM(L97-L96)/L96</f>
        <v>-0.34429855551020078</v>
      </c>
      <c r="N97" s="689">
        <f>L97/21</f>
        <v>72443.960047619054</v>
      </c>
      <c r="O97" s="378">
        <f>SUM(N97-N96)/N96</f>
        <v>-0.28185079889212455</v>
      </c>
      <c r="P97" s="690"/>
      <c r="Q97" s="376">
        <v>6010646.2031699996</v>
      </c>
    </row>
    <row r="98" spans="1:17">
      <c r="A98" s="375">
        <v>37865</v>
      </c>
      <c r="B98" s="686">
        <v>29605</v>
      </c>
      <c r="C98" s="399">
        <f t="shared" si="31"/>
        <v>0.37314471243042674</v>
      </c>
      <c r="D98" s="687">
        <v>1410</v>
      </c>
      <c r="E98" s="125">
        <f t="shared" si="30"/>
        <v>0.37293086660175268</v>
      </c>
      <c r="F98" s="686">
        <v>5690</v>
      </c>
      <c r="G98" s="688">
        <f t="shared" si="32"/>
        <v>1.0511896178803173</v>
      </c>
      <c r="H98" s="686">
        <v>1448041.65</v>
      </c>
      <c r="I98" s="125">
        <v>0.21879440293416583</v>
      </c>
      <c r="J98" s="1033"/>
      <c r="K98" s="375">
        <v>37865</v>
      </c>
      <c r="L98" s="686">
        <v>1596652.459</v>
      </c>
      <c r="M98" s="377">
        <f>SUM(L98-L97)/L97</f>
        <v>4.9515645282416067E-2</v>
      </c>
      <c r="N98" s="689">
        <f>L98/21</f>
        <v>76031.069476190474</v>
      </c>
      <c r="O98" s="378">
        <f>SUM(N98-N97)/N97</f>
        <v>4.951564528241599E-2</v>
      </c>
      <c r="P98" s="690"/>
      <c r="Q98" s="376">
        <v>6618275.5618099999</v>
      </c>
    </row>
    <row r="99" spans="1:17">
      <c r="A99" s="375">
        <v>37895</v>
      </c>
      <c r="B99" s="686">
        <v>54864</v>
      </c>
      <c r="C99" s="399">
        <f t="shared" si="31"/>
        <v>0.85320047289309242</v>
      </c>
      <c r="D99" s="687">
        <v>2494</v>
      </c>
      <c r="E99" s="125">
        <f t="shared" si="30"/>
        <v>0.76879432624113475</v>
      </c>
      <c r="F99" s="686">
        <v>7602</v>
      </c>
      <c r="G99" s="688">
        <f t="shared" si="32"/>
        <v>0.33602811950790862</v>
      </c>
      <c r="H99" s="686">
        <v>2175830.2999999998</v>
      </c>
      <c r="I99" s="125">
        <v>0.18429726082790832</v>
      </c>
      <c r="J99" s="1033"/>
      <c r="K99" s="375">
        <v>37895</v>
      </c>
      <c r="L99" s="686">
        <v>2805524.7689999999</v>
      </c>
      <c r="M99" s="377">
        <f>SUM(L99-L98)/L98</f>
        <v>0.75712926954506377</v>
      </c>
      <c r="N99" s="689">
        <f>L99/22</f>
        <v>127523.85313636363</v>
      </c>
      <c r="O99" s="378">
        <f>SUM(N99-N98)/N98</f>
        <v>0.67725975729301546</v>
      </c>
      <c r="P99" s="690"/>
      <c r="Q99" s="376">
        <v>11806091.36688</v>
      </c>
    </row>
    <row r="100" spans="1:17">
      <c r="A100" s="375">
        <v>37926</v>
      </c>
      <c r="B100" s="686">
        <v>43550</v>
      </c>
      <c r="C100" s="399">
        <f t="shared" si="31"/>
        <v>-0.20621901428988043</v>
      </c>
      <c r="D100" s="687">
        <v>2562</v>
      </c>
      <c r="E100" s="125">
        <f t="shared" si="30"/>
        <v>2.7265437048917401E-2</v>
      </c>
      <c r="F100" s="686">
        <v>7681</v>
      </c>
      <c r="G100" s="688">
        <f t="shared" si="32"/>
        <v>1.0392002104709287E-2</v>
      </c>
      <c r="H100" s="686">
        <v>1722654.7</v>
      </c>
      <c r="I100" s="125">
        <v>0.31405445100534291</v>
      </c>
      <c r="J100" s="1033"/>
      <c r="K100" s="375">
        <v>37926</v>
      </c>
      <c r="L100" s="686">
        <v>1272647.1629999999</v>
      </c>
      <c r="M100" s="377">
        <f>SUM(L100-L99)/L99</f>
        <v>-0.54637821164073275</v>
      </c>
      <c r="N100" s="689">
        <f>L100/17</f>
        <v>74861.597823529402</v>
      </c>
      <c r="O100" s="378">
        <f>SUM(N100-N99)/N99</f>
        <v>-0.41296003859388952</v>
      </c>
      <c r="P100" s="690"/>
      <c r="Q100" s="376">
        <v>5485210.2700199997</v>
      </c>
    </row>
    <row r="101" spans="1:17" ht="13.5" thickBot="1">
      <c r="A101" s="669">
        <v>37956</v>
      </c>
      <c r="B101" s="664">
        <v>55219</v>
      </c>
      <c r="C101" s="665">
        <f t="shared" si="31"/>
        <v>0.26794489092996554</v>
      </c>
      <c r="D101" s="666">
        <v>2510</v>
      </c>
      <c r="E101" s="667">
        <f>(D101-D100)/D100</f>
        <v>-2.0296643247462921E-2</v>
      </c>
      <c r="F101" s="664">
        <v>8993</v>
      </c>
      <c r="G101" s="668">
        <f t="shared" si="32"/>
        <v>0.17081109230568936</v>
      </c>
      <c r="H101" s="664">
        <v>2176165.8250000002</v>
      </c>
      <c r="I101" s="667">
        <v>0.40293566885450777</v>
      </c>
      <c r="J101" s="1032"/>
      <c r="K101" s="669">
        <v>37956</v>
      </c>
      <c r="L101" s="664">
        <v>1243094.5560000001</v>
      </c>
      <c r="M101" s="670">
        <f>SUM(L101-L100)/L100</f>
        <v>-2.3221367130804537E-2</v>
      </c>
      <c r="N101" s="671">
        <f>L101/22</f>
        <v>56504.298000000003</v>
      </c>
      <c r="O101" s="672">
        <f>SUM(N101-N100)/N100</f>
        <v>-0.24521651096471256</v>
      </c>
      <c r="P101" s="673"/>
      <c r="Q101" s="674">
        <v>5400777.3280199999</v>
      </c>
    </row>
  </sheetData>
  <phoneticPr fontId="6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orientation="landscape" horizontalDpi="4294967292" r:id="rId1"/>
  <headerFooter alignWithMargins="0">
    <oddHeader>&amp;C&amp;"Arial,Bold Italic"Kuala Lumpur Options and Financial Futures Exchange</oddHeader>
    <oddFooter>&amp;C&amp;"Arial,Bold Italic"Research and Development Department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100"/>
  <sheetViews>
    <sheetView topLeftCell="A3" workbookViewId="0">
      <pane ySplit="1020" topLeftCell="A91" activePane="bottomLeft"/>
      <selection activeCell="H5" sqref="H5"/>
      <selection pane="bottomLeft" activeCell="E100" sqref="E100"/>
    </sheetView>
  </sheetViews>
  <sheetFormatPr defaultRowHeight="12.75"/>
  <cols>
    <col min="2" max="2" width="9.85546875" customWidth="1"/>
    <col min="3" max="3" width="13" bestFit="1" customWidth="1"/>
    <col min="4" max="4" width="13.85546875" customWidth="1"/>
    <col min="6" max="6" width="13.5703125" customWidth="1"/>
    <col min="7" max="7" width="13.85546875" customWidth="1"/>
    <col min="8" max="8" width="9.5703125" customWidth="1"/>
    <col min="9" max="9" width="8.7109375" style="463" customWidth="1"/>
    <col min="10" max="10" width="10.42578125" customWidth="1"/>
    <col min="11" max="11" width="9.5703125" style="463" customWidth="1"/>
  </cols>
  <sheetData>
    <row r="2" spans="1:13">
      <c r="B2" s="87" t="s">
        <v>30</v>
      </c>
      <c r="C2" s="88"/>
      <c r="D2" s="88"/>
      <c r="E2" s="89"/>
      <c r="F2" s="87" t="s">
        <v>96</v>
      </c>
      <c r="G2" s="148"/>
      <c r="H2" s="87" t="s">
        <v>115</v>
      </c>
      <c r="I2" s="460"/>
      <c r="J2" s="88"/>
      <c r="K2" s="464"/>
    </row>
    <row r="3" spans="1:13">
      <c r="A3" s="90" t="s">
        <v>61</v>
      </c>
      <c r="B3" s="91" t="s">
        <v>97</v>
      </c>
      <c r="C3" s="92" t="s">
        <v>98</v>
      </c>
      <c r="D3" s="93" t="s">
        <v>99</v>
      </c>
      <c r="E3" s="147" t="s">
        <v>100</v>
      </c>
      <c r="F3" s="91" t="s">
        <v>101</v>
      </c>
      <c r="G3" s="149" t="s">
        <v>43</v>
      </c>
      <c r="H3" s="91"/>
      <c r="I3" s="461" t="s">
        <v>102</v>
      </c>
      <c r="J3" s="400" t="s">
        <v>93</v>
      </c>
      <c r="K3" s="461" t="s">
        <v>103</v>
      </c>
    </row>
    <row r="4" spans="1:13">
      <c r="A4" s="24">
        <v>35034</v>
      </c>
      <c r="B4" s="322"/>
      <c r="C4" s="202">
        <f>66728/1000</f>
        <v>66.727999999999994</v>
      </c>
      <c r="D4" s="322"/>
      <c r="E4" s="323">
        <f>C4/G4</f>
        <v>5.5976249856343162E-3</v>
      </c>
      <c r="F4" s="322"/>
      <c r="G4" s="324">
        <f>11920770/1000</f>
        <v>11920.77</v>
      </c>
      <c r="H4" s="322"/>
      <c r="I4" s="22"/>
      <c r="J4" s="322"/>
      <c r="K4" s="26"/>
    </row>
    <row r="5" spans="1:13">
      <c r="A5" s="24">
        <v>35065</v>
      </c>
      <c r="B5" s="322"/>
      <c r="C5" s="202">
        <f>249121.6/1000</f>
        <v>249.1216</v>
      </c>
      <c r="D5" s="322"/>
      <c r="E5" s="323">
        <f t="shared" ref="E5:E62" si="0">C5/G5</f>
        <v>2.4728427781582841E-2</v>
      </c>
      <c r="F5" s="322"/>
      <c r="G5" s="325">
        <f>10074300/1000</f>
        <v>10074.299999999999</v>
      </c>
      <c r="H5" s="322"/>
      <c r="I5" s="22"/>
      <c r="J5" s="322"/>
      <c r="K5" s="26"/>
    </row>
    <row r="6" spans="1:13">
      <c r="A6" s="24">
        <v>35096</v>
      </c>
      <c r="B6" s="322"/>
      <c r="C6" s="202">
        <f>230304/1000</f>
        <v>230.304</v>
      </c>
      <c r="D6" s="322"/>
      <c r="E6" s="323">
        <f t="shared" si="0"/>
        <v>4.3900374757437008E-2</v>
      </c>
      <c r="F6" s="322"/>
      <c r="G6" s="325">
        <f>5246060/1000</f>
        <v>5246.06</v>
      </c>
      <c r="H6" s="322"/>
      <c r="I6" s="22"/>
      <c r="J6" s="322"/>
      <c r="K6" s="26"/>
    </row>
    <row r="7" spans="1:13">
      <c r="A7" s="24">
        <v>35125</v>
      </c>
      <c r="B7" s="322"/>
      <c r="C7" s="202">
        <f>628756/1000</f>
        <v>628.75599999999997</v>
      </c>
      <c r="D7" s="322"/>
      <c r="E7" s="323">
        <f t="shared" si="0"/>
        <v>5.9139074965528012E-2</v>
      </c>
      <c r="F7" s="322"/>
      <c r="G7" s="325">
        <f>10631820/1000</f>
        <v>10631.82</v>
      </c>
      <c r="H7" s="322"/>
      <c r="I7" s="22"/>
      <c r="J7" s="322"/>
      <c r="K7" s="26"/>
    </row>
    <row r="8" spans="1:13">
      <c r="A8" s="24">
        <v>35156</v>
      </c>
      <c r="B8" s="322"/>
      <c r="C8" s="202">
        <f>745081/1000</f>
        <v>745.08100000000002</v>
      </c>
      <c r="D8" s="322"/>
      <c r="E8" s="323">
        <f t="shared" si="0"/>
        <v>7.62643146374717E-2</v>
      </c>
      <c r="F8" s="322"/>
      <c r="G8" s="325">
        <v>9769.7199999999993</v>
      </c>
      <c r="H8" s="322"/>
      <c r="I8" s="22"/>
      <c r="J8" s="322"/>
      <c r="K8" s="26"/>
    </row>
    <row r="9" spans="1:13">
      <c r="A9" s="24">
        <v>35186</v>
      </c>
      <c r="B9" s="322"/>
      <c r="C9" s="202">
        <f>751225/1000</f>
        <v>751.22500000000002</v>
      </c>
      <c r="D9" s="322"/>
      <c r="E9" s="323">
        <f t="shared" si="0"/>
        <v>9.3457100985546479E-2</v>
      </c>
      <c r="F9" s="322"/>
      <c r="G9" s="325">
        <f>8038180/1000</f>
        <v>8038.18</v>
      </c>
      <c r="H9" s="322"/>
      <c r="I9" s="22"/>
      <c r="J9" s="322"/>
      <c r="K9" s="26"/>
    </row>
    <row r="10" spans="1:13">
      <c r="A10" s="24">
        <v>35217</v>
      </c>
      <c r="B10" s="322"/>
      <c r="C10" s="202">
        <f>648292/1000</f>
        <v>648.29200000000003</v>
      </c>
      <c r="D10" s="322"/>
      <c r="E10" s="323">
        <f t="shared" si="0"/>
        <v>0.11301117574561627</v>
      </c>
      <c r="F10" s="322"/>
      <c r="G10" s="325">
        <f>5736530/1000</f>
        <v>5736.53</v>
      </c>
      <c r="H10" s="322"/>
      <c r="I10" s="22"/>
      <c r="J10" s="322"/>
      <c r="K10" s="26"/>
    </row>
    <row r="11" spans="1:13">
      <c r="A11" s="24">
        <v>35247</v>
      </c>
      <c r="B11" s="322"/>
      <c r="C11" s="202">
        <f>784491/1000</f>
        <v>784.49099999999999</v>
      </c>
      <c r="D11" s="322"/>
      <c r="E11" s="323">
        <f t="shared" si="0"/>
        <v>0.10982700473332521</v>
      </c>
      <c r="F11" s="322"/>
      <c r="G11" s="325">
        <f>7142970/1000</f>
        <v>7142.97</v>
      </c>
      <c r="H11" s="322"/>
      <c r="I11" s="22"/>
      <c r="J11" s="322"/>
      <c r="K11" s="26"/>
    </row>
    <row r="12" spans="1:13">
      <c r="A12" s="24">
        <v>35278</v>
      </c>
      <c r="B12" s="322"/>
      <c r="C12" s="202">
        <f>854765/1000</f>
        <v>854.76499999999999</v>
      </c>
      <c r="D12" s="322"/>
      <c r="E12" s="323">
        <f t="shared" si="0"/>
        <v>0.16315111374090968</v>
      </c>
      <c r="F12" s="322"/>
      <c r="G12" s="325">
        <f>5239100/1000</f>
        <v>5239.1000000000004</v>
      </c>
      <c r="H12" s="322"/>
      <c r="I12" s="22"/>
      <c r="J12" s="322"/>
      <c r="K12" s="26"/>
    </row>
    <row r="13" spans="1:13">
      <c r="A13" s="24">
        <v>35309</v>
      </c>
      <c r="B13" s="322"/>
      <c r="C13" s="202">
        <f>705505/1000</f>
        <v>705.505</v>
      </c>
      <c r="D13" s="322"/>
      <c r="E13" s="323">
        <f t="shared" si="0"/>
        <v>0.10211260878425633</v>
      </c>
      <c r="F13" s="322"/>
      <c r="G13" s="325">
        <f>6909088/1000</f>
        <v>6909.0879999999997</v>
      </c>
      <c r="H13" s="322"/>
      <c r="I13" s="22"/>
      <c r="J13" s="322"/>
      <c r="K13" s="26"/>
    </row>
    <row r="14" spans="1:13">
      <c r="A14" s="24">
        <v>35339</v>
      </c>
      <c r="B14" s="322"/>
      <c r="C14" s="202">
        <v>1104.204</v>
      </c>
      <c r="D14" s="322"/>
      <c r="E14" s="323">
        <f t="shared" si="0"/>
        <v>0.14740605267724841</v>
      </c>
      <c r="F14" s="322"/>
      <c r="G14" s="325">
        <v>7490.9</v>
      </c>
      <c r="H14" s="322"/>
      <c r="I14" s="22"/>
      <c r="J14" s="322"/>
      <c r="K14" s="26"/>
    </row>
    <row r="15" spans="1:13">
      <c r="A15" s="24">
        <v>35370</v>
      </c>
      <c r="B15" s="322"/>
      <c r="C15" s="202">
        <v>861.4</v>
      </c>
      <c r="D15" s="322"/>
      <c r="E15" s="323">
        <f t="shared" si="0"/>
        <v>0.10813592939906351</v>
      </c>
      <c r="F15" s="322"/>
      <c r="G15" s="325">
        <v>7965.9</v>
      </c>
      <c r="H15" s="322"/>
      <c r="I15" s="22"/>
      <c r="J15" s="322"/>
      <c r="K15" s="26"/>
    </row>
    <row r="16" spans="1:13">
      <c r="A16" s="24">
        <v>35400</v>
      </c>
      <c r="B16" s="322"/>
      <c r="C16" s="325">
        <v>1291.8</v>
      </c>
      <c r="D16" s="322"/>
      <c r="E16" s="323">
        <f t="shared" si="0"/>
        <v>0.20644357081215842</v>
      </c>
      <c r="F16" s="322"/>
      <c r="G16" s="325">
        <v>6257.4</v>
      </c>
      <c r="H16" s="322"/>
      <c r="I16" s="26"/>
      <c r="J16" s="322"/>
      <c r="K16" s="26"/>
      <c r="L16" s="136"/>
      <c r="M16" s="137"/>
    </row>
    <row r="17" spans="1:13">
      <c r="A17" s="24">
        <v>35431</v>
      </c>
      <c r="B17" s="322"/>
      <c r="C17" s="326">
        <v>1341.16715</v>
      </c>
      <c r="D17" s="322"/>
      <c r="E17" s="323">
        <f t="shared" si="0"/>
        <v>0.1199566698239692</v>
      </c>
      <c r="F17" s="322"/>
      <c r="G17" s="327">
        <v>11180.43</v>
      </c>
      <c r="H17" s="322"/>
      <c r="I17" s="116"/>
      <c r="J17" s="322"/>
      <c r="K17" s="26"/>
      <c r="L17" s="136"/>
      <c r="M17" s="137"/>
    </row>
    <row r="18" spans="1:13">
      <c r="A18" s="24">
        <v>35462</v>
      </c>
      <c r="B18" s="322"/>
      <c r="C18" s="326">
        <f>1092931310/1000000</f>
        <v>1092.9313099999999</v>
      </c>
      <c r="D18" s="322"/>
      <c r="E18" s="323">
        <f t="shared" si="0"/>
        <v>8.5883510437624017E-2</v>
      </c>
      <c r="F18" s="322"/>
      <c r="G18" s="324">
        <f>12725741000/1000000</f>
        <v>12725.741</v>
      </c>
      <c r="H18" s="322"/>
      <c r="I18" s="116"/>
      <c r="J18" s="322"/>
      <c r="K18" s="26"/>
      <c r="L18" s="136"/>
      <c r="M18" s="137"/>
    </row>
    <row r="19" spans="1:13">
      <c r="A19" s="24">
        <v>35490</v>
      </c>
      <c r="B19" s="60"/>
      <c r="C19" s="202">
        <f>1383481280/1000000</f>
        <v>1383.48128</v>
      </c>
      <c r="D19" s="60"/>
      <c r="E19" s="323">
        <f t="shared" si="0"/>
        <v>9.4087708204599982E-2</v>
      </c>
      <c r="F19" s="60"/>
      <c r="G19" s="202">
        <f>14704166000/1000000</f>
        <v>14704.165999999999</v>
      </c>
      <c r="H19" s="60"/>
      <c r="I19" s="22"/>
      <c r="J19" s="60"/>
      <c r="K19" s="26"/>
      <c r="L19" s="136"/>
      <c r="M19" s="137"/>
    </row>
    <row r="20" spans="1:13">
      <c r="A20" s="24">
        <v>35521</v>
      </c>
      <c r="B20" s="60"/>
      <c r="C20" s="202">
        <f>2034656180/1000000</f>
        <v>2034.6561799999999</v>
      </c>
      <c r="D20" s="60"/>
      <c r="E20" s="323">
        <f t="shared" si="0"/>
        <v>0.15534966376193873</v>
      </c>
      <c r="F20" s="60"/>
      <c r="G20" s="202">
        <f>13097268000/1000000</f>
        <v>13097.268</v>
      </c>
      <c r="H20" s="60"/>
      <c r="I20" s="22"/>
      <c r="J20" s="60"/>
      <c r="K20" s="26"/>
      <c r="L20" s="136"/>
      <c r="M20" s="137"/>
    </row>
    <row r="21" spans="1:13">
      <c r="A21" s="24">
        <v>35551</v>
      </c>
      <c r="B21" s="60"/>
      <c r="C21" s="202">
        <f>2594212520/1000000</f>
        <v>2594.21252</v>
      </c>
      <c r="D21" s="60"/>
      <c r="E21" s="323">
        <f t="shared" si="0"/>
        <v>0.25072081354461873</v>
      </c>
      <c r="F21" s="60"/>
      <c r="G21" s="202">
        <f>10347017000/1000000</f>
        <v>10347.017</v>
      </c>
      <c r="H21" s="60"/>
      <c r="I21" s="22"/>
      <c r="J21" s="60"/>
      <c r="K21" s="26"/>
      <c r="L21" s="136"/>
      <c r="M21" s="137"/>
    </row>
    <row r="22" spans="1:13">
      <c r="A22" s="24">
        <v>35582</v>
      </c>
      <c r="B22" s="60"/>
      <c r="C22" s="202">
        <f>2191162430/1000000</f>
        <v>2191.1624299999999</v>
      </c>
      <c r="D22" s="60"/>
      <c r="E22" s="323">
        <f t="shared" si="0"/>
        <v>0.2636637971438579</v>
      </c>
      <c r="F22" s="60"/>
      <c r="G22" s="202">
        <f>8310441000/1000000</f>
        <v>8310.4410000000007</v>
      </c>
      <c r="H22" s="60"/>
      <c r="I22" s="22"/>
      <c r="J22" s="60"/>
      <c r="K22" s="26"/>
      <c r="L22" s="136"/>
      <c r="M22" s="137"/>
    </row>
    <row r="23" spans="1:13">
      <c r="A23" s="24">
        <v>35612</v>
      </c>
      <c r="B23" s="60"/>
      <c r="C23" s="202">
        <f>2575653940/1000000</f>
        <v>2575.6539400000001</v>
      </c>
      <c r="D23" s="60"/>
      <c r="E23" s="323">
        <f t="shared" si="0"/>
        <v>0.28050992796591434</v>
      </c>
      <c r="F23" s="60"/>
      <c r="G23" s="202">
        <f>9182042000/1000000</f>
        <v>9182.0419999999995</v>
      </c>
      <c r="H23" s="60"/>
      <c r="I23" s="22"/>
      <c r="J23" s="60"/>
      <c r="K23" s="26"/>
      <c r="L23" s="136"/>
      <c r="M23" s="137"/>
    </row>
    <row r="24" spans="1:13">
      <c r="A24" s="24">
        <v>35643</v>
      </c>
      <c r="B24" s="60"/>
      <c r="C24" s="202">
        <f>3894753710/1000000</f>
        <v>3894.75371</v>
      </c>
      <c r="D24" s="60"/>
      <c r="E24" s="323">
        <f t="shared" si="0"/>
        <v>0.41953971267198847</v>
      </c>
      <c r="F24" s="60"/>
      <c r="G24" s="202">
        <f>9283397000/1000000</f>
        <v>9283.3970000000008</v>
      </c>
      <c r="H24" s="60"/>
      <c r="I24" s="22"/>
      <c r="J24" s="60"/>
      <c r="K24" s="26"/>
      <c r="L24" s="136"/>
      <c r="M24" s="137"/>
    </row>
    <row r="25" spans="1:13">
      <c r="A25" s="24">
        <v>35674</v>
      </c>
      <c r="B25" s="60"/>
      <c r="C25" s="202">
        <f>4738234650/1000000</f>
        <v>4738.2346500000003</v>
      </c>
      <c r="D25" s="60"/>
      <c r="E25" s="323">
        <f t="shared" si="0"/>
        <v>0.36332274090658878</v>
      </c>
      <c r="F25" s="60"/>
      <c r="G25" s="202">
        <f>13041393000/1000000</f>
        <v>13041.393</v>
      </c>
      <c r="H25" s="60"/>
      <c r="I25" s="22"/>
      <c r="J25" s="60"/>
      <c r="K25" s="26"/>
      <c r="L25" s="136"/>
      <c r="M25" s="137"/>
    </row>
    <row r="26" spans="1:13">
      <c r="A26" s="24">
        <v>35704</v>
      </c>
      <c r="B26" s="60"/>
      <c r="C26" s="328">
        <f>3738837/1000</f>
        <v>3738.837</v>
      </c>
      <c r="D26" s="60"/>
      <c r="E26" s="323">
        <f t="shared" si="0"/>
        <v>0.44447943530224077</v>
      </c>
      <c r="F26" s="60"/>
      <c r="G26" s="324">
        <f>8411721/1000</f>
        <v>8411.7209999999995</v>
      </c>
      <c r="H26" s="60"/>
      <c r="I26" s="462"/>
      <c r="J26" s="60"/>
      <c r="K26" s="26"/>
      <c r="L26" s="136"/>
      <c r="M26" s="137"/>
    </row>
    <row r="27" spans="1:13">
      <c r="A27" s="24">
        <v>35735</v>
      </c>
      <c r="B27" s="60"/>
      <c r="C27" s="328">
        <f>3335404/1000</f>
        <v>3335.404</v>
      </c>
      <c r="D27" s="60"/>
      <c r="E27" s="323">
        <f t="shared" si="0"/>
        <v>0.50021085795492382</v>
      </c>
      <c r="F27" s="60"/>
      <c r="G27" s="329">
        <f>6667996/1000</f>
        <v>6667.9960000000001</v>
      </c>
      <c r="H27" s="60"/>
      <c r="I27" s="462"/>
      <c r="J27" s="60"/>
      <c r="K27" s="26"/>
      <c r="L27" s="136"/>
      <c r="M27" s="137"/>
    </row>
    <row r="28" spans="1:13">
      <c r="A28" s="24">
        <v>35765</v>
      </c>
      <c r="B28" s="60"/>
      <c r="C28" s="330">
        <f>3075592/1000</f>
        <v>3075.5920000000001</v>
      </c>
      <c r="D28" s="60"/>
      <c r="E28" s="323">
        <f t="shared" si="0"/>
        <v>0.52553605038707041</v>
      </c>
      <c r="F28" s="60"/>
      <c r="G28" s="329">
        <f>5852295/1000</f>
        <v>5852.2950000000001</v>
      </c>
      <c r="H28" s="60"/>
      <c r="I28" s="117"/>
      <c r="J28" s="60"/>
      <c r="K28" s="26"/>
      <c r="L28" s="136"/>
      <c r="M28" s="137"/>
    </row>
    <row r="29" spans="1:13">
      <c r="A29" s="24">
        <v>35796</v>
      </c>
      <c r="B29" s="60"/>
      <c r="C29" s="330">
        <f>2646176671/1000000</f>
        <v>2646.1766710000002</v>
      </c>
      <c r="D29" s="331"/>
      <c r="E29" s="323">
        <f t="shared" si="0"/>
        <v>0.55056338910519043</v>
      </c>
      <c r="F29" s="331"/>
      <c r="G29" s="324">
        <f>4806307/1000</f>
        <v>4806.3069999999998</v>
      </c>
      <c r="H29" s="60"/>
      <c r="I29" s="117"/>
      <c r="J29" s="331"/>
      <c r="K29" s="26"/>
      <c r="L29" s="136"/>
      <c r="M29" s="137"/>
    </row>
    <row r="30" spans="1:13">
      <c r="A30" s="24">
        <v>35827</v>
      </c>
      <c r="B30" s="60"/>
      <c r="C30" s="330">
        <f>5008457370/1000000</f>
        <v>5008.4573700000001</v>
      </c>
      <c r="D30" s="331"/>
      <c r="E30" s="323">
        <f t="shared" si="0"/>
        <v>0.4055116181666541</v>
      </c>
      <c r="F30" s="331"/>
      <c r="G30" s="324">
        <f>12350959/1000</f>
        <v>12350.959000000001</v>
      </c>
      <c r="H30" s="60"/>
      <c r="I30" s="117"/>
      <c r="J30" s="331"/>
      <c r="K30" s="26"/>
      <c r="L30" s="136"/>
      <c r="M30" s="137"/>
    </row>
    <row r="31" spans="1:13">
      <c r="A31" s="24">
        <v>35855</v>
      </c>
      <c r="B31" s="60"/>
      <c r="C31" s="330">
        <v>4173.3029999999999</v>
      </c>
      <c r="D31" s="331"/>
      <c r="E31" s="323">
        <f t="shared" si="0"/>
        <v>0.71130755192905581</v>
      </c>
      <c r="F31" s="331"/>
      <c r="G31" s="332">
        <f>5867086591/1000000</f>
        <v>5867.0865910000002</v>
      </c>
      <c r="H31" s="60"/>
      <c r="I31" s="117"/>
      <c r="J31" s="331"/>
      <c r="K31" s="26"/>
      <c r="L31" s="136"/>
      <c r="M31" s="137"/>
    </row>
    <row r="32" spans="1:13">
      <c r="A32" s="24">
        <v>35886</v>
      </c>
      <c r="B32" s="60"/>
      <c r="C32" s="330">
        <v>5259.84</v>
      </c>
      <c r="D32" s="331"/>
      <c r="E32" s="323">
        <f t="shared" si="0"/>
        <v>1.275506881781018</v>
      </c>
      <c r="F32" s="331"/>
      <c r="G32" s="332">
        <f>4123725301/1000000</f>
        <v>4123.7253010000004</v>
      </c>
      <c r="H32" s="60"/>
      <c r="I32" s="117"/>
      <c r="J32" s="331"/>
      <c r="K32" s="26"/>
      <c r="L32" s="136"/>
      <c r="M32" s="137"/>
    </row>
    <row r="33" spans="1:13">
      <c r="A33" s="24">
        <v>35916</v>
      </c>
      <c r="B33" s="60"/>
      <c r="C33" s="330">
        <v>4628.2700000000004</v>
      </c>
      <c r="D33" s="331"/>
      <c r="E33" s="323">
        <f t="shared" si="0"/>
        <v>1.2675878509285334</v>
      </c>
      <c r="F33" s="331"/>
      <c r="G33" s="332">
        <f>3651242/1000</f>
        <v>3651.2420000000002</v>
      </c>
      <c r="H33" s="60"/>
      <c r="I33" s="117"/>
      <c r="J33" s="331"/>
      <c r="K33" s="26"/>
      <c r="L33" s="136"/>
      <c r="M33" s="137"/>
    </row>
    <row r="34" spans="1:13">
      <c r="A34" s="24">
        <v>35947</v>
      </c>
      <c r="B34" s="60"/>
      <c r="C34" s="330">
        <v>4451.96</v>
      </c>
      <c r="D34" s="331"/>
      <c r="E34" s="323">
        <f t="shared" si="0"/>
        <v>1.1901440643303776</v>
      </c>
      <c r="F34" s="331"/>
      <c r="G34" s="332">
        <v>3740.69</v>
      </c>
      <c r="H34" s="60"/>
      <c r="I34" s="117"/>
      <c r="J34" s="331"/>
      <c r="K34" s="26"/>
      <c r="L34" s="136"/>
      <c r="M34" s="137"/>
    </row>
    <row r="35" spans="1:13">
      <c r="A35" s="24">
        <v>35977</v>
      </c>
      <c r="B35" s="60"/>
      <c r="C35" s="330">
        <v>3993.67</v>
      </c>
      <c r="D35" s="331"/>
      <c r="E35" s="323">
        <f t="shared" si="0"/>
        <v>1.0868034181893784</v>
      </c>
      <c r="F35" s="331"/>
      <c r="G35" s="332">
        <v>3674.694</v>
      </c>
      <c r="H35" s="60"/>
      <c r="I35" s="117"/>
      <c r="J35" s="331"/>
      <c r="K35" s="26"/>
      <c r="L35" s="136"/>
      <c r="M35" s="137"/>
    </row>
    <row r="36" spans="1:13">
      <c r="A36" s="24">
        <v>36008</v>
      </c>
      <c r="B36" s="60"/>
      <c r="C36" s="330">
        <v>3122.4</v>
      </c>
      <c r="D36" s="331"/>
      <c r="E36" s="323">
        <f t="shared" si="0"/>
        <v>1.0406647135872338</v>
      </c>
      <c r="F36" s="331"/>
      <c r="G36" s="332">
        <v>3000.39</v>
      </c>
      <c r="H36" s="60"/>
      <c r="I36" s="117"/>
      <c r="J36" s="331"/>
      <c r="K36" s="26"/>
      <c r="L36" s="136"/>
      <c r="M36" s="137"/>
    </row>
    <row r="37" spans="1:13">
      <c r="A37" s="24">
        <v>36039</v>
      </c>
      <c r="B37" s="60"/>
      <c r="C37" s="330">
        <v>2898.2449999999999</v>
      </c>
      <c r="D37" s="331"/>
      <c r="E37" s="323">
        <f t="shared" si="0"/>
        <v>0.48284424002812665</v>
      </c>
      <c r="F37" s="331"/>
      <c r="G37" s="332">
        <v>6002.4429406700001</v>
      </c>
      <c r="H37" s="60"/>
      <c r="I37" s="117"/>
      <c r="J37" s="331"/>
      <c r="K37" s="26"/>
      <c r="L37" s="136"/>
      <c r="M37" s="137"/>
    </row>
    <row r="38" spans="1:13">
      <c r="A38" s="24">
        <v>36069</v>
      </c>
      <c r="B38" s="60"/>
      <c r="C38" s="330">
        <v>691.37</v>
      </c>
      <c r="D38" s="331"/>
      <c r="E38" s="323">
        <f t="shared" si="0"/>
        <v>0.21375525599802125</v>
      </c>
      <c r="F38" s="331"/>
      <c r="G38" s="332">
        <v>3234.4</v>
      </c>
      <c r="H38" s="60"/>
      <c r="I38" s="117"/>
      <c r="J38" s="331"/>
      <c r="K38" s="26"/>
      <c r="L38" s="136"/>
      <c r="M38" s="137"/>
    </row>
    <row r="39" spans="1:13">
      <c r="A39" s="24">
        <v>36100</v>
      </c>
      <c r="B39" s="60"/>
      <c r="C39" s="330">
        <v>1217.83</v>
      </c>
      <c r="D39" s="111"/>
      <c r="E39" s="323">
        <f t="shared" si="0"/>
        <v>0.27310442881138136</v>
      </c>
      <c r="F39" s="331"/>
      <c r="G39" s="332">
        <v>4459.21</v>
      </c>
      <c r="H39" s="60"/>
      <c r="I39" s="117"/>
      <c r="J39" s="111"/>
      <c r="K39" s="26"/>
      <c r="L39" s="136"/>
      <c r="M39" s="137"/>
    </row>
    <row r="40" spans="1:13">
      <c r="A40" s="24">
        <v>36130</v>
      </c>
      <c r="B40" s="322"/>
      <c r="C40" s="330">
        <v>1529.69</v>
      </c>
      <c r="D40" s="322"/>
      <c r="E40" s="323">
        <f t="shared" si="0"/>
        <v>0.2427639339939083</v>
      </c>
      <c r="F40" s="322"/>
      <c r="G40" s="332">
        <v>6301.1419152500002</v>
      </c>
      <c r="H40" s="322"/>
      <c r="I40" s="117"/>
      <c r="J40" s="322"/>
      <c r="K40" s="26"/>
    </row>
    <row r="41" spans="1:13">
      <c r="A41" s="24">
        <v>36161</v>
      </c>
      <c r="B41" s="60"/>
      <c r="C41" s="330">
        <v>1463.7539999999999</v>
      </c>
      <c r="D41" s="60"/>
      <c r="E41" s="323">
        <f t="shared" si="0"/>
        <v>0.37971333400846385</v>
      </c>
      <c r="F41" s="60"/>
      <c r="G41" s="332">
        <v>3854.8922803099999</v>
      </c>
      <c r="H41" s="60"/>
      <c r="I41" s="117"/>
      <c r="J41" s="60"/>
      <c r="K41" s="26"/>
    </row>
    <row r="42" spans="1:13">
      <c r="A42" s="24">
        <v>36192</v>
      </c>
      <c r="B42" s="60"/>
      <c r="C42" s="330">
        <v>2018.6569999999999</v>
      </c>
      <c r="D42" s="60"/>
      <c r="E42" s="323">
        <f t="shared" si="0"/>
        <v>0.64094595570040669</v>
      </c>
      <c r="F42" s="60"/>
      <c r="G42" s="332">
        <v>3149.49643109</v>
      </c>
      <c r="H42" s="60"/>
      <c r="I42" s="117"/>
      <c r="J42" s="60"/>
      <c r="K42" s="26"/>
    </row>
    <row r="43" spans="1:13">
      <c r="A43" s="24">
        <v>36220</v>
      </c>
      <c r="B43" s="60"/>
      <c r="C43" s="330">
        <v>1809.5694000000001</v>
      </c>
      <c r="D43" s="60"/>
      <c r="E43" s="323">
        <f t="shared" si="0"/>
        <v>0.76529778291497219</v>
      </c>
      <c r="F43" s="60"/>
      <c r="G43" s="332">
        <v>2364.52978226</v>
      </c>
      <c r="H43" s="60"/>
      <c r="I43" s="117"/>
      <c r="J43" s="60"/>
      <c r="K43" s="26"/>
    </row>
    <row r="44" spans="1:13">
      <c r="A44" s="24">
        <v>36251</v>
      </c>
      <c r="B44" s="60"/>
      <c r="C44" s="330">
        <v>3504.2619800000002</v>
      </c>
      <c r="D44" s="60"/>
      <c r="E44" s="323">
        <f t="shared" si="0"/>
        <v>0.45368371017018622</v>
      </c>
      <c r="F44" s="60"/>
      <c r="G44" s="332">
        <v>7724.0198434399999</v>
      </c>
      <c r="H44" s="60"/>
      <c r="I44" s="117"/>
      <c r="J44" s="60"/>
      <c r="K44" s="26"/>
    </row>
    <row r="45" spans="1:13">
      <c r="A45" s="24">
        <v>36281</v>
      </c>
      <c r="B45" s="60"/>
      <c r="C45" s="330">
        <v>4373.21371</v>
      </c>
      <c r="D45" s="60"/>
      <c r="E45" s="323">
        <f t="shared" si="0"/>
        <v>0.39132606668415149</v>
      </c>
      <c r="F45" s="60"/>
      <c r="G45" s="332">
        <v>11175.37031728</v>
      </c>
      <c r="H45" s="60"/>
      <c r="I45" s="117"/>
      <c r="J45" s="60"/>
      <c r="K45" s="26"/>
    </row>
    <row r="46" spans="1:13">
      <c r="A46" s="24">
        <v>36312</v>
      </c>
      <c r="B46" s="60"/>
      <c r="C46" s="330">
        <v>3731.3125300000002</v>
      </c>
      <c r="D46" s="60"/>
      <c r="E46" s="323">
        <f t="shared" si="0"/>
        <v>0.39588303122556062</v>
      </c>
      <c r="F46" s="60"/>
      <c r="G46" s="332">
        <v>9425.2903905700005</v>
      </c>
      <c r="H46" s="60"/>
      <c r="I46" s="117"/>
      <c r="J46" s="60"/>
      <c r="K46" s="26"/>
    </row>
    <row r="47" spans="1:13">
      <c r="A47" s="24">
        <v>36342</v>
      </c>
      <c r="B47" s="60"/>
      <c r="C47" s="330">
        <v>3458.65877</v>
      </c>
      <c r="D47" s="60"/>
      <c r="E47" s="323">
        <f t="shared" si="0"/>
        <v>0.23498033653447348</v>
      </c>
      <c r="F47" s="60"/>
      <c r="G47" s="332">
        <v>14718.92848997</v>
      </c>
      <c r="H47" s="60"/>
      <c r="I47" s="117"/>
      <c r="J47" s="60"/>
      <c r="K47" s="26"/>
    </row>
    <row r="48" spans="1:13">
      <c r="A48" s="24">
        <v>36373</v>
      </c>
      <c r="B48" s="60"/>
      <c r="C48" s="330">
        <v>3325.85016</v>
      </c>
      <c r="D48" s="60"/>
      <c r="E48" s="323">
        <f t="shared" si="0"/>
        <v>0.36842209622610705</v>
      </c>
      <c r="F48" s="60"/>
      <c r="G48" s="332">
        <v>9027.2820063399995</v>
      </c>
      <c r="H48" s="60"/>
      <c r="I48" s="117"/>
      <c r="J48" s="60"/>
      <c r="K48" s="26"/>
    </row>
    <row r="49" spans="1:11">
      <c r="A49" s="24">
        <v>36404</v>
      </c>
      <c r="B49" s="60"/>
      <c r="C49" s="330">
        <v>2137.9818500000001</v>
      </c>
      <c r="D49" s="60"/>
      <c r="E49" s="323">
        <f t="shared" si="0"/>
        <v>0.38533015084989386</v>
      </c>
      <c r="F49" s="60"/>
      <c r="G49" s="332">
        <v>5548.4416293000004</v>
      </c>
      <c r="H49" s="60"/>
      <c r="I49" s="117"/>
      <c r="J49" s="60"/>
      <c r="K49" s="26"/>
    </row>
    <row r="50" spans="1:11">
      <c r="A50" s="24">
        <v>36434</v>
      </c>
      <c r="B50" s="60"/>
      <c r="C50" s="330">
        <v>2299.5105600000002</v>
      </c>
      <c r="D50" s="60"/>
      <c r="E50" s="323">
        <f t="shared" si="0"/>
        <v>0.41572095209513721</v>
      </c>
      <c r="F50" s="60"/>
      <c r="G50" s="332">
        <v>5531.38</v>
      </c>
      <c r="H50" s="60"/>
      <c r="I50" s="117"/>
      <c r="J50" s="60"/>
      <c r="K50" s="26"/>
    </row>
    <row r="51" spans="1:11">
      <c r="A51" s="24">
        <v>36465</v>
      </c>
      <c r="B51" s="60"/>
      <c r="C51" s="330">
        <v>1313.77378</v>
      </c>
      <c r="D51" s="60"/>
      <c r="E51" s="323">
        <f t="shared" si="0"/>
        <v>0.31008617654833304</v>
      </c>
      <c r="F51" s="60"/>
      <c r="G51" s="332">
        <v>4236.8021516600002</v>
      </c>
      <c r="H51" s="60"/>
      <c r="I51" s="117"/>
      <c r="J51" s="60"/>
      <c r="K51" s="26"/>
    </row>
    <row r="52" spans="1:11">
      <c r="A52" s="24">
        <v>36495</v>
      </c>
      <c r="B52" s="60"/>
      <c r="C52" s="330">
        <v>1323.92092</v>
      </c>
      <c r="D52" s="60"/>
      <c r="E52" s="323">
        <f t="shared" si="0"/>
        <v>0.27898040209941233</v>
      </c>
      <c r="F52" s="60"/>
      <c r="G52" s="332">
        <v>4745.5696172099997</v>
      </c>
      <c r="H52" s="60"/>
      <c r="I52" s="117"/>
      <c r="J52" s="60"/>
      <c r="K52" s="26"/>
    </row>
    <row r="53" spans="1:11">
      <c r="A53" s="24">
        <v>36526</v>
      </c>
      <c r="B53" s="60"/>
      <c r="C53" s="330">
        <v>3669.5331900000001</v>
      </c>
      <c r="D53" s="60"/>
      <c r="E53" s="323">
        <f t="shared" si="0"/>
        <v>0.26165949496184843</v>
      </c>
      <c r="F53" s="60"/>
      <c r="G53" s="332">
        <v>14024.07808872</v>
      </c>
      <c r="H53" s="60"/>
      <c r="I53" s="117"/>
      <c r="J53" s="60"/>
      <c r="K53" s="26"/>
    </row>
    <row r="54" spans="1:11">
      <c r="A54" s="24">
        <v>36557</v>
      </c>
      <c r="B54" s="60"/>
      <c r="C54" s="330">
        <v>2933.4793</v>
      </c>
      <c r="D54" s="60"/>
      <c r="E54" s="323">
        <f t="shared" si="0"/>
        <v>0.18501726169616928</v>
      </c>
      <c r="F54" s="60"/>
      <c r="G54" s="332">
        <v>15855.16547541</v>
      </c>
      <c r="H54" s="60"/>
      <c r="I54" s="117"/>
      <c r="J54" s="60"/>
      <c r="K54" s="26"/>
    </row>
    <row r="55" spans="1:11">
      <c r="A55" s="24">
        <v>36586</v>
      </c>
      <c r="B55" s="60"/>
      <c r="C55" s="330">
        <v>3731.5790099999999</v>
      </c>
      <c r="D55" s="60"/>
      <c r="E55" s="323">
        <f t="shared" si="0"/>
        <v>0.35596313209991037</v>
      </c>
      <c r="F55" s="60"/>
      <c r="G55" s="332">
        <v>10483.04915171</v>
      </c>
      <c r="H55" s="60"/>
      <c r="I55" s="117"/>
      <c r="J55" s="60"/>
      <c r="K55" s="26"/>
    </row>
    <row r="56" spans="1:11">
      <c r="A56" s="24">
        <v>36617</v>
      </c>
      <c r="B56" s="60"/>
      <c r="C56" s="330">
        <v>2540.6633099999999</v>
      </c>
      <c r="D56" s="60"/>
      <c r="E56" s="323">
        <f t="shared" si="0"/>
        <v>0.31337434597725411</v>
      </c>
      <c r="F56" s="60"/>
      <c r="G56" s="332">
        <v>8107.4387313899997</v>
      </c>
      <c r="H56" s="60"/>
      <c r="I56" s="117"/>
      <c r="J56" s="60"/>
      <c r="K56" s="26"/>
    </row>
    <row r="57" spans="1:11">
      <c r="A57" s="24">
        <v>36647</v>
      </c>
      <c r="B57" s="60"/>
      <c r="C57" s="330">
        <v>2955.2810899999999</v>
      </c>
      <c r="D57" s="60"/>
      <c r="E57" s="323">
        <f t="shared" si="0"/>
        <v>0.34178540552947317</v>
      </c>
      <c r="F57" s="60"/>
      <c r="G57" s="332">
        <v>8646.5982519699992</v>
      </c>
      <c r="H57" s="60"/>
      <c r="I57" s="117"/>
      <c r="J57" s="60"/>
      <c r="K57" s="26"/>
    </row>
    <row r="58" spans="1:11">
      <c r="A58" s="24">
        <v>36678</v>
      </c>
      <c r="B58" s="60"/>
      <c r="C58" s="330">
        <v>3044.7454200000002</v>
      </c>
      <c r="D58" s="60"/>
      <c r="E58" s="323">
        <f t="shared" si="0"/>
        <v>0.40447891227271615</v>
      </c>
      <c r="F58" s="60"/>
      <c r="G58" s="332">
        <v>7527.5751778800004</v>
      </c>
      <c r="H58" s="60"/>
      <c r="I58" s="117"/>
      <c r="J58" s="60"/>
      <c r="K58" s="26"/>
    </row>
    <row r="59" spans="1:11">
      <c r="A59" s="24">
        <v>36708</v>
      </c>
      <c r="B59" s="60"/>
      <c r="C59" s="330">
        <v>2725.9655899999998</v>
      </c>
      <c r="D59" s="60"/>
      <c r="E59" s="323">
        <f t="shared" si="0"/>
        <v>0.5994197322663446</v>
      </c>
      <c r="F59" s="60"/>
      <c r="G59" s="332">
        <v>4547.6740975700004</v>
      </c>
      <c r="H59" s="60"/>
      <c r="I59" s="117"/>
      <c r="J59" s="60"/>
      <c r="K59" s="26"/>
    </row>
    <row r="60" spans="1:11">
      <c r="A60" s="24">
        <v>36739</v>
      </c>
      <c r="B60" s="60"/>
      <c r="C60" s="330">
        <v>1642.6429700000001</v>
      </c>
      <c r="D60" s="60"/>
      <c r="E60" s="323">
        <f t="shared" si="0"/>
        <v>0.43764028476329314</v>
      </c>
      <c r="F60" s="60"/>
      <c r="G60" s="332">
        <v>3753.4089689399998</v>
      </c>
      <c r="H60" s="60"/>
      <c r="I60" s="117"/>
      <c r="J60" s="60"/>
      <c r="K60" s="26"/>
    </row>
    <row r="61" spans="1:11">
      <c r="A61" s="24">
        <v>36770</v>
      </c>
      <c r="B61" s="60"/>
      <c r="C61" s="330">
        <v>2169.28208</v>
      </c>
      <c r="D61" s="60"/>
      <c r="E61" s="323">
        <f t="shared" si="0"/>
        <v>0.5077028748470459</v>
      </c>
      <c r="F61" s="60"/>
      <c r="G61" s="324">
        <v>4272.7394062000003</v>
      </c>
      <c r="H61" s="60"/>
      <c r="I61" s="117"/>
      <c r="J61" s="60"/>
      <c r="K61" s="26"/>
    </row>
    <row r="62" spans="1:11">
      <c r="A62" s="335">
        <v>36800</v>
      </c>
      <c r="B62" s="334"/>
      <c r="C62" s="336">
        <v>2564.17</v>
      </c>
      <c r="D62" s="334"/>
      <c r="E62" s="337">
        <f t="shared" si="0"/>
        <v>0.36909683932123505</v>
      </c>
      <c r="F62" s="334"/>
      <c r="G62" s="333">
        <v>6947.1469999999999</v>
      </c>
      <c r="H62" s="334"/>
      <c r="I62" s="118"/>
      <c r="J62" s="334"/>
      <c r="K62" s="398"/>
    </row>
    <row r="63" spans="1:11">
      <c r="A63" s="335">
        <v>36831</v>
      </c>
      <c r="B63" s="334"/>
      <c r="C63" s="336">
        <v>2064.2619100000002</v>
      </c>
      <c r="D63" s="334"/>
      <c r="E63" s="337">
        <f t="shared" ref="E63:E68" si="1">C63/G63</f>
        <v>0.54587108185299671</v>
      </c>
      <c r="F63" s="334"/>
      <c r="G63" s="333">
        <v>3781.5923550900002</v>
      </c>
      <c r="H63" s="334"/>
      <c r="I63" s="118"/>
      <c r="J63" s="334"/>
      <c r="K63" s="398"/>
    </row>
    <row r="64" spans="1:11">
      <c r="A64" s="335">
        <v>36861</v>
      </c>
      <c r="B64" s="334"/>
      <c r="C64" s="336">
        <v>1363.9546499999999</v>
      </c>
      <c r="D64" s="334"/>
      <c r="E64" s="337">
        <f t="shared" si="1"/>
        <v>0.43188727934198118</v>
      </c>
      <c r="F64" s="334"/>
      <c r="G64" s="333">
        <v>3158.1264724399998</v>
      </c>
      <c r="H64" s="397"/>
      <c r="I64" s="118">
        <v>493890</v>
      </c>
      <c r="J64" s="399">
        <f t="shared" ref="J64:J69" si="2">K64/I64</f>
        <v>0.10540808682095204</v>
      </c>
      <c r="K64" s="398">
        <v>52060</v>
      </c>
    </row>
    <row r="65" spans="1:11">
      <c r="A65" s="335">
        <v>36892</v>
      </c>
      <c r="B65" s="334"/>
      <c r="C65" s="336">
        <v>1579.8877399999999</v>
      </c>
      <c r="D65" s="334"/>
      <c r="E65" s="337">
        <f t="shared" si="1"/>
        <v>0.40097855111274927</v>
      </c>
      <c r="F65" s="334"/>
      <c r="G65" s="333">
        <v>3940.0804247900001</v>
      </c>
      <c r="H65" s="397"/>
      <c r="I65" s="118">
        <v>66570</v>
      </c>
      <c r="J65" s="399">
        <f t="shared" si="2"/>
        <v>1.1147664112963798</v>
      </c>
      <c r="K65" s="398">
        <v>74210</v>
      </c>
    </row>
    <row r="66" spans="1:11">
      <c r="A66" s="24">
        <v>36923</v>
      </c>
      <c r="B66" s="60"/>
      <c r="C66" s="330">
        <v>1585.02495</v>
      </c>
      <c r="D66" s="60"/>
      <c r="E66" s="323">
        <f t="shared" si="1"/>
        <v>0.49794650116604289</v>
      </c>
      <c r="F66" s="60"/>
      <c r="G66" s="324">
        <v>3183.1229786499998</v>
      </c>
      <c r="H66" s="465"/>
      <c r="I66" s="117">
        <v>118120</v>
      </c>
      <c r="J66" s="145">
        <f t="shared" si="2"/>
        <v>0.56696579749407383</v>
      </c>
      <c r="K66" s="26">
        <v>66970</v>
      </c>
    </row>
    <row r="67" spans="1:11">
      <c r="A67" s="24">
        <v>36951</v>
      </c>
      <c r="B67" s="60"/>
      <c r="C67" s="330">
        <v>1403.7155399999999</v>
      </c>
      <c r="D67" s="60"/>
      <c r="E67" s="323">
        <f t="shared" si="1"/>
        <v>0.52947185255266627</v>
      </c>
      <c r="F67" s="60"/>
      <c r="G67" s="324">
        <v>2651.16178175</v>
      </c>
      <c r="H67" s="475"/>
      <c r="I67" s="117">
        <v>72510</v>
      </c>
      <c r="J67" s="145">
        <f t="shared" si="2"/>
        <v>1.0255137222452075</v>
      </c>
      <c r="K67" s="26">
        <v>74360</v>
      </c>
    </row>
    <row r="68" spans="1:11">
      <c r="A68" s="24">
        <v>36982</v>
      </c>
      <c r="B68" s="60"/>
      <c r="C68" s="330">
        <v>2098.9615800000001</v>
      </c>
      <c r="D68" s="60"/>
      <c r="E68" s="323">
        <f t="shared" si="1"/>
        <v>0.60649311467794342</v>
      </c>
      <c r="F68" s="60"/>
      <c r="G68" s="324">
        <v>3460.8168323800001</v>
      </c>
      <c r="H68" s="475"/>
      <c r="I68" s="117">
        <v>35820</v>
      </c>
      <c r="J68" s="145">
        <f t="shared" si="2"/>
        <v>1.9603573422668901</v>
      </c>
      <c r="K68" s="26">
        <v>70220</v>
      </c>
    </row>
    <row r="69" spans="1:11">
      <c r="A69" s="24">
        <v>37012</v>
      </c>
      <c r="B69" s="60"/>
      <c r="C69" s="330">
        <v>1497.598</v>
      </c>
      <c r="D69" s="60"/>
      <c r="E69" s="323">
        <f>C69/G69</f>
        <v>0.44716498039022484</v>
      </c>
      <c r="F69" s="60"/>
      <c r="G69" s="324">
        <v>3349.0949999999998</v>
      </c>
      <c r="H69" s="475"/>
      <c r="I69" s="117">
        <v>29970</v>
      </c>
      <c r="J69" s="145">
        <f t="shared" si="2"/>
        <v>0.7097097097097097</v>
      </c>
      <c r="K69" s="26">
        <v>21270</v>
      </c>
    </row>
    <row r="70" spans="1:11">
      <c r="A70" s="24">
        <v>37043</v>
      </c>
      <c r="B70" s="60"/>
      <c r="C70" s="330">
        <v>1150.42401</v>
      </c>
      <c r="D70" s="60"/>
      <c r="E70" s="323">
        <f t="shared" ref="E70:E82" si="3">C70/G70</f>
        <v>0.44113995251471011</v>
      </c>
      <c r="F70" s="60"/>
      <c r="G70" s="324">
        <v>2607.8436184299999</v>
      </c>
      <c r="H70" s="475"/>
      <c r="I70" s="117">
        <v>3200</v>
      </c>
      <c r="J70" s="145">
        <f>K70/I70</f>
        <v>0</v>
      </c>
      <c r="K70" s="26">
        <v>0</v>
      </c>
    </row>
    <row r="71" spans="1:11">
      <c r="A71" s="24">
        <v>37073</v>
      </c>
      <c r="B71" s="60"/>
      <c r="C71" s="330">
        <v>1768.0563199999999</v>
      </c>
      <c r="D71" s="60"/>
      <c r="E71" s="323">
        <f t="shared" si="3"/>
        <v>0.27261227673532157</v>
      </c>
      <c r="F71" s="60"/>
      <c r="G71" s="324">
        <v>6485.6078426599997</v>
      </c>
      <c r="H71" s="475"/>
      <c r="I71" s="117">
        <v>900</v>
      </c>
      <c r="J71" s="145">
        <f>K71/I71</f>
        <v>0</v>
      </c>
      <c r="K71" s="26">
        <v>0</v>
      </c>
    </row>
    <row r="72" spans="1:11">
      <c r="A72" s="24">
        <v>37104</v>
      </c>
      <c r="B72" s="60"/>
      <c r="C72" s="202">
        <v>1462.66101</v>
      </c>
      <c r="D72" s="60"/>
      <c r="E72" s="323">
        <f t="shared" si="3"/>
        <v>0.30487735848499897</v>
      </c>
      <c r="F72" s="60"/>
      <c r="G72" s="324">
        <v>4797.5389752399997</v>
      </c>
      <c r="H72" s="60"/>
      <c r="I72" s="22">
        <v>9530</v>
      </c>
      <c r="J72" s="145">
        <f>K72/I72</f>
        <v>0</v>
      </c>
      <c r="K72" s="22">
        <v>0</v>
      </c>
    </row>
    <row r="73" spans="1:11">
      <c r="A73" s="24">
        <v>37135</v>
      </c>
      <c r="B73" s="60"/>
      <c r="C73" s="202">
        <v>1847.5500500000001</v>
      </c>
      <c r="D73" s="60"/>
      <c r="E73" s="323">
        <f t="shared" si="3"/>
        <v>0.32848592032113633</v>
      </c>
      <c r="F73" s="60"/>
      <c r="G73" s="324">
        <v>5624.44213193</v>
      </c>
      <c r="H73" s="60"/>
      <c r="I73" s="22">
        <v>12200</v>
      </c>
      <c r="J73" s="145">
        <f>K73/I73</f>
        <v>0</v>
      </c>
      <c r="K73" s="22">
        <v>0</v>
      </c>
    </row>
    <row r="74" spans="1:11">
      <c r="A74" s="24">
        <v>37165</v>
      </c>
      <c r="B74" s="60"/>
      <c r="C74" s="202">
        <v>1215.5576000000001</v>
      </c>
      <c r="D74" s="60"/>
      <c r="E74" s="323">
        <f t="shared" si="3"/>
        <v>0.38175701862080463</v>
      </c>
      <c r="F74" s="60"/>
      <c r="G74" s="324">
        <v>3184.1132990599999</v>
      </c>
      <c r="H74" s="60"/>
      <c r="I74" s="22">
        <v>0</v>
      </c>
      <c r="J74" s="145">
        <v>0</v>
      </c>
      <c r="K74" s="22">
        <v>3000</v>
      </c>
    </row>
    <row r="75" spans="1:11">
      <c r="A75" s="24">
        <v>37196</v>
      </c>
      <c r="B75" s="60"/>
      <c r="C75" s="202">
        <v>1461.08898</v>
      </c>
      <c r="D75" s="60"/>
      <c r="E75" s="323">
        <f t="shared" si="3"/>
        <v>0.42232625087148734</v>
      </c>
      <c r="F75" s="60"/>
      <c r="G75" s="324">
        <v>3459.6215058500002</v>
      </c>
      <c r="H75" s="60"/>
      <c r="I75" s="22">
        <v>0</v>
      </c>
      <c r="J75" s="145">
        <v>0</v>
      </c>
      <c r="K75" s="22">
        <v>0</v>
      </c>
    </row>
    <row r="76" spans="1:11">
      <c r="A76" s="24">
        <v>37226</v>
      </c>
      <c r="B76" s="60"/>
      <c r="C76" s="202">
        <v>1150.41155</v>
      </c>
      <c r="D76" s="60"/>
      <c r="E76" s="323">
        <f>C76/G76</f>
        <v>0.2587995476337866</v>
      </c>
      <c r="F76" s="60"/>
      <c r="G76" s="324">
        <v>4445.1837745399998</v>
      </c>
      <c r="H76" s="60"/>
      <c r="I76" s="22">
        <v>0</v>
      </c>
      <c r="J76" s="145">
        <v>0</v>
      </c>
      <c r="K76" s="22">
        <v>0</v>
      </c>
    </row>
    <row r="77" spans="1:11">
      <c r="A77" s="24">
        <v>37257</v>
      </c>
      <c r="B77" s="60"/>
      <c r="C77" s="202">
        <v>1462.8117110000001</v>
      </c>
      <c r="D77" s="60"/>
      <c r="E77" s="323">
        <f t="shared" si="3"/>
        <v>0.26903054379168867</v>
      </c>
      <c r="F77" s="60"/>
      <c r="G77" s="324">
        <v>5437.3443638899998</v>
      </c>
      <c r="H77" s="60"/>
      <c r="I77" s="22">
        <v>0</v>
      </c>
      <c r="J77" s="145">
        <v>0</v>
      </c>
      <c r="K77" s="22">
        <v>0</v>
      </c>
    </row>
    <row r="78" spans="1:11">
      <c r="A78" s="24">
        <v>37288</v>
      </c>
      <c r="B78" s="60"/>
      <c r="C78" s="202">
        <v>1178.1236699999999</v>
      </c>
      <c r="D78" s="60"/>
      <c r="E78" s="323">
        <f t="shared" si="3"/>
        <v>0.22983381622573013</v>
      </c>
      <c r="F78" s="60"/>
      <c r="G78" s="324">
        <v>5125.9805425799996</v>
      </c>
      <c r="H78" s="60"/>
      <c r="I78" s="22">
        <v>0</v>
      </c>
      <c r="J78" s="145">
        <v>0</v>
      </c>
      <c r="K78" s="22">
        <v>0</v>
      </c>
    </row>
    <row r="79" spans="1:11">
      <c r="A79" s="24">
        <v>37316</v>
      </c>
      <c r="B79" s="60"/>
      <c r="C79" s="202">
        <v>1538.6865</v>
      </c>
      <c r="D79" s="60"/>
      <c r="E79" s="323">
        <f t="shared" si="3"/>
        <v>0.21958008413126953</v>
      </c>
      <c r="F79" s="60"/>
      <c r="G79" s="324">
        <v>7007.4046382099996</v>
      </c>
      <c r="H79" s="60"/>
      <c r="I79" s="22">
        <v>0</v>
      </c>
      <c r="J79" s="145">
        <v>0</v>
      </c>
      <c r="K79" s="22">
        <v>0</v>
      </c>
    </row>
    <row r="80" spans="1:11">
      <c r="A80" s="24">
        <v>37347</v>
      </c>
      <c r="B80" s="60"/>
      <c r="C80" s="202">
        <v>1801.20066</v>
      </c>
      <c r="D80" s="60"/>
      <c r="E80" s="323">
        <f t="shared" si="3"/>
        <v>0.19019002164094986</v>
      </c>
      <c r="F80" s="60"/>
      <c r="G80" s="324">
        <v>9470.5318631299997</v>
      </c>
      <c r="H80" s="60"/>
      <c r="I80" s="22">
        <v>0</v>
      </c>
      <c r="J80" s="145">
        <v>0</v>
      </c>
      <c r="K80" s="22">
        <v>500</v>
      </c>
    </row>
    <row r="81" spans="1:11">
      <c r="A81" s="24">
        <v>37377</v>
      </c>
      <c r="B81" s="60"/>
      <c r="C81" s="202">
        <v>1433.6687199999999</v>
      </c>
      <c r="D81" s="60"/>
      <c r="E81" s="323">
        <f t="shared" si="3"/>
        <v>0.25829552542249784</v>
      </c>
      <c r="F81" s="60"/>
      <c r="G81" s="324">
        <v>5550.4977008599999</v>
      </c>
      <c r="H81" s="60"/>
      <c r="I81" s="22">
        <v>0</v>
      </c>
      <c r="J81" s="145">
        <v>0</v>
      </c>
      <c r="K81" s="22">
        <v>0</v>
      </c>
    </row>
    <row r="82" spans="1:11">
      <c r="A82" s="24">
        <v>37408</v>
      </c>
      <c r="B82" s="60"/>
      <c r="C82" s="202">
        <v>1398.5353700000001</v>
      </c>
      <c r="D82" s="60"/>
      <c r="E82" s="323">
        <f t="shared" si="3"/>
        <v>0.26461831459520058</v>
      </c>
      <c r="F82" s="60"/>
      <c r="G82" s="324">
        <v>5285.10421563</v>
      </c>
      <c r="H82" s="60"/>
      <c r="I82" s="22">
        <v>0</v>
      </c>
      <c r="J82" s="145">
        <v>0</v>
      </c>
      <c r="K82" s="22">
        <v>0</v>
      </c>
    </row>
    <row r="83" spans="1:11">
      <c r="A83" s="24">
        <v>37438</v>
      </c>
      <c r="B83" s="60"/>
      <c r="C83" s="202">
        <v>1814.3211699999999</v>
      </c>
      <c r="D83" s="60"/>
      <c r="E83" s="323">
        <f t="shared" ref="E83:E88" si="4">C83/G83</f>
        <v>0.45353358819161099</v>
      </c>
      <c r="F83" s="60"/>
      <c r="G83" s="324">
        <v>4000.41191488</v>
      </c>
      <c r="H83" s="60"/>
      <c r="I83" s="22">
        <v>0</v>
      </c>
      <c r="J83" s="145">
        <v>0</v>
      </c>
      <c r="K83" s="22">
        <v>0</v>
      </c>
    </row>
    <row r="84" spans="1:11">
      <c r="A84" s="24">
        <v>37469</v>
      </c>
      <c r="B84" s="60"/>
      <c r="C84" s="202">
        <v>1230.12643</v>
      </c>
      <c r="D84" s="60"/>
      <c r="E84" s="323">
        <f t="shared" si="4"/>
        <v>0.33944311057018833</v>
      </c>
      <c r="F84" s="60"/>
      <c r="G84" s="324">
        <v>3623.9546236000001</v>
      </c>
      <c r="H84" s="60"/>
      <c r="I84" s="22">
        <v>0</v>
      </c>
      <c r="J84" s="145">
        <v>0</v>
      </c>
      <c r="K84" s="22">
        <v>0</v>
      </c>
    </row>
    <row r="85" spans="1:11">
      <c r="A85" s="24">
        <v>37500</v>
      </c>
      <c r="B85" s="60"/>
      <c r="C85" s="202">
        <v>1632.76441</v>
      </c>
      <c r="D85" s="60"/>
      <c r="E85" s="323">
        <f t="shared" si="4"/>
        <v>0.46504173235945945</v>
      </c>
      <c r="F85" s="60"/>
      <c r="G85" s="324">
        <v>3511.0062095200001</v>
      </c>
      <c r="H85" s="60"/>
      <c r="I85" s="22">
        <v>0</v>
      </c>
      <c r="J85" s="145">
        <v>0</v>
      </c>
      <c r="K85" s="22">
        <v>0</v>
      </c>
    </row>
    <row r="86" spans="1:11">
      <c r="A86" s="24">
        <v>37530</v>
      </c>
      <c r="B86" s="60"/>
      <c r="C86" s="202">
        <v>1592.94182</v>
      </c>
      <c r="D86" s="60"/>
      <c r="E86" s="323">
        <f t="shared" si="4"/>
        <v>0.52608664972845809</v>
      </c>
      <c r="F86" s="60"/>
      <c r="G86" s="324">
        <v>3027.9077046000002</v>
      </c>
      <c r="H86" s="60"/>
      <c r="I86" s="22">
        <v>0</v>
      </c>
      <c r="J86" s="145">
        <v>0</v>
      </c>
      <c r="K86" s="22">
        <v>0</v>
      </c>
    </row>
    <row r="87" spans="1:11">
      <c r="A87" s="24">
        <v>37561</v>
      </c>
      <c r="B87" s="60"/>
      <c r="C87" s="202">
        <v>985.95826999999997</v>
      </c>
      <c r="D87" s="60"/>
      <c r="E87" s="323">
        <f t="shared" si="4"/>
        <v>0.3330401591165959</v>
      </c>
      <c r="F87" s="60"/>
      <c r="G87" s="324">
        <v>2960.4786180000001</v>
      </c>
      <c r="H87" s="60"/>
      <c r="I87" s="22">
        <v>0</v>
      </c>
      <c r="J87" s="145">
        <v>0</v>
      </c>
      <c r="K87" s="22">
        <v>0</v>
      </c>
    </row>
    <row r="88" spans="1:11">
      <c r="A88" s="24">
        <v>37591</v>
      </c>
      <c r="B88" s="60"/>
      <c r="C88" s="202">
        <v>671.71852999999999</v>
      </c>
      <c r="D88" s="60"/>
      <c r="E88" s="323">
        <f t="shared" si="4"/>
        <v>0.24247014335769443</v>
      </c>
      <c r="F88" s="60"/>
      <c r="G88" s="324">
        <v>2770.31440118</v>
      </c>
      <c r="H88" s="60"/>
      <c r="I88" s="22">
        <v>0</v>
      </c>
      <c r="J88" s="145">
        <v>0</v>
      </c>
      <c r="K88" s="22">
        <v>0</v>
      </c>
    </row>
    <row r="89" spans="1:11">
      <c r="A89" s="24">
        <v>37622</v>
      </c>
      <c r="B89" s="60"/>
      <c r="C89" s="202">
        <v>1305.39805</v>
      </c>
      <c r="D89" s="60"/>
      <c r="E89" s="323">
        <f t="shared" ref="E89:E94" si="5">C89/G89</f>
        <v>0.282435756909036</v>
      </c>
      <c r="F89" s="60"/>
      <c r="G89" s="324">
        <v>4621.9291221699996</v>
      </c>
      <c r="H89" s="60"/>
      <c r="I89" s="22">
        <v>0</v>
      </c>
      <c r="J89" s="145">
        <v>0</v>
      </c>
      <c r="K89" s="22">
        <v>0</v>
      </c>
    </row>
    <row r="90" spans="1:11">
      <c r="A90" s="24">
        <v>37653</v>
      </c>
      <c r="B90" s="60"/>
      <c r="C90" s="202">
        <v>798.06281999999999</v>
      </c>
      <c r="D90" s="60"/>
      <c r="E90" s="323">
        <f t="shared" si="5"/>
        <v>0.2886094855807671</v>
      </c>
      <c r="F90" s="60"/>
      <c r="G90" s="324">
        <v>2765.1995511999999</v>
      </c>
      <c r="H90" s="60"/>
      <c r="I90" s="22">
        <v>0</v>
      </c>
      <c r="J90" s="145">
        <v>0</v>
      </c>
      <c r="K90" s="22">
        <v>0</v>
      </c>
    </row>
    <row r="91" spans="1:11">
      <c r="A91" s="24">
        <v>37681</v>
      </c>
      <c r="B91" s="60"/>
      <c r="C91" s="202">
        <v>913.73200999999995</v>
      </c>
      <c r="D91" s="60"/>
      <c r="E91" s="323">
        <f t="shared" si="5"/>
        <v>0.23604327518818874</v>
      </c>
      <c r="F91" s="60"/>
      <c r="G91" s="324">
        <v>3871.0359753799999</v>
      </c>
      <c r="H91" s="60"/>
      <c r="I91" s="22">
        <v>0</v>
      </c>
      <c r="J91" s="145">
        <v>0</v>
      </c>
      <c r="K91" s="22">
        <v>0</v>
      </c>
    </row>
    <row r="92" spans="1:11">
      <c r="A92" s="24">
        <v>37712</v>
      </c>
      <c r="B92" s="60"/>
      <c r="C92" s="202">
        <v>910.49766999999997</v>
      </c>
      <c r="D92" s="60"/>
      <c r="E92" s="323">
        <f t="shared" si="5"/>
        <v>0.26071781109336373</v>
      </c>
      <c r="F92" s="60"/>
      <c r="G92" s="324">
        <v>3492.2726076200001</v>
      </c>
      <c r="H92" s="60"/>
      <c r="I92" s="22">
        <v>0</v>
      </c>
      <c r="J92" s="145">
        <v>0</v>
      </c>
      <c r="K92" s="22">
        <v>0</v>
      </c>
    </row>
    <row r="93" spans="1:11">
      <c r="A93" s="24">
        <v>37742</v>
      </c>
      <c r="B93" s="60"/>
      <c r="C93" s="202">
        <v>951.21405000000004</v>
      </c>
      <c r="D93" s="60"/>
      <c r="E93" s="323">
        <f t="shared" si="5"/>
        <v>0.24240035582422631</v>
      </c>
      <c r="F93" s="60"/>
      <c r="G93" s="324">
        <v>3924.1446109499998</v>
      </c>
      <c r="H93" s="60"/>
      <c r="I93" s="22">
        <v>0</v>
      </c>
      <c r="J93" s="145">
        <v>0</v>
      </c>
      <c r="K93" s="22">
        <v>0</v>
      </c>
    </row>
    <row r="94" spans="1:11">
      <c r="A94" s="24">
        <v>37773</v>
      </c>
      <c r="B94" s="60"/>
      <c r="C94" s="202">
        <v>1500.48182</v>
      </c>
      <c r="D94" s="60"/>
      <c r="E94" s="323">
        <f t="shared" si="5"/>
        <v>0.27196342133226864</v>
      </c>
      <c r="F94" s="60"/>
      <c r="G94" s="324">
        <v>5517.2192372400004</v>
      </c>
      <c r="H94" s="60"/>
      <c r="I94" s="22">
        <v>0</v>
      </c>
      <c r="J94" s="145">
        <v>0</v>
      </c>
      <c r="K94" s="22">
        <v>0</v>
      </c>
    </row>
    <row r="95" spans="1:11">
      <c r="A95" s="24">
        <v>37803</v>
      </c>
      <c r="B95" s="60"/>
      <c r="C95" s="202">
        <v>2031.1451199999999</v>
      </c>
      <c r="D95" s="60"/>
      <c r="E95" s="323">
        <f t="shared" ref="E95:E100" si="6">C95/G95</f>
        <v>0.24043249497522123</v>
      </c>
      <c r="F95" s="60"/>
      <c r="G95" s="324">
        <v>8447.8810578800003</v>
      </c>
      <c r="H95" s="60"/>
      <c r="I95" s="22">
        <v>0</v>
      </c>
      <c r="J95" s="145">
        <v>0</v>
      </c>
      <c r="K95" s="22">
        <v>0</v>
      </c>
    </row>
    <row r="96" spans="1:11">
      <c r="A96" s="24">
        <v>37834</v>
      </c>
      <c r="B96" s="60"/>
      <c r="C96" s="202">
        <v>1575.5474200000001</v>
      </c>
      <c r="D96" s="60"/>
      <c r="E96" s="323">
        <f t="shared" si="6"/>
        <v>0.26212612866301466</v>
      </c>
      <c r="F96" s="60"/>
      <c r="G96" s="324">
        <v>6010.6462031700003</v>
      </c>
      <c r="H96" s="60"/>
      <c r="I96" s="22">
        <v>0</v>
      </c>
      <c r="J96" s="145">
        <v>0</v>
      </c>
      <c r="K96" s="22">
        <v>0</v>
      </c>
    </row>
    <row r="97" spans="1:11">
      <c r="A97" s="24">
        <v>37865</v>
      </c>
      <c r="B97" s="60"/>
      <c r="C97" s="202">
        <v>1448.0416499999999</v>
      </c>
      <c r="D97" s="60"/>
      <c r="E97" s="323">
        <f t="shared" si="6"/>
        <v>0.21879440293416583</v>
      </c>
      <c r="F97" s="60"/>
      <c r="G97" s="324">
        <v>6618.27556181</v>
      </c>
      <c r="H97" s="60"/>
      <c r="I97" s="22">
        <v>0</v>
      </c>
      <c r="J97" s="145">
        <v>0</v>
      </c>
      <c r="K97" s="22">
        <v>0</v>
      </c>
    </row>
    <row r="98" spans="1:11">
      <c r="A98" s="24">
        <v>37895</v>
      </c>
      <c r="B98" s="60"/>
      <c r="C98" s="202">
        <v>2175.8303000000001</v>
      </c>
      <c r="D98" s="60"/>
      <c r="E98" s="323">
        <f t="shared" si="6"/>
        <v>0.18429726082790832</v>
      </c>
      <c r="F98" s="60"/>
      <c r="G98" s="324">
        <v>11806.09136688</v>
      </c>
      <c r="H98" s="60"/>
      <c r="I98" s="22">
        <v>0</v>
      </c>
      <c r="J98" s="145">
        <v>0</v>
      </c>
      <c r="K98" s="22">
        <v>0</v>
      </c>
    </row>
    <row r="99" spans="1:11">
      <c r="A99" s="24">
        <v>37926</v>
      </c>
      <c r="B99" s="60"/>
      <c r="C99" s="202">
        <v>1722.6547</v>
      </c>
      <c r="D99" s="60"/>
      <c r="E99" s="323">
        <f t="shared" si="6"/>
        <v>0.31405445100534291</v>
      </c>
      <c r="F99" s="60"/>
      <c r="G99" s="324">
        <v>5485.2102700200003</v>
      </c>
      <c r="H99" s="60"/>
      <c r="I99" s="22">
        <v>0</v>
      </c>
      <c r="J99" s="145">
        <v>0</v>
      </c>
      <c r="K99" s="22">
        <v>0</v>
      </c>
    </row>
    <row r="100" spans="1:11">
      <c r="A100" s="24">
        <v>37956</v>
      </c>
      <c r="B100" s="60"/>
      <c r="C100" s="202">
        <v>2176.165825</v>
      </c>
      <c r="D100" s="60"/>
      <c r="E100" s="323">
        <f t="shared" si="6"/>
        <v>0.40293566885450777</v>
      </c>
      <c r="F100" s="60"/>
      <c r="G100" s="324">
        <v>5400.7773280199999</v>
      </c>
      <c r="H100" s="60"/>
      <c r="I100" s="22">
        <v>0</v>
      </c>
      <c r="J100" s="145">
        <v>0</v>
      </c>
      <c r="K100" s="22">
        <v>0</v>
      </c>
    </row>
  </sheetData>
  <phoneticPr fontId="69" type="noConversion"/>
  <pageMargins left="0.75" right="0.75" top="1" bottom="1" header="0.5" footer="0.5"/>
  <pageSetup paperSize="9" orientation="portrait" horizontalDpi="4294967292" verticalDpi="96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KLSEdiary(R) (2)</vt:lpstr>
      <vt:lpstr>General(R)</vt:lpstr>
      <vt:lpstr>KLSEdiary(R)</vt:lpstr>
      <vt:lpstr>MDEX Report</vt:lpstr>
      <vt:lpstr>Monthly_vol_op</vt:lpstr>
      <vt:lpstr>notional</vt:lpstr>
      <vt:lpstr>'General(R)'!Print_Area</vt:lpstr>
      <vt:lpstr>'KLSEdiary(R)'!Print_Area</vt:lpstr>
      <vt:lpstr>'KLSEdiary(R) (2)'!Print_Area</vt:lpstr>
      <vt:lpstr>'MDEX Report'!Print_Area</vt:lpstr>
      <vt:lpstr>'KLSEdiary(R)'!Print_Titles</vt:lpstr>
      <vt:lpstr>'KLSEdiary(R) (2)'!Print_Titles</vt:lpstr>
    </vt:vector>
  </TitlesOfParts>
  <Company>Malaysia Derivatives Exchange Berhad (MDEX)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MDEX - Strategic Planning and Product Development Department</dc:creator>
  <cp:lastModifiedBy>CT</cp:lastModifiedBy>
  <cp:lastPrinted>2004-01-16T02:22:30Z</cp:lastPrinted>
  <dcterms:created xsi:type="dcterms:W3CDTF">2000-11-14T07:00:05Z</dcterms:created>
  <dcterms:modified xsi:type="dcterms:W3CDTF">2008-10-15T09:43:24Z</dcterms:modified>
</cp:coreProperties>
</file>