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65521" windowWidth="19155" windowHeight="12285" activeTab="13"/>
  </bookViews>
  <sheets>
    <sheet name="Financial Year" sheetId="1" r:id="rId1"/>
    <sheet name="Finacial Yr Cumulative" sheetId="2" r:id="rId2"/>
    <sheet name="Fin Yr Comp" sheetId="3" r:id="rId3"/>
    <sheet name="Monthly Sales" sheetId="4" r:id="rId4"/>
    <sheet name="Compare Months" sheetId="5" r:id="rId5"/>
    <sheet name="Total Cumulative" sheetId="6" r:id="rId6"/>
    <sheet name="School Yr Comp" sheetId="7" r:id="rId7"/>
    <sheet name="CD Cumulative" sheetId="8" r:id="rId8"/>
    <sheet name="Assessment Cumulative" sheetId="9" r:id="rId9"/>
    <sheet name="Work Books Cumulative" sheetId="10" r:id="rId10"/>
    <sheet name="Wkbks v prev year" sheetId="11" r:id="rId11"/>
    <sheet name="Percentages" sheetId="12" r:id="rId12"/>
    <sheet name="Weekly Data" sheetId="13" r:id="rId13"/>
    <sheet name="Monthly Data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<sst xmlns="http://schemas.openxmlformats.org/spreadsheetml/2006/main" count="291" uniqueCount="52">
  <si>
    <t>Week</t>
  </si>
  <si>
    <t>Small</t>
  </si>
  <si>
    <t>Work</t>
  </si>
  <si>
    <t>Cumalative</t>
  </si>
  <si>
    <t>Total</t>
  </si>
  <si>
    <t>%</t>
  </si>
  <si>
    <t>Month</t>
  </si>
  <si>
    <t>Steps</t>
  </si>
  <si>
    <t>Books</t>
  </si>
  <si>
    <t>SSSA</t>
  </si>
  <si>
    <t>Value</t>
  </si>
  <si>
    <t>Growth</t>
  </si>
  <si>
    <t xml:space="preserve"> </t>
  </si>
  <si>
    <t>No.</t>
  </si>
  <si>
    <t>Weekly</t>
  </si>
  <si>
    <t>Average</t>
  </si>
  <si>
    <t>Costs</t>
  </si>
  <si>
    <t xml:space="preserve">Monthly </t>
  </si>
  <si>
    <t xml:space="preserve">Cumulative </t>
  </si>
  <si>
    <t>Monthly</t>
  </si>
  <si>
    <t>Profit</t>
  </si>
  <si>
    <t>Avg Mth</t>
  </si>
  <si>
    <t>Mth</t>
  </si>
  <si>
    <t>% of</t>
  </si>
  <si>
    <t>Turnover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</si>
  <si>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</si>
  <si>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</si>
  <si>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</si>
  <si>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</si>
  <si>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</si>
  <si>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</si>
  <si>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</si>
  <si>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</si>
  <si>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</si>
  <si>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</si>
  <si>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</si>
  <si>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</si>
  <si>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% Increase v</t>
  </si>
  <si>
    <t>previous year</t>
  </si>
  <si>
    <t>Assesment</t>
  </si>
  <si>
    <t>Cumulative</t>
  </si>
  <si>
    <t>Workbooks</t>
  </si>
  <si>
    <t>Early</t>
  </si>
  <si>
    <t>ICT</t>
  </si>
  <si>
    <t>Financial Year</t>
  </si>
  <si>
    <t>CD</t>
  </si>
  <si>
    <t>incl VAT</t>
  </si>
  <si>
    <t>Ex VAT</t>
  </si>
  <si>
    <t>Fin Cum</t>
  </si>
  <si>
    <t>Training</t>
  </si>
  <si>
    <t>Assessment</t>
  </si>
  <si>
    <t>Percentage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</si>
</sst>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£&quot;#,##0"/>
    <numFmt numFmtId="174" formatCode="&quot;£&quot;#,##0.00"/>
    <numFmt numFmtId="175" formatCode="mmm"/>
    <numFmt numFmtId="176" formatCode="&quot;£&quot;#,##0.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38"/>
      <name val="Arial"/>
      <family val="2"/>
    </font>
    <font>
      <sz val="10"/>
      <color indexed="39"/>
      <name val="Arial"/>
      <family val="2"/>
    </font>
    <font>
      <sz val="18.25"/>
      <name val="Arial"/>
      <family val="0"/>
    </font>
    <font>
      <b/>
      <sz val="20.25"/>
      <name val="Arial"/>
      <family val="0"/>
    </font>
    <font>
      <b/>
      <sz val="23.75"/>
      <name val="Arial"/>
      <family val="0"/>
    </font>
    <font>
      <sz val="12"/>
      <name val="Arial"/>
      <family val="2"/>
    </font>
    <font>
      <sz val="23.25"/>
      <name val="Arial"/>
      <family val="0"/>
    </font>
    <font>
      <sz val="19.75"/>
      <name val="Arial"/>
      <family val="0"/>
    </font>
    <font>
      <sz val="10"/>
      <color indexed="56"/>
      <name val="Arial"/>
      <family val="2"/>
    </font>
    <font>
      <b/>
      <sz val="15.75"/>
      <name val="Arial"/>
      <family val="0"/>
    </font>
    <font>
      <b/>
      <sz val="23.25"/>
      <name val="Arial"/>
      <family val="0"/>
    </font>
    <font>
      <sz val="20"/>
      <name val="Arial"/>
      <family val="0"/>
    </font>
    <font>
      <sz val="19.25"/>
      <name val="Arial"/>
      <family val="0"/>
    </font>
    <font>
      <b/>
      <sz val="21.75"/>
      <name val="Arial"/>
      <family val="0"/>
    </font>
    <font>
      <sz val="18"/>
      <name val="Arial"/>
      <family val="0"/>
    </font>
    <font>
      <sz val="11"/>
      <name val="Arial"/>
      <family val="2"/>
    </font>
    <font>
      <b/>
      <sz val="16.5"/>
      <name val="Arial"/>
      <family val="0"/>
    </font>
    <font>
      <sz val="14.5"/>
      <name val="Arial"/>
      <family val="0"/>
    </font>
    <font>
      <b/>
      <sz val="25"/>
      <name val="Arial"/>
      <family val="0"/>
    </font>
    <font>
      <sz val="20.75"/>
      <name val="Arial"/>
      <family val="0"/>
    </font>
    <font>
      <sz val="8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12"/>
      <name val="Arial"/>
      <family val="0"/>
    </font>
    <font>
      <b/>
      <sz val="28"/>
      <name val="Arial"/>
      <family val="0"/>
    </font>
    <font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173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3" fontId="13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73" fontId="0" fillId="0" borderId="3" xfId="0" applyNumberFormat="1" applyBorder="1" applyAlignment="1">
      <alignment/>
    </xf>
    <xf numFmtId="173" fontId="13" fillId="0" borderId="3" xfId="0" applyNumberFormat="1" applyFont="1" applyBorder="1" applyAlignment="1">
      <alignment/>
    </xf>
    <xf numFmtId="5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5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73" fontId="4" fillId="0" borderId="3" xfId="0" applyNumberFormat="1" applyFont="1" applyBorder="1" applyAlignment="1">
      <alignment/>
    </xf>
    <xf numFmtId="173" fontId="6" fillId="0" borderId="3" xfId="0" applyNumberFormat="1" applyFont="1" applyBorder="1" applyAlignment="1">
      <alignment/>
    </xf>
    <xf numFmtId="5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/>
    </xf>
    <xf numFmtId="0" fontId="0" fillId="0" borderId="0" xfId="0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73" fontId="0" fillId="0" borderId="5" xfId="0" applyNumberFormat="1" applyBorder="1" applyAlignment="1">
      <alignment/>
    </xf>
    <xf numFmtId="9" fontId="0" fillId="0" borderId="5" xfId="0" applyNumberFormat="1" applyBorder="1" applyAlignment="1">
      <alignment horizontal="center"/>
    </xf>
    <xf numFmtId="5" fontId="0" fillId="0" borderId="5" xfId="0" applyNumberFormat="1" applyBorder="1" applyAlignment="1">
      <alignment/>
    </xf>
    <xf numFmtId="9" fontId="0" fillId="0" borderId="5" xfId="0" applyNumberFormat="1" applyBorder="1" applyAlignment="1">
      <alignment/>
    </xf>
    <xf numFmtId="173" fontId="4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73" fontId="6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5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7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3" fontId="13" fillId="0" borderId="7" xfId="0" applyNumberFormat="1" applyFont="1" applyBorder="1" applyAlignment="1">
      <alignment/>
    </xf>
    <xf numFmtId="173" fontId="13" fillId="0" borderId="8" xfId="0" applyNumberFormat="1" applyFont="1" applyBorder="1" applyAlignment="1">
      <alignment/>
    </xf>
    <xf numFmtId="173" fontId="13" fillId="0" borderId="9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3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5" xfId="0" applyNumberFormat="1" applyBorder="1" applyAlignment="1">
      <alignment horizontal="right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/>
    </xf>
    <xf numFmtId="10" fontId="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Finacial Year Total Monthly Sales v Previous Years</a:t>
            </a:r>
          </a:p>
        </c:rich>
      </c:tx>
      <c:layout/>
      <c:spPr>
        <a:noFill/>
        <a:ln>
          <a:noFill/>
        </a:ln>
      </c:spPr>
    </c:title>
    <c:view3D>
      <c:rotX val="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75"/>
          <c:y val="0.172"/>
          <c:w val="0.8035"/>
          <c:h val="0.82325"/>
        </c:manualLayout>
      </c:layout>
      <c:bar3DChart>
        <c:barDir val="col"/>
        <c:grouping val="standard"/>
        <c:varyColors val="0"/>
        <c:ser>
          <c:idx val="0"/>
          <c:order val="0"/>
          <c:tx>
            <c:v>1997/1998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Data'!$S$16:$S$27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'Weekly Data'!$AJ$4:$AJ$15</c:f>
              <c:numCache>
                <c:ptCount val="12"/>
                <c:pt idx="3">
                  <c:v>250</c:v>
                </c:pt>
                <c:pt idx="4">
                  <c:v>800</c:v>
                </c:pt>
                <c:pt idx="5">
                  <c:v>1560</c:v>
                </c:pt>
                <c:pt idx="6">
                  <c:v>2205</c:v>
                </c:pt>
                <c:pt idx="7">
                  <c:v>2960</c:v>
                </c:pt>
                <c:pt idx="8">
                  <c:v>1505</c:v>
                </c:pt>
                <c:pt idx="9">
                  <c:v>2335</c:v>
                </c:pt>
                <c:pt idx="10">
                  <c:v>975</c:v>
                </c:pt>
                <c:pt idx="11">
                  <c:v>2335</c:v>
                </c:pt>
              </c:numCache>
            </c:numRef>
          </c:val>
          <c:shape val="box"/>
        </c:ser>
        <c:ser>
          <c:idx val="1"/>
          <c:order val="1"/>
          <c:tx>
            <c:v>1998/1999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Data'!$S$16:$S$27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'Weekly Data'!$AJ$16:$AJ$27</c:f>
              <c:numCache>
                <c:ptCount val="12"/>
                <c:pt idx="0">
                  <c:v>4290</c:v>
                </c:pt>
                <c:pt idx="1">
                  <c:v>2010</c:v>
                </c:pt>
                <c:pt idx="2">
                  <c:v>975</c:v>
                </c:pt>
                <c:pt idx="3">
                  <c:v>3905</c:v>
                </c:pt>
                <c:pt idx="4">
                  <c:v>2510</c:v>
                </c:pt>
                <c:pt idx="5">
                  <c:v>2892</c:v>
                </c:pt>
                <c:pt idx="6">
                  <c:v>1240</c:v>
                </c:pt>
                <c:pt idx="7">
                  <c:v>2785</c:v>
                </c:pt>
                <c:pt idx="8">
                  <c:v>1760</c:v>
                </c:pt>
                <c:pt idx="9">
                  <c:v>1665</c:v>
                </c:pt>
                <c:pt idx="10">
                  <c:v>550</c:v>
                </c:pt>
                <c:pt idx="11">
                  <c:v>2375</c:v>
                </c:pt>
              </c:numCache>
            </c:numRef>
          </c:val>
          <c:shape val="box"/>
        </c:ser>
        <c:ser>
          <c:idx val="2"/>
          <c:order val="2"/>
          <c:tx>
            <c:v>1999/2000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Data'!$S$16:$S$27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'Weekly Data'!$AJ$28:$AJ$39</c:f>
              <c:numCache>
                <c:ptCount val="12"/>
                <c:pt idx="0">
                  <c:v>6010</c:v>
                </c:pt>
                <c:pt idx="1">
                  <c:v>3555</c:v>
                </c:pt>
                <c:pt idx="2">
                  <c:v>1645</c:v>
                </c:pt>
                <c:pt idx="3">
                  <c:v>3715</c:v>
                </c:pt>
                <c:pt idx="4">
                  <c:v>2055</c:v>
                </c:pt>
                <c:pt idx="5">
                  <c:v>4765</c:v>
                </c:pt>
                <c:pt idx="6">
                  <c:v>1045</c:v>
                </c:pt>
                <c:pt idx="7">
                  <c:v>2760</c:v>
                </c:pt>
                <c:pt idx="8">
                  <c:v>875</c:v>
                </c:pt>
                <c:pt idx="9">
                  <c:v>3505</c:v>
                </c:pt>
                <c:pt idx="10">
                  <c:v>9041</c:v>
                </c:pt>
                <c:pt idx="11">
                  <c:v>7879</c:v>
                </c:pt>
              </c:numCache>
            </c:numRef>
          </c:val>
          <c:shape val="box"/>
        </c:ser>
        <c:ser>
          <c:idx val="3"/>
          <c:order val="3"/>
          <c:tx>
            <c:v>2000/2001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Data'!$S$16:$S$27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'Weekly Data'!$AJ$40:$AJ$51</c:f>
              <c:numCache>
                <c:ptCount val="12"/>
                <c:pt idx="0">
                  <c:v>13960</c:v>
                </c:pt>
                <c:pt idx="1">
                  <c:v>11144</c:v>
                </c:pt>
                <c:pt idx="2">
                  <c:v>1510</c:v>
                </c:pt>
                <c:pt idx="3">
                  <c:v>4847.68</c:v>
                </c:pt>
                <c:pt idx="4">
                  <c:v>9321</c:v>
                </c:pt>
                <c:pt idx="5">
                  <c:v>11421</c:v>
                </c:pt>
                <c:pt idx="6">
                  <c:v>4000</c:v>
                </c:pt>
                <c:pt idx="7">
                  <c:v>12245</c:v>
                </c:pt>
                <c:pt idx="8">
                  <c:v>14552.5</c:v>
                </c:pt>
                <c:pt idx="9">
                  <c:v>17010</c:v>
                </c:pt>
                <c:pt idx="10">
                  <c:v>6426</c:v>
                </c:pt>
                <c:pt idx="11">
                  <c:v>3210</c:v>
                </c:pt>
              </c:numCache>
            </c:numRef>
          </c:val>
          <c:shape val="box"/>
        </c:ser>
        <c:ser>
          <c:idx val="4"/>
          <c:order val="4"/>
          <c:tx>
            <c:v>2001/2002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Data'!$AJ$52:$AJ$63</c:f>
              <c:numCache>
                <c:ptCount val="12"/>
                <c:pt idx="0">
                  <c:v>12921</c:v>
                </c:pt>
                <c:pt idx="1">
                  <c:v>6948.75</c:v>
                </c:pt>
                <c:pt idx="2">
                  <c:v>555</c:v>
                </c:pt>
                <c:pt idx="3">
                  <c:v>9840</c:v>
                </c:pt>
                <c:pt idx="4">
                  <c:v>11180</c:v>
                </c:pt>
                <c:pt idx="5">
                  <c:v>15612</c:v>
                </c:pt>
                <c:pt idx="6">
                  <c:v>9949.5</c:v>
                </c:pt>
                <c:pt idx="7">
                  <c:v>14326.75</c:v>
                </c:pt>
                <c:pt idx="8">
                  <c:v>34326.75</c:v>
                </c:pt>
                <c:pt idx="9">
                  <c:v>13627.5</c:v>
                </c:pt>
                <c:pt idx="10">
                  <c:v>13894.65</c:v>
                </c:pt>
                <c:pt idx="11">
                  <c:v>19378.25</c:v>
                </c:pt>
              </c:numCache>
            </c:numRef>
          </c:val>
          <c:shape val="box"/>
        </c:ser>
        <c:ser>
          <c:idx val="5"/>
          <c:order val="5"/>
          <c:tx>
            <c:v>2002/2003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Data'!$AJ$64:$AJ$75</c:f>
              <c:numCache>
                <c:ptCount val="12"/>
                <c:pt idx="0">
                  <c:v>22390</c:v>
                </c:pt>
                <c:pt idx="1">
                  <c:v>35351.240000000005</c:v>
                </c:pt>
                <c:pt idx="2">
                  <c:v>2605</c:v>
                </c:pt>
                <c:pt idx="3">
                  <c:v>18754.75</c:v>
                </c:pt>
                <c:pt idx="4">
                  <c:v>24696.75</c:v>
                </c:pt>
                <c:pt idx="5">
                  <c:v>21941.5</c:v>
                </c:pt>
                <c:pt idx="6">
                  <c:v>15617.5</c:v>
                </c:pt>
                <c:pt idx="7">
                  <c:v>22965</c:v>
                </c:pt>
                <c:pt idx="8">
                  <c:v>32659.55</c:v>
                </c:pt>
                <c:pt idx="9">
                  <c:v>25925.989999999998</c:v>
                </c:pt>
                <c:pt idx="10">
                  <c:v>4585</c:v>
                </c:pt>
                <c:pt idx="11">
                  <c:v>20297</c:v>
                </c:pt>
              </c:numCache>
            </c:numRef>
          </c:val>
          <c:shape val="box"/>
        </c:ser>
        <c:ser>
          <c:idx val="6"/>
          <c:order val="6"/>
          <c:tx>
            <c:v>2003/2004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Data'!$AJ$76:$AJ$87</c:f>
              <c:numCache>
                <c:ptCount val="12"/>
                <c:pt idx="0">
                  <c:v>98509.5</c:v>
                </c:pt>
                <c:pt idx="1">
                  <c:v>38897</c:v>
                </c:pt>
                <c:pt idx="2">
                  <c:v>4030</c:v>
                </c:pt>
                <c:pt idx="3">
                  <c:v>23078.25</c:v>
                </c:pt>
                <c:pt idx="4">
                  <c:v>24807.88</c:v>
                </c:pt>
                <c:pt idx="5">
                  <c:v>19448.5</c:v>
                </c:pt>
                <c:pt idx="6">
                  <c:v>19448.5</c:v>
                </c:pt>
                <c:pt idx="7">
                  <c:v>26416</c:v>
                </c:pt>
                <c:pt idx="8">
                  <c:v>42838.5</c:v>
                </c:pt>
                <c:pt idx="9">
                  <c:v>41674.6</c:v>
                </c:pt>
                <c:pt idx="10">
                  <c:v>5570.5</c:v>
                </c:pt>
                <c:pt idx="11">
                  <c:v>33066.25</c:v>
                </c:pt>
              </c:numCache>
            </c:numRef>
          </c:val>
          <c:shape val="box"/>
        </c:ser>
        <c:ser>
          <c:idx val="7"/>
          <c:order val="7"/>
          <c:tx>
            <c:v>2004/2005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Data'!$AJ$88:$AJ$99</c:f>
              <c:numCache>
                <c:ptCount val="12"/>
                <c:pt idx="0">
                  <c:v>18961.5</c:v>
                </c:pt>
                <c:pt idx="1">
                  <c:v>47013</c:v>
                </c:pt>
                <c:pt idx="2">
                  <c:v>1585</c:v>
                </c:pt>
                <c:pt idx="3">
                  <c:v>8882.5</c:v>
                </c:pt>
                <c:pt idx="4">
                  <c:v>48245.34</c:v>
                </c:pt>
                <c:pt idx="5">
                  <c:v>32652</c:v>
                </c:pt>
                <c:pt idx="6">
                  <c:v>27312</c:v>
                </c:pt>
                <c:pt idx="7">
                  <c:v>26407</c:v>
                </c:pt>
                <c:pt idx="8">
                  <c:v>32389</c:v>
                </c:pt>
                <c:pt idx="9">
                  <c:v>54580.4</c:v>
                </c:pt>
                <c:pt idx="10">
                  <c:v>9492</c:v>
                </c:pt>
                <c:pt idx="11">
                  <c:v>38468</c:v>
                </c:pt>
              </c:numCache>
            </c:numRef>
          </c:val>
          <c:shape val="box"/>
        </c:ser>
        <c:ser>
          <c:idx val="8"/>
          <c:order val="8"/>
          <c:tx>
            <c:v>2005/2006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Data'!$AJ$100:$AJ$111</c:f>
              <c:numCache>
                <c:ptCount val="12"/>
                <c:pt idx="0">
                  <c:v>47173.45</c:v>
                </c:pt>
                <c:pt idx="1">
                  <c:v>35864.5</c:v>
                </c:pt>
                <c:pt idx="2">
                  <c:v>7031</c:v>
                </c:pt>
                <c:pt idx="3">
                  <c:v>34954.619999999995</c:v>
                </c:pt>
                <c:pt idx="4">
                  <c:v>42824.5</c:v>
                </c:pt>
                <c:pt idx="5">
                  <c:v>29432</c:v>
                </c:pt>
                <c:pt idx="6">
                  <c:v>26038</c:v>
                </c:pt>
                <c:pt idx="7">
                  <c:v>48763.83</c:v>
                </c:pt>
                <c:pt idx="8">
                  <c:v>32372.5</c:v>
                </c:pt>
                <c:pt idx="9">
                  <c:v>65777</c:v>
                </c:pt>
                <c:pt idx="10">
                  <c:v>23768.5</c:v>
                </c:pt>
                <c:pt idx="11">
                  <c:v>41051.5</c:v>
                </c:pt>
              </c:numCache>
            </c:numRef>
          </c:val>
          <c:shape val="box"/>
        </c:ser>
        <c:ser>
          <c:idx val="9"/>
          <c:order val="9"/>
          <c:tx>
            <c:v>2006/2007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Data'!$AJ$112:$AJ$123</c:f>
              <c:numCache>
                <c:ptCount val="12"/>
                <c:pt idx="0">
                  <c:v>42376</c:v>
                </c:pt>
                <c:pt idx="1">
                  <c:v>38200.229999999996</c:v>
                </c:pt>
                <c:pt idx="2">
                  <c:v>5286</c:v>
                </c:pt>
                <c:pt idx="3">
                  <c:v>23834</c:v>
                </c:pt>
                <c:pt idx="4">
                  <c:v>31819.75</c:v>
                </c:pt>
                <c:pt idx="5">
                  <c:v>59805.5</c:v>
                </c:pt>
                <c:pt idx="6">
                  <c:v>44358.44</c:v>
                </c:pt>
                <c:pt idx="7">
                  <c:v>54899.27</c:v>
                </c:pt>
                <c:pt idx="8">
                  <c:v>35128</c:v>
                </c:pt>
                <c:pt idx="9">
                  <c:v>31135.5</c:v>
                </c:pt>
                <c:pt idx="10">
                  <c:v>24657</c:v>
                </c:pt>
                <c:pt idx="11">
                  <c:v>31768.5</c:v>
                </c:pt>
              </c:numCache>
            </c:numRef>
          </c:val>
          <c:shape val="box"/>
        </c:ser>
        <c:ser>
          <c:idx val="10"/>
          <c:order val="10"/>
          <c:tx>
            <c:v>2007/2008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Data'!$AJ$124:$AJ$135</c:f>
              <c:numCache>
                <c:ptCount val="12"/>
                <c:pt idx="0">
                  <c:v>30413.5</c:v>
                </c:pt>
                <c:pt idx="1">
                  <c:v>33248.78</c:v>
                </c:pt>
                <c:pt idx="2">
                  <c:v>4433</c:v>
                </c:pt>
                <c:pt idx="3">
                  <c:v>33682.34</c:v>
                </c:pt>
                <c:pt idx="4">
                  <c:v>38755.14</c:v>
                </c:pt>
                <c:pt idx="5">
                  <c:v>40089.25</c:v>
                </c:pt>
                <c:pt idx="6">
                  <c:v>9912.85</c:v>
                </c:pt>
                <c:pt idx="7">
                  <c:v>37996</c:v>
                </c:pt>
                <c:pt idx="8">
                  <c:v>87098.49</c:v>
                </c:pt>
                <c:pt idx="9">
                  <c:v>60719.5</c:v>
                </c:pt>
                <c:pt idx="10">
                  <c:v>40043</c:v>
                </c:pt>
                <c:pt idx="11">
                  <c:v>67054</c:v>
                </c:pt>
              </c:numCache>
            </c:numRef>
          </c:val>
          <c:shape val="box"/>
        </c:ser>
        <c:ser>
          <c:idx val="11"/>
          <c:order val="11"/>
          <c:tx>
            <c:v>2008/2009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Data'!$AJ$136:$AJ$147</c:f>
              <c:numCache>
                <c:ptCount val="12"/>
                <c:pt idx="0">
                  <c:v>15967</c:v>
                </c:pt>
                <c:pt idx="1">
                  <c:v>59089.369999999995</c:v>
                </c:pt>
                <c:pt idx="2">
                  <c:v>3960</c:v>
                </c:pt>
                <c:pt idx="3">
                  <c:v>52888</c:v>
                </c:pt>
                <c:pt idx="4">
                  <c:v>51537.5</c:v>
                </c:pt>
                <c:pt idx="5">
                  <c:v>41251.25</c:v>
                </c:pt>
                <c:pt idx="6">
                  <c:v>45034.5</c:v>
                </c:pt>
                <c:pt idx="7">
                  <c:v>46062</c:v>
                </c:pt>
                <c:pt idx="8">
                  <c:v>50490</c:v>
                </c:pt>
                <c:pt idx="9">
                  <c:v>84039.5</c:v>
                </c:pt>
                <c:pt idx="10">
                  <c:v>38592.5</c:v>
                </c:pt>
              </c:numCache>
            </c:numRef>
          </c:val>
          <c:shape val="box"/>
        </c:ser>
        <c:shape val="box"/>
        <c:axId val="48370306"/>
        <c:axId val="32679571"/>
        <c:axId val="25680684"/>
      </c:bar3DChart>
      <c:catAx>
        <c:axId val="4837030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At val="1"/>
        <c:crossBetween val="between"/>
        <c:dispUnits/>
      </c:valAx>
      <c:ser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169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Cumulative - Sales of work books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"/>
          <c:w val="0.7905"/>
          <c:h val="0.8435"/>
        </c:manualLayout>
      </c:layout>
      <c:lineChart>
        <c:grouping val="standard"/>
        <c:varyColors val="0"/>
        <c:ser>
          <c:idx val="0"/>
          <c:order val="0"/>
          <c:tx>
            <c:v>1997/1998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Data'!$AB$7:$AB$18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210</c:v>
                </c:pt>
                <c:pt idx="3">
                  <c:v>615</c:v>
                </c:pt>
                <c:pt idx="4">
                  <c:v>1725</c:v>
                </c:pt>
                <c:pt idx="5">
                  <c:v>2130</c:v>
                </c:pt>
                <c:pt idx="6">
                  <c:v>2565</c:v>
                </c:pt>
                <c:pt idx="7">
                  <c:v>2940</c:v>
                </c:pt>
                <c:pt idx="8">
                  <c:v>3525</c:v>
                </c:pt>
                <c:pt idx="9">
                  <c:v>5265</c:v>
                </c:pt>
                <c:pt idx="10">
                  <c:v>5925</c:v>
                </c:pt>
                <c:pt idx="11">
                  <c:v>6300</c:v>
                </c:pt>
              </c:numCache>
            </c:numRef>
          </c:val>
          <c:smooth val="0"/>
        </c:ser>
        <c:ser>
          <c:idx val="1"/>
          <c:order val="1"/>
          <c:tx>
            <c:v>1998/1999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Data'!$AB$19:$AB$30</c:f>
              <c:numCache>
                <c:ptCount val="12"/>
                <c:pt idx="0">
                  <c:v>1905</c:v>
                </c:pt>
                <c:pt idx="1">
                  <c:v>2865</c:v>
                </c:pt>
                <c:pt idx="2">
                  <c:v>4407</c:v>
                </c:pt>
                <c:pt idx="3">
                  <c:v>5097</c:v>
                </c:pt>
                <c:pt idx="4">
                  <c:v>6432</c:v>
                </c:pt>
                <c:pt idx="5">
                  <c:v>7542</c:v>
                </c:pt>
                <c:pt idx="6">
                  <c:v>8307</c:v>
                </c:pt>
                <c:pt idx="7">
                  <c:v>8457</c:v>
                </c:pt>
                <c:pt idx="8">
                  <c:v>9432</c:v>
                </c:pt>
                <c:pt idx="9">
                  <c:v>12792</c:v>
                </c:pt>
                <c:pt idx="10">
                  <c:v>15297</c:v>
                </c:pt>
                <c:pt idx="11">
                  <c:v>16392</c:v>
                </c:pt>
              </c:numCache>
            </c:numRef>
          </c:val>
          <c:smooth val="0"/>
        </c:ser>
        <c:ser>
          <c:idx val="2"/>
          <c:order val="2"/>
          <c:tx>
            <c:v>1999/2000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Data'!$AB$31:$AB$42</c:f>
              <c:numCache>
                <c:ptCount val="12"/>
                <c:pt idx="0">
                  <c:v>2040</c:v>
                </c:pt>
                <c:pt idx="1">
                  <c:v>3195</c:v>
                </c:pt>
                <c:pt idx="2">
                  <c:v>6135</c:v>
                </c:pt>
                <c:pt idx="3">
                  <c:v>6655</c:v>
                </c:pt>
                <c:pt idx="4">
                  <c:v>8665</c:v>
                </c:pt>
                <c:pt idx="5">
                  <c:v>9340</c:v>
                </c:pt>
                <c:pt idx="6">
                  <c:v>10240</c:v>
                </c:pt>
                <c:pt idx="7">
                  <c:v>13336</c:v>
                </c:pt>
                <c:pt idx="8">
                  <c:v>14641</c:v>
                </c:pt>
                <c:pt idx="9">
                  <c:v>16486</c:v>
                </c:pt>
                <c:pt idx="10">
                  <c:v>19201</c:v>
                </c:pt>
                <c:pt idx="11">
                  <c:v>19726</c:v>
                </c:pt>
              </c:numCache>
            </c:numRef>
          </c:val>
          <c:smooth val="0"/>
        </c:ser>
        <c:ser>
          <c:idx val="3"/>
          <c:order val="3"/>
          <c:tx>
            <c:v>2000/2001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Data'!$AB$43:$AB$54</c:f>
              <c:numCache>
                <c:ptCount val="12"/>
                <c:pt idx="0">
                  <c:v>780</c:v>
                </c:pt>
                <c:pt idx="1">
                  <c:v>3771</c:v>
                </c:pt>
                <c:pt idx="2">
                  <c:v>7757</c:v>
                </c:pt>
                <c:pt idx="3">
                  <c:v>9182</c:v>
                </c:pt>
                <c:pt idx="4">
                  <c:v>14087</c:v>
                </c:pt>
                <c:pt idx="5">
                  <c:v>17882</c:v>
                </c:pt>
                <c:pt idx="6">
                  <c:v>23747</c:v>
                </c:pt>
                <c:pt idx="7">
                  <c:v>25232</c:v>
                </c:pt>
                <c:pt idx="8">
                  <c:v>25772</c:v>
                </c:pt>
                <c:pt idx="9">
                  <c:v>32213</c:v>
                </c:pt>
                <c:pt idx="10">
                  <c:v>34178</c:v>
                </c:pt>
                <c:pt idx="11">
                  <c:v>34673</c:v>
                </c:pt>
              </c:numCache>
            </c:numRef>
          </c:val>
          <c:smooth val="0"/>
        </c:ser>
        <c:ser>
          <c:idx val="4"/>
          <c:order val="4"/>
          <c:tx>
            <c:v>2001/2002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Data'!$AB$55:$AB$66</c:f>
              <c:numCache>
                <c:ptCount val="12"/>
                <c:pt idx="0">
                  <c:v>1050</c:v>
                </c:pt>
                <c:pt idx="1">
                  <c:v>2685</c:v>
                </c:pt>
                <c:pt idx="2">
                  <c:v>6190.75</c:v>
                </c:pt>
                <c:pt idx="3">
                  <c:v>7592.75</c:v>
                </c:pt>
                <c:pt idx="4">
                  <c:v>10795.75</c:v>
                </c:pt>
                <c:pt idx="5">
                  <c:v>14099.75</c:v>
                </c:pt>
                <c:pt idx="6">
                  <c:v>16079.75</c:v>
                </c:pt>
                <c:pt idx="7">
                  <c:v>18449.75</c:v>
                </c:pt>
                <c:pt idx="8">
                  <c:v>22346.75</c:v>
                </c:pt>
                <c:pt idx="9">
                  <c:v>26787.75</c:v>
                </c:pt>
                <c:pt idx="10">
                  <c:v>28312.75</c:v>
                </c:pt>
                <c:pt idx="11">
                  <c:v>29277.75</c:v>
                </c:pt>
              </c:numCache>
            </c:numRef>
          </c:val>
          <c:smooth val="0"/>
        </c:ser>
        <c:ser>
          <c:idx val="5"/>
          <c:order val="5"/>
          <c:tx>
            <c:v>2002/2003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Data'!$AB$67:$AB$78</c:f>
              <c:numCache>
                <c:ptCount val="12"/>
                <c:pt idx="0">
                  <c:v>2443</c:v>
                </c:pt>
                <c:pt idx="1">
                  <c:v>9990</c:v>
                </c:pt>
                <c:pt idx="2">
                  <c:v>13919</c:v>
                </c:pt>
                <c:pt idx="3">
                  <c:v>19108</c:v>
                </c:pt>
                <c:pt idx="4">
                  <c:v>21343</c:v>
                </c:pt>
                <c:pt idx="5">
                  <c:v>23343</c:v>
                </c:pt>
                <c:pt idx="6">
                  <c:v>27000</c:v>
                </c:pt>
                <c:pt idx="7">
                  <c:v>27815</c:v>
                </c:pt>
                <c:pt idx="8">
                  <c:v>30548</c:v>
                </c:pt>
                <c:pt idx="9">
                  <c:v>32617</c:v>
                </c:pt>
                <c:pt idx="10">
                  <c:v>38086</c:v>
                </c:pt>
                <c:pt idx="11">
                  <c:v>39141</c:v>
                </c:pt>
              </c:numCache>
            </c:numRef>
          </c:val>
          <c:smooth val="0"/>
        </c:ser>
        <c:ser>
          <c:idx val="6"/>
          <c:order val="6"/>
          <c:tx>
            <c:v>2003/2004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Data'!$AB$79:$AB$90</c:f>
              <c:numCache>
                <c:ptCount val="12"/>
                <c:pt idx="0">
                  <c:v>3200</c:v>
                </c:pt>
                <c:pt idx="1">
                  <c:v>6140.88</c:v>
                </c:pt>
                <c:pt idx="2">
                  <c:v>8040.88</c:v>
                </c:pt>
                <c:pt idx="3">
                  <c:v>9940.880000000001</c:v>
                </c:pt>
                <c:pt idx="4">
                  <c:v>11840.880000000001</c:v>
                </c:pt>
                <c:pt idx="5">
                  <c:v>15686.880000000001</c:v>
                </c:pt>
                <c:pt idx="6">
                  <c:v>22064.480000000003</c:v>
                </c:pt>
                <c:pt idx="7">
                  <c:v>23757.480000000003</c:v>
                </c:pt>
                <c:pt idx="8">
                  <c:v>27757.480000000003</c:v>
                </c:pt>
                <c:pt idx="9">
                  <c:v>31231.480000000003</c:v>
                </c:pt>
                <c:pt idx="10">
                  <c:v>34772.48</c:v>
                </c:pt>
                <c:pt idx="11">
                  <c:v>35657.48</c:v>
                </c:pt>
              </c:numCache>
            </c:numRef>
          </c:val>
          <c:smooth val="0"/>
        </c:ser>
        <c:ser>
          <c:idx val="7"/>
          <c:order val="7"/>
          <c:tx>
            <c:v>2004/2005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Data'!$AB$91:$AB$102</c:f>
              <c:numCache>
                <c:ptCount val="12"/>
                <c:pt idx="0">
                  <c:v>2680</c:v>
                </c:pt>
                <c:pt idx="1">
                  <c:v>9298.84</c:v>
                </c:pt>
                <c:pt idx="2">
                  <c:v>14493.84</c:v>
                </c:pt>
                <c:pt idx="3">
                  <c:v>17888.84</c:v>
                </c:pt>
                <c:pt idx="4">
                  <c:v>21476.84</c:v>
                </c:pt>
                <c:pt idx="5">
                  <c:v>25617.84</c:v>
                </c:pt>
                <c:pt idx="6">
                  <c:v>32682.84</c:v>
                </c:pt>
                <c:pt idx="7">
                  <c:v>33488.84</c:v>
                </c:pt>
                <c:pt idx="8">
                  <c:v>38154.34</c:v>
                </c:pt>
                <c:pt idx="9">
                  <c:v>44398.78999999999</c:v>
                </c:pt>
                <c:pt idx="10">
                  <c:v>46764.78999999999</c:v>
                </c:pt>
                <c:pt idx="11">
                  <c:v>49740.78999999999</c:v>
                </c:pt>
              </c:numCache>
            </c:numRef>
          </c:val>
          <c:smooth val="0"/>
        </c:ser>
        <c:ser>
          <c:idx val="8"/>
          <c:order val="8"/>
          <c:tx>
            <c:v>2005/2006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Data'!$AB$103:$AB$114</c:f>
              <c:numCache>
                <c:ptCount val="12"/>
                <c:pt idx="0">
                  <c:v>5460.5</c:v>
                </c:pt>
                <c:pt idx="1">
                  <c:v>14495</c:v>
                </c:pt>
                <c:pt idx="2">
                  <c:v>17397</c:v>
                </c:pt>
                <c:pt idx="3">
                  <c:v>20945</c:v>
                </c:pt>
                <c:pt idx="4">
                  <c:v>26087.2</c:v>
                </c:pt>
                <c:pt idx="5">
                  <c:v>31447.2</c:v>
                </c:pt>
                <c:pt idx="6">
                  <c:v>37327.2</c:v>
                </c:pt>
                <c:pt idx="7">
                  <c:v>39023.2</c:v>
                </c:pt>
                <c:pt idx="8">
                  <c:v>43127.7</c:v>
                </c:pt>
                <c:pt idx="9">
                  <c:v>48693.7</c:v>
                </c:pt>
                <c:pt idx="10">
                  <c:v>55440.93</c:v>
                </c:pt>
                <c:pt idx="11">
                  <c:v>56061.93</c:v>
                </c:pt>
              </c:numCache>
            </c:numRef>
          </c:val>
          <c:smooth val="0"/>
        </c:ser>
        <c:ser>
          <c:idx val="9"/>
          <c:order val="9"/>
          <c:tx>
            <c:v>2006/2007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Data'!$AB$115:$AB$126</c:f>
              <c:numCache>
                <c:ptCount val="12"/>
                <c:pt idx="0">
                  <c:v>3882</c:v>
                </c:pt>
                <c:pt idx="1">
                  <c:v>8631.25</c:v>
                </c:pt>
                <c:pt idx="2">
                  <c:v>13060.75</c:v>
                </c:pt>
                <c:pt idx="3">
                  <c:v>17531.45</c:v>
                </c:pt>
                <c:pt idx="4">
                  <c:v>23242.95</c:v>
                </c:pt>
                <c:pt idx="5">
                  <c:v>29037.95</c:v>
                </c:pt>
                <c:pt idx="6">
                  <c:v>34197.45</c:v>
                </c:pt>
                <c:pt idx="7">
                  <c:v>35076.95</c:v>
                </c:pt>
                <c:pt idx="8">
                  <c:v>38941.95</c:v>
                </c:pt>
                <c:pt idx="9">
                  <c:v>40661.95</c:v>
                </c:pt>
                <c:pt idx="10">
                  <c:v>44728.229999999996</c:v>
                </c:pt>
                <c:pt idx="11">
                  <c:v>45286.229999999996</c:v>
                </c:pt>
              </c:numCache>
            </c:numRef>
          </c:val>
          <c:smooth val="0"/>
        </c:ser>
        <c:ser>
          <c:idx val="10"/>
          <c:order val="10"/>
          <c:tx>
            <c:v>2007/2008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Data'!$AB$127:$AB$138</c:f>
              <c:numCache>
                <c:ptCount val="12"/>
                <c:pt idx="0">
                  <c:v>1942</c:v>
                </c:pt>
                <c:pt idx="1">
                  <c:v>2943</c:v>
                </c:pt>
                <c:pt idx="2">
                  <c:v>6962.25</c:v>
                </c:pt>
                <c:pt idx="3">
                  <c:v>9210.95</c:v>
                </c:pt>
                <c:pt idx="4">
                  <c:v>11662.95</c:v>
                </c:pt>
                <c:pt idx="5">
                  <c:v>13055.940000000002</c:v>
                </c:pt>
                <c:pt idx="6">
                  <c:v>16556.940000000002</c:v>
                </c:pt>
                <c:pt idx="7">
                  <c:v>18383.940000000002</c:v>
                </c:pt>
                <c:pt idx="8">
                  <c:v>20320.440000000002</c:v>
                </c:pt>
                <c:pt idx="9">
                  <c:v>21449.940000000002</c:v>
                </c:pt>
                <c:pt idx="10">
                  <c:v>23915.06</c:v>
                </c:pt>
                <c:pt idx="11">
                  <c:v>23915.06</c:v>
                </c:pt>
              </c:numCache>
            </c:numRef>
          </c:val>
          <c:smooth val="0"/>
        </c:ser>
        <c:ser>
          <c:idx val="11"/>
          <c:order val="11"/>
          <c:tx>
            <c:v>2008/2009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Data'!$AB$139:$AB$150</c:f>
              <c:numCache>
                <c:ptCount val="12"/>
                <c:pt idx="0">
                  <c:v>2615.5</c:v>
                </c:pt>
                <c:pt idx="1">
                  <c:v>5555.5</c:v>
                </c:pt>
                <c:pt idx="2">
                  <c:v>7943.5</c:v>
                </c:pt>
                <c:pt idx="3">
                  <c:v>10440.5</c:v>
                </c:pt>
                <c:pt idx="4">
                  <c:v>13283.5</c:v>
                </c:pt>
                <c:pt idx="5">
                  <c:v>16438.5</c:v>
                </c:pt>
                <c:pt idx="6">
                  <c:v>18905</c:v>
                </c:pt>
                <c:pt idx="7">
                  <c:v>19255</c:v>
                </c:pt>
              </c:numCache>
            </c:numRef>
          </c:val>
          <c:smooth val="0"/>
        </c:ser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 val="autoZero"/>
        <c:auto val="0"/>
        <c:lblOffset val="100"/>
        <c:noMultiLvlLbl val="0"/>
      </c:catAx>
      <c:valAx>
        <c:axId val="53325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42"/>
          <c:w val="0.125"/>
          <c:h val="0.3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Workbooks v previous year</a:t>
            </a:r>
          </a:p>
        </c:rich>
      </c:tx>
      <c:layout/>
      <c:spPr>
        <a:noFill/>
        <a:ln>
          <a:noFill/>
        </a:ln>
      </c:spPr>
    </c:title>
    <c:view3D>
      <c:rotX val="15"/>
      <c:rotY val="4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1"/>
          <c:order val="0"/>
          <c:tx>
            <c:v>1997/1998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Data'!$S$19:$S$30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Data'!$Z$7:$Z$18</c:f>
              <c:numCache>
                <c:ptCount val="12"/>
                <c:pt idx="2">
                  <c:v>210</c:v>
                </c:pt>
                <c:pt idx="3">
                  <c:v>405</c:v>
                </c:pt>
                <c:pt idx="4">
                  <c:v>1110</c:v>
                </c:pt>
                <c:pt idx="5">
                  <c:v>405</c:v>
                </c:pt>
                <c:pt idx="6">
                  <c:v>435</c:v>
                </c:pt>
                <c:pt idx="7">
                  <c:v>375</c:v>
                </c:pt>
                <c:pt idx="8">
                  <c:v>585</c:v>
                </c:pt>
                <c:pt idx="9">
                  <c:v>1740</c:v>
                </c:pt>
                <c:pt idx="10">
                  <c:v>660</c:v>
                </c:pt>
                <c:pt idx="11">
                  <c:v>375</c:v>
                </c:pt>
              </c:numCache>
            </c:numRef>
          </c:val>
          <c:shape val="box"/>
        </c:ser>
        <c:ser>
          <c:idx val="2"/>
          <c:order val="1"/>
          <c:tx>
            <c:v>1998/1999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Data'!$S$19:$S$30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Data'!$Z$19:$Z$30</c:f>
              <c:numCache>
                <c:ptCount val="12"/>
                <c:pt idx="0">
                  <c:v>1905</c:v>
                </c:pt>
                <c:pt idx="1">
                  <c:v>960</c:v>
                </c:pt>
                <c:pt idx="2">
                  <c:v>1542</c:v>
                </c:pt>
                <c:pt idx="3">
                  <c:v>690</c:v>
                </c:pt>
                <c:pt idx="4">
                  <c:v>1335</c:v>
                </c:pt>
                <c:pt idx="5">
                  <c:v>1110</c:v>
                </c:pt>
                <c:pt idx="6">
                  <c:v>765</c:v>
                </c:pt>
                <c:pt idx="7">
                  <c:v>150</c:v>
                </c:pt>
                <c:pt idx="8">
                  <c:v>975</c:v>
                </c:pt>
                <c:pt idx="9">
                  <c:v>3360</c:v>
                </c:pt>
                <c:pt idx="10">
                  <c:v>2505</c:v>
                </c:pt>
                <c:pt idx="11">
                  <c:v>1095</c:v>
                </c:pt>
              </c:numCache>
            </c:numRef>
          </c:val>
          <c:shape val="box"/>
        </c:ser>
        <c:ser>
          <c:idx val="0"/>
          <c:order val="2"/>
          <c:tx>
            <c:v>1999/2000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Data'!$Z$31:$Z$42</c:f>
              <c:numCache>
                <c:ptCount val="12"/>
                <c:pt idx="0">
                  <c:v>2040</c:v>
                </c:pt>
                <c:pt idx="1">
                  <c:v>1155</c:v>
                </c:pt>
                <c:pt idx="2">
                  <c:v>2940</c:v>
                </c:pt>
                <c:pt idx="3">
                  <c:v>520</c:v>
                </c:pt>
                <c:pt idx="4">
                  <c:v>2010</c:v>
                </c:pt>
                <c:pt idx="5">
                  <c:v>675</c:v>
                </c:pt>
                <c:pt idx="6">
                  <c:v>900</c:v>
                </c:pt>
                <c:pt idx="7">
                  <c:v>3096</c:v>
                </c:pt>
                <c:pt idx="8">
                  <c:v>1305</c:v>
                </c:pt>
                <c:pt idx="9">
                  <c:v>1845</c:v>
                </c:pt>
                <c:pt idx="10">
                  <c:v>2715</c:v>
                </c:pt>
                <c:pt idx="11">
                  <c:v>525</c:v>
                </c:pt>
              </c:numCache>
            </c:numRef>
          </c:val>
          <c:shape val="box"/>
        </c:ser>
        <c:ser>
          <c:idx val="3"/>
          <c:order val="3"/>
          <c:tx>
            <c:v>2000/2001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Data'!$Z$43:$Z$54</c:f>
              <c:numCache>
                <c:ptCount val="12"/>
                <c:pt idx="0">
                  <c:v>780</c:v>
                </c:pt>
                <c:pt idx="1">
                  <c:v>2991</c:v>
                </c:pt>
                <c:pt idx="2">
                  <c:v>3986</c:v>
                </c:pt>
                <c:pt idx="3">
                  <c:v>1425</c:v>
                </c:pt>
                <c:pt idx="4">
                  <c:v>4905</c:v>
                </c:pt>
                <c:pt idx="5">
                  <c:v>3795</c:v>
                </c:pt>
                <c:pt idx="6">
                  <c:v>5865</c:v>
                </c:pt>
                <c:pt idx="7">
                  <c:v>1485</c:v>
                </c:pt>
                <c:pt idx="8">
                  <c:v>540</c:v>
                </c:pt>
                <c:pt idx="9">
                  <c:v>6441</c:v>
                </c:pt>
                <c:pt idx="10">
                  <c:v>1965</c:v>
                </c:pt>
                <c:pt idx="11">
                  <c:v>495</c:v>
                </c:pt>
              </c:numCache>
            </c:numRef>
          </c:val>
          <c:shape val="box"/>
        </c:ser>
        <c:ser>
          <c:idx val="4"/>
          <c:order val="4"/>
          <c:tx>
            <c:v>2001/2002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Data'!$Z$55:$Z$66</c:f>
              <c:numCache>
                <c:ptCount val="12"/>
                <c:pt idx="0">
                  <c:v>1050</c:v>
                </c:pt>
                <c:pt idx="1">
                  <c:v>1635</c:v>
                </c:pt>
                <c:pt idx="2">
                  <c:v>3505.75</c:v>
                </c:pt>
                <c:pt idx="3">
                  <c:v>1402</c:v>
                </c:pt>
                <c:pt idx="4">
                  <c:v>3203</c:v>
                </c:pt>
                <c:pt idx="5">
                  <c:v>3304</c:v>
                </c:pt>
                <c:pt idx="6">
                  <c:v>1980</c:v>
                </c:pt>
                <c:pt idx="7">
                  <c:v>2370</c:v>
                </c:pt>
                <c:pt idx="8">
                  <c:v>3897</c:v>
                </c:pt>
                <c:pt idx="9">
                  <c:v>4441</c:v>
                </c:pt>
                <c:pt idx="10">
                  <c:v>1525</c:v>
                </c:pt>
                <c:pt idx="11">
                  <c:v>965</c:v>
                </c:pt>
              </c:numCache>
            </c:numRef>
          </c:val>
          <c:shape val="box"/>
        </c:ser>
        <c:ser>
          <c:idx val="5"/>
          <c:order val="5"/>
          <c:tx>
            <c:v>2002/2003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Data'!$Z$67:$Z$78</c:f>
              <c:numCache>
                <c:ptCount val="12"/>
                <c:pt idx="0">
                  <c:v>2443</c:v>
                </c:pt>
                <c:pt idx="1">
                  <c:v>7547</c:v>
                </c:pt>
                <c:pt idx="2">
                  <c:v>3929</c:v>
                </c:pt>
                <c:pt idx="3">
                  <c:v>5189</c:v>
                </c:pt>
                <c:pt idx="4">
                  <c:v>2235</c:v>
                </c:pt>
                <c:pt idx="5">
                  <c:v>2000</c:v>
                </c:pt>
                <c:pt idx="6">
                  <c:v>3657</c:v>
                </c:pt>
                <c:pt idx="7">
                  <c:v>815</c:v>
                </c:pt>
                <c:pt idx="8">
                  <c:v>2733</c:v>
                </c:pt>
                <c:pt idx="9">
                  <c:v>2069</c:v>
                </c:pt>
                <c:pt idx="10">
                  <c:v>5469</c:v>
                </c:pt>
                <c:pt idx="11">
                  <c:v>1055</c:v>
                </c:pt>
              </c:numCache>
            </c:numRef>
          </c:val>
          <c:shape val="box"/>
        </c:ser>
        <c:ser>
          <c:idx val="6"/>
          <c:order val="6"/>
          <c:tx>
            <c:v>2003/2004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Data'!$Z$79:$Z$90</c:f>
              <c:numCache>
                <c:ptCount val="12"/>
                <c:pt idx="0">
                  <c:v>3200</c:v>
                </c:pt>
                <c:pt idx="1">
                  <c:v>2940.88</c:v>
                </c:pt>
                <c:pt idx="2">
                  <c:v>1900</c:v>
                </c:pt>
                <c:pt idx="3">
                  <c:v>1900</c:v>
                </c:pt>
                <c:pt idx="4">
                  <c:v>1900</c:v>
                </c:pt>
                <c:pt idx="5">
                  <c:v>3846</c:v>
                </c:pt>
                <c:pt idx="6">
                  <c:v>6377.6</c:v>
                </c:pt>
                <c:pt idx="7">
                  <c:v>1693</c:v>
                </c:pt>
                <c:pt idx="8">
                  <c:v>4000</c:v>
                </c:pt>
                <c:pt idx="9">
                  <c:v>3474</c:v>
                </c:pt>
                <c:pt idx="10">
                  <c:v>3541</c:v>
                </c:pt>
                <c:pt idx="11">
                  <c:v>885</c:v>
                </c:pt>
              </c:numCache>
            </c:numRef>
          </c:val>
          <c:shape val="box"/>
        </c:ser>
        <c:ser>
          <c:idx val="7"/>
          <c:order val="7"/>
          <c:tx>
            <c:v>2004/2005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Data'!$Z$91:$Z$102</c:f>
              <c:numCache>
                <c:ptCount val="12"/>
                <c:pt idx="0">
                  <c:v>2680</c:v>
                </c:pt>
                <c:pt idx="1">
                  <c:v>6618.84</c:v>
                </c:pt>
                <c:pt idx="2">
                  <c:v>5195</c:v>
                </c:pt>
                <c:pt idx="3">
                  <c:v>3395</c:v>
                </c:pt>
                <c:pt idx="4">
                  <c:v>3588</c:v>
                </c:pt>
                <c:pt idx="5">
                  <c:v>4141</c:v>
                </c:pt>
                <c:pt idx="6">
                  <c:v>7065</c:v>
                </c:pt>
                <c:pt idx="7">
                  <c:v>806</c:v>
                </c:pt>
                <c:pt idx="8">
                  <c:v>4665.5</c:v>
                </c:pt>
                <c:pt idx="9">
                  <c:v>6244.45</c:v>
                </c:pt>
                <c:pt idx="10">
                  <c:v>2366</c:v>
                </c:pt>
                <c:pt idx="11">
                  <c:v>2976</c:v>
                </c:pt>
              </c:numCache>
            </c:numRef>
          </c:val>
          <c:shape val="box"/>
        </c:ser>
        <c:ser>
          <c:idx val="8"/>
          <c:order val="8"/>
          <c:tx>
            <c:v>2005/2006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Data'!$Z$103:$Z$114</c:f>
              <c:numCache>
                <c:ptCount val="12"/>
                <c:pt idx="0">
                  <c:v>5460.5</c:v>
                </c:pt>
                <c:pt idx="1">
                  <c:v>9034.5</c:v>
                </c:pt>
                <c:pt idx="2">
                  <c:v>2902</c:v>
                </c:pt>
                <c:pt idx="3">
                  <c:v>3548</c:v>
                </c:pt>
                <c:pt idx="4">
                  <c:v>5142.2</c:v>
                </c:pt>
                <c:pt idx="5">
                  <c:v>5360</c:v>
                </c:pt>
                <c:pt idx="6">
                  <c:v>5880</c:v>
                </c:pt>
                <c:pt idx="7">
                  <c:v>1696</c:v>
                </c:pt>
                <c:pt idx="8">
                  <c:v>4104.5</c:v>
                </c:pt>
                <c:pt idx="9">
                  <c:v>5566</c:v>
                </c:pt>
                <c:pt idx="10">
                  <c:v>6747.2300000000005</c:v>
                </c:pt>
                <c:pt idx="11">
                  <c:v>621</c:v>
                </c:pt>
              </c:numCache>
            </c:numRef>
          </c:val>
          <c:shape val="box"/>
        </c:ser>
        <c:shape val="box"/>
        <c:axId val="10165680"/>
        <c:axId val="24382257"/>
        <c:axId val="18113722"/>
      </c:bar3D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5680"/>
        <c:crossesAt val="1"/>
        <c:crossBetween val="between"/>
        <c:dispUnits/>
      </c:valAx>
      <c:ser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3822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Percentage Sales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v>Assessment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Data'!$R$44:$R$147</c:f>
              <c:strCache>
                <c:ptCount val="104"/>
                <c:pt idx="0">
                  <c:v>36819</c:v>
                </c:pt>
                <c:pt idx="1">
                  <c:v>36850</c:v>
                </c:pt>
                <c:pt idx="2">
                  <c:v>36881</c:v>
                </c:pt>
                <c:pt idx="3">
                  <c:v>36912</c:v>
                </c:pt>
                <c:pt idx="4">
                  <c:v>36943</c:v>
                </c:pt>
                <c:pt idx="5">
                  <c:v>36974</c:v>
                </c:pt>
                <c:pt idx="6">
                  <c:v>37005</c:v>
                </c:pt>
                <c:pt idx="7">
                  <c:v>37036</c:v>
                </c:pt>
                <c:pt idx="8">
                  <c:v>37067</c:v>
                </c:pt>
                <c:pt idx="9">
                  <c:v>37098</c:v>
                </c:pt>
                <c:pt idx="10">
                  <c:v>37129</c:v>
                </c:pt>
                <c:pt idx="11">
                  <c:v>37160</c:v>
                </c:pt>
                <c:pt idx="12">
                  <c:v>37191</c:v>
                </c:pt>
                <c:pt idx="13">
                  <c:v>37222</c:v>
                </c:pt>
                <c:pt idx="14">
                  <c:v>37253</c:v>
                </c:pt>
                <c:pt idx="15">
                  <c:v>37284</c:v>
                </c:pt>
                <c:pt idx="16">
                  <c:v>37313</c:v>
                </c:pt>
                <c:pt idx="17">
                  <c:v>37344</c:v>
                </c:pt>
                <c:pt idx="18">
                  <c:v>37375</c:v>
                </c:pt>
                <c:pt idx="19">
                  <c:v>37406</c:v>
                </c:pt>
                <c:pt idx="20">
                  <c:v>37437</c:v>
                </c:pt>
                <c:pt idx="21">
                  <c:v>37468</c:v>
                </c:pt>
                <c:pt idx="22">
                  <c:v>37499</c:v>
                </c:pt>
                <c:pt idx="23">
                  <c:v>37527</c:v>
                </c:pt>
                <c:pt idx="24">
                  <c:v>37558</c:v>
                </c:pt>
                <c:pt idx="25">
                  <c:v>37589</c:v>
                </c:pt>
                <c:pt idx="26">
                  <c:v>37620</c:v>
                </c:pt>
                <c:pt idx="27">
                  <c:v>37651</c:v>
                </c:pt>
                <c:pt idx="28">
                  <c:v>37677</c:v>
                </c:pt>
                <c:pt idx="29">
                  <c:v>37708</c:v>
                </c:pt>
                <c:pt idx="30">
                  <c:v>37739</c:v>
                </c:pt>
                <c:pt idx="31">
                  <c:v>37770</c:v>
                </c:pt>
                <c:pt idx="32">
                  <c:v>37801</c:v>
                </c:pt>
                <c:pt idx="33">
                  <c:v>37832</c:v>
                </c:pt>
                <c:pt idx="34">
                  <c:v>37863</c:v>
                </c:pt>
                <c:pt idx="35">
                  <c:v>37894</c:v>
                </c:pt>
                <c:pt idx="36">
                  <c:v>37925</c:v>
                </c:pt>
                <c:pt idx="37">
                  <c:v>37953</c:v>
                </c:pt>
                <c:pt idx="38">
                  <c:v>37981</c:v>
                </c:pt>
                <c:pt idx="39">
                  <c:v>38009</c:v>
                </c:pt>
                <c:pt idx="40">
                  <c:v>38040</c:v>
                </c:pt>
                <c:pt idx="41">
                  <c:v>38071</c:v>
                </c:pt>
                <c:pt idx="42">
                  <c:v>38091</c:v>
                </c:pt>
                <c:pt idx="43">
                  <c:v>38122</c:v>
                </c:pt>
                <c:pt idx="44">
                  <c:v>38153</c:v>
                </c:pt>
                <c:pt idx="45">
                  <c:v>38184</c:v>
                </c:pt>
                <c:pt idx="46">
                  <c:v>38215</c:v>
                </c:pt>
                <c:pt idx="47">
                  <c:v>38246</c:v>
                </c:pt>
                <c:pt idx="48">
                  <c:v>38277</c:v>
                </c:pt>
                <c:pt idx="49">
                  <c:v>38308</c:v>
                </c:pt>
                <c:pt idx="50">
                  <c:v>38339</c:v>
                </c:pt>
                <c:pt idx="51">
                  <c:v>38370</c:v>
                </c:pt>
                <c:pt idx="52">
                  <c:v>38401</c:v>
                </c:pt>
                <c:pt idx="53">
                  <c:v>38432</c:v>
                </c:pt>
                <c:pt idx="54">
                  <c:v>38463</c:v>
                </c:pt>
                <c:pt idx="55">
                  <c:v>38494</c:v>
                </c:pt>
                <c:pt idx="56">
                  <c:v>38525</c:v>
                </c:pt>
                <c:pt idx="57">
                  <c:v>38556</c:v>
                </c:pt>
                <c:pt idx="58">
                  <c:v>38587</c:v>
                </c:pt>
                <c:pt idx="59">
                  <c:v>38618</c:v>
                </c:pt>
                <c:pt idx="60">
                  <c:v>38649</c:v>
                </c:pt>
                <c:pt idx="61">
                  <c:v>38680</c:v>
                </c:pt>
                <c:pt idx="62">
                  <c:v>38711</c:v>
                </c:pt>
                <c:pt idx="63">
                  <c:v>38742</c:v>
                </c:pt>
                <c:pt idx="64">
                  <c:v>38762</c:v>
                </c:pt>
                <c:pt idx="65">
                  <c:v>38793</c:v>
                </c:pt>
                <c:pt idx="66">
                  <c:v>38824</c:v>
                </c:pt>
                <c:pt idx="67">
                  <c:v>38855</c:v>
                </c:pt>
                <c:pt idx="68">
                  <c:v>38886</c:v>
                </c:pt>
                <c:pt idx="69">
                  <c:v>38917</c:v>
                </c:pt>
                <c:pt idx="70">
                  <c:v>38948</c:v>
                </c:pt>
                <c:pt idx="71">
                  <c:v>38979</c:v>
                </c:pt>
                <c:pt idx="72">
                  <c:v>39010</c:v>
                </c:pt>
                <c:pt idx="73">
                  <c:v>39041</c:v>
                </c:pt>
                <c:pt idx="74">
                  <c:v>39072</c:v>
                </c:pt>
                <c:pt idx="75">
                  <c:v>39103</c:v>
                </c:pt>
                <c:pt idx="76">
                  <c:v>39134</c:v>
                </c:pt>
                <c:pt idx="77">
                  <c:v>39165</c:v>
                </c:pt>
                <c:pt idx="78">
                  <c:v>39196</c:v>
                </c:pt>
                <c:pt idx="79">
                  <c:v>39227</c:v>
                </c:pt>
                <c:pt idx="80">
                  <c:v>39258</c:v>
                </c:pt>
                <c:pt idx="81">
                  <c:v>39289</c:v>
                </c:pt>
                <c:pt idx="82">
                  <c:v>39320</c:v>
                </c:pt>
                <c:pt idx="83">
                  <c:v>39351</c:v>
                </c:pt>
                <c:pt idx="84">
                  <c:v>39382</c:v>
                </c:pt>
                <c:pt idx="85">
                  <c:v>39413</c:v>
                </c:pt>
                <c:pt idx="86">
                  <c:v>39444</c:v>
                </c:pt>
                <c:pt idx="87">
                  <c:v>39475</c:v>
                </c:pt>
                <c:pt idx="88">
                  <c:v>39506</c:v>
                </c:pt>
                <c:pt idx="89">
                  <c:v>39537</c:v>
                </c:pt>
                <c:pt idx="90">
                  <c:v>39568</c:v>
                </c:pt>
                <c:pt idx="91">
                  <c:v>39599</c:v>
                </c:pt>
                <c:pt idx="92">
                  <c:v>39619</c:v>
                </c:pt>
                <c:pt idx="93">
                  <c:v>39650</c:v>
                </c:pt>
                <c:pt idx="94">
                  <c:v>39681</c:v>
                </c:pt>
                <c:pt idx="95">
                  <c:v>39712</c:v>
                </c:pt>
                <c:pt idx="96">
                  <c:v>39743</c:v>
                </c:pt>
                <c:pt idx="97">
                  <c:v>39774</c:v>
                </c:pt>
                <c:pt idx="98">
                  <c:v>39805</c:v>
                </c:pt>
                <c:pt idx="99">
                  <c:v>39836</c:v>
                </c:pt>
                <c:pt idx="100">
                  <c:v>39867</c:v>
                </c:pt>
                <c:pt idx="101">
                  <c:v>39898</c:v>
                </c:pt>
                <c:pt idx="102">
                  <c:v>39929</c:v>
                </c:pt>
                <c:pt idx="103">
                  <c:v>39960</c:v>
                </c:pt>
              </c:strCache>
            </c:strRef>
          </c:cat>
          <c:val>
            <c:numRef>
              <c:f>'Weekly Data'!$V$44:$V$147</c:f>
              <c:numCache>
                <c:ptCount val="104"/>
                <c:pt idx="0">
                  <c:v>0.4618603154168008</c:v>
                </c:pt>
                <c:pt idx="1">
                  <c:v>0.31520882584712373</c:v>
                </c:pt>
                <c:pt idx="2">
                  <c:v>0.56875</c:v>
                </c:pt>
                <c:pt idx="3">
                  <c:v>0.38097182523478973</c:v>
                </c:pt>
                <c:pt idx="4">
                  <c:v>0.2655901047929909</c:v>
                </c:pt>
                <c:pt idx="5">
                  <c:v>0.43533215755437976</c:v>
                </c:pt>
                <c:pt idx="6">
                  <c:v>0.32741985683162156</c:v>
                </c:pt>
                <c:pt idx="7">
                  <c:v>0.38006230529595014</c:v>
                </c:pt>
                <c:pt idx="8">
                  <c:v>0.14511260738332946</c:v>
                </c:pt>
                <c:pt idx="9">
                  <c:v>0.14750854470228458</c:v>
                </c:pt>
                <c:pt idx="10">
                  <c:v>0.10810810810810811</c:v>
                </c:pt>
                <c:pt idx="11">
                  <c:v>0.8932926829268293</c:v>
                </c:pt>
                <c:pt idx="12">
                  <c:v>0.37209302325581395</c:v>
                </c:pt>
                <c:pt idx="13">
                  <c:v>0.30265180630284394</c:v>
                </c:pt>
                <c:pt idx="14">
                  <c:v>0.2784059500477411</c:v>
                </c:pt>
                <c:pt idx="15">
                  <c:v>0.15251190953984678</c:v>
                </c:pt>
                <c:pt idx="16">
                  <c:v>0.20304864282228874</c:v>
                </c:pt>
                <c:pt idx="17">
                  <c:v>0.42175747569253347</c:v>
                </c:pt>
                <c:pt idx="18">
                  <c:v>0.18820193383784406</c:v>
                </c:pt>
                <c:pt idx="19">
                  <c:v>0.2729864667862165</c:v>
                </c:pt>
                <c:pt idx="20">
                  <c:v>0.16748548459133542</c:v>
                </c:pt>
                <c:pt idx="21">
                  <c:v>0.4424172956875062</c:v>
                </c:pt>
                <c:pt idx="22">
                  <c:v>0.18809980806142035</c:v>
                </c:pt>
                <c:pt idx="23">
                  <c:v>0.2590810328050227</c:v>
                </c:pt>
                <c:pt idx="24">
                  <c:v>0.23243949102614717</c:v>
                </c:pt>
                <c:pt idx="25">
                  <c:v>0.1834423353006859</c:v>
                </c:pt>
                <c:pt idx="26">
                  <c:v>0.40761965743556905</c:v>
                </c:pt>
                <c:pt idx="27">
                  <c:v>0.2697583278902678</c:v>
                </c:pt>
                <c:pt idx="28">
                  <c:v>0.27174287459563895</c:v>
                </c:pt>
                <c:pt idx="29">
                  <c:v>0.26845647938612954</c:v>
                </c:pt>
                <c:pt idx="30">
                  <c:v>0.5550708833151581</c:v>
                </c:pt>
                <c:pt idx="31">
                  <c:v>0.3916835000246342</c:v>
                </c:pt>
                <c:pt idx="32">
                  <c:v>0.789238601353169</c:v>
                </c:pt>
                <c:pt idx="33">
                  <c:v>0.2479625678072859</c:v>
                </c:pt>
                <c:pt idx="34">
                  <c:v>0.13027295285359802</c:v>
                </c:pt>
                <c:pt idx="35">
                  <c:v>0.3683121553843987</c:v>
                </c:pt>
                <c:pt idx="36">
                  <c:v>0.3954388686175522</c:v>
                </c:pt>
                <c:pt idx="37">
                  <c:v>0.3157055814073065</c:v>
                </c:pt>
                <c:pt idx="38">
                  <c:v>0.3157055814073065</c:v>
                </c:pt>
                <c:pt idx="39">
                  <c:v>0.23243488794669898</c:v>
                </c:pt>
                <c:pt idx="40">
                  <c:v>0.2713680450996183</c:v>
                </c:pt>
                <c:pt idx="41">
                  <c:v>0.11978519289927199</c:v>
                </c:pt>
                <c:pt idx="42">
                  <c:v>0.38874427789246924</c:v>
                </c:pt>
                <c:pt idx="43">
                  <c:v>0.15242127546970097</c:v>
                </c:pt>
                <c:pt idx="44">
                  <c:v>0.3389763468080057</c:v>
                </c:pt>
                <c:pt idx="45">
                  <c:v>0.09661157552166422</c:v>
                </c:pt>
                <c:pt idx="46">
                  <c:v>0.12618296529968454</c:v>
                </c:pt>
                <c:pt idx="47">
                  <c:v>0.4123276104700253</c:v>
                </c:pt>
                <c:pt idx="48">
                  <c:v>0.21046592271916834</c:v>
                </c:pt>
                <c:pt idx="49">
                  <c:v>0.2371677079505084</c:v>
                </c:pt>
                <c:pt idx="50">
                  <c:v>0.16088166373755125</c:v>
                </c:pt>
                <c:pt idx="51">
                  <c:v>0.18873783466505092</c:v>
                </c:pt>
                <c:pt idx="52">
                  <c:v>0.17669579178116027</c:v>
                </c:pt>
                <c:pt idx="53">
                  <c:v>0.11540589662223068</c:v>
                </c:pt>
                <c:pt idx="54">
                  <c:v>0.43731563421828906</c:v>
                </c:pt>
                <c:pt idx="55">
                  <c:v>0.08903504211292503</c:v>
                </c:pt>
                <c:pt idx="56">
                  <c:v>0.13404785954811446</c:v>
                </c:pt>
                <c:pt idx="57">
                  <c:v>0.07695632171088403</c:v>
                </c:pt>
                <c:pt idx="58">
                  <c:v>0.1351159152325416</c:v>
                </c:pt>
                <c:pt idx="59">
                  <c:v>0.20626744046995793</c:v>
                </c:pt>
                <c:pt idx="60">
                  <c:v>0.19755046760616002</c:v>
                </c:pt>
                <c:pt idx="61">
                  <c:v>0.16081136178309324</c:v>
                </c:pt>
                <c:pt idx="62">
                  <c:v>0.10023811352638451</c:v>
                </c:pt>
                <c:pt idx="63">
                  <c:v>0.25680919648846284</c:v>
                </c:pt>
                <c:pt idx="64">
                  <c:v>0.18588307977449997</c:v>
                </c:pt>
                <c:pt idx="65">
                  <c:v>0.2595132037034222</c:v>
                </c:pt>
                <c:pt idx="66">
                  <c:v>0.14304646906620105</c:v>
                </c:pt>
                <c:pt idx="67">
                  <c:v>0.1667174159287724</c:v>
                </c:pt>
                <c:pt idx="68">
                  <c:v>0.17651500849537474</c:v>
                </c:pt>
                <c:pt idx="69">
                  <c:v>0.11812756101206721</c:v>
                </c:pt>
                <c:pt idx="70">
                  <c:v>0.23079833522512297</c:v>
                </c:pt>
                <c:pt idx="71">
                  <c:v>0.2857262733909541</c:v>
                </c:pt>
                <c:pt idx="72">
                  <c:v>0.32379261307835544</c:v>
                </c:pt>
                <c:pt idx="73">
                  <c:v>0.0984859252075478</c:v>
                </c:pt>
                <c:pt idx="74">
                  <c:v>0.08857389935263728</c:v>
                </c:pt>
                <c:pt idx="75">
                  <c:v>0.14038438033875497</c:v>
                </c:pt>
                <c:pt idx="76">
                  <c:v>0.13123434297426553</c:v>
                </c:pt>
                <c:pt idx="77">
                  <c:v>0.17009522891875833</c:v>
                </c:pt>
                <c:pt idx="78">
                  <c:v>0.09461816117126982</c:v>
                </c:pt>
                <c:pt idx="79">
                  <c:v>0.1268237404976628</c:v>
                </c:pt>
                <c:pt idx="80">
                  <c:v>0.09972545086885758</c:v>
                </c:pt>
                <c:pt idx="81">
                  <c:v>0.16027655751579456</c:v>
                </c:pt>
                <c:pt idx="82">
                  <c:v>0.21881344461989624</c:v>
                </c:pt>
                <c:pt idx="83">
                  <c:v>0.10251663037663061</c:v>
                </c:pt>
                <c:pt idx="84">
                  <c:v>0.18585921764184055</c:v>
                </c:pt>
                <c:pt idx="85">
                  <c:v>0.0662272304919648</c:v>
                </c:pt>
                <c:pt idx="86">
                  <c:v>0.22697811426582667</c:v>
                </c:pt>
                <c:pt idx="87">
                  <c:v>0.14896304874197283</c:v>
                </c:pt>
                <c:pt idx="88">
                  <c:v>0.047762022051128554</c:v>
                </c:pt>
                <c:pt idx="89">
                  <c:v>0.10021492271840184</c:v>
                </c:pt>
                <c:pt idx="90">
                  <c:v>0.10988187698224408</c:v>
                </c:pt>
                <c:pt idx="91">
                  <c:v>0.06748292421033794</c:v>
                </c:pt>
                <c:pt idx="92">
                  <c:v>0.16158326548506294</c:v>
                </c:pt>
                <c:pt idx="93">
                  <c:v>0.116433801883486</c:v>
                </c:pt>
                <c:pt idx="94">
                  <c:v>0.3409090909090909</c:v>
                </c:pt>
                <c:pt idx="95">
                  <c:v>0.06958100136136741</c:v>
                </c:pt>
                <c:pt idx="96">
                  <c:v>0.06577734659228716</c:v>
                </c:pt>
                <c:pt idx="97">
                  <c:v>0.08423987151904488</c:v>
                </c:pt>
                <c:pt idx="98">
                  <c:v>0.04707502026224339</c:v>
                </c:pt>
                <c:pt idx="99">
                  <c:v>0.11853588641396379</c:v>
                </c:pt>
                <c:pt idx="100">
                  <c:v>0.07684690037631214</c:v>
                </c:pt>
                <c:pt idx="101">
                  <c:v>0.037601366024309996</c:v>
                </c:pt>
                <c:pt idx="102">
                  <c:v>0.04184750923106821</c:v>
                </c:pt>
              </c:numCache>
            </c:numRef>
          </c:val>
        </c:ser>
        <c:ser>
          <c:idx val="1"/>
          <c:order val="1"/>
          <c:tx>
            <c:v>Workbooks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Data'!$R$44:$R$147</c:f>
              <c:strCache>
                <c:ptCount val="104"/>
                <c:pt idx="0">
                  <c:v>36819</c:v>
                </c:pt>
                <c:pt idx="1">
                  <c:v>36850</c:v>
                </c:pt>
                <c:pt idx="2">
                  <c:v>36881</c:v>
                </c:pt>
                <c:pt idx="3">
                  <c:v>36912</c:v>
                </c:pt>
                <c:pt idx="4">
                  <c:v>36943</c:v>
                </c:pt>
                <c:pt idx="5">
                  <c:v>36974</c:v>
                </c:pt>
                <c:pt idx="6">
                  <c:v>37005</c:v>
                </c:pt>
                <c:pt idx="7">
                  <c:v>37036</c:v>
                </c:pt>
                <c:pt idx="8">
                  <c:v>37067</c:v>
                </c:pt>
                <c:pt idx="9">
                  <c:v>37098</c:v>
                </c:pt>
                <c:pt idx="10">
                  <c:v>37129</c:v>
                </c:pt>
                <c:pt idx="11">
                  <c:v>37160</c:v>
                </c:pt>
                <c:pt idx="12">
                  <c:v>37191</c:v>
                </c:pt>
                <c:pt idx="13">
                  <c:v>37222</c:v>
                </c:pt>
                <c:pt idx="14">
                  <c:v>37253</c:v>
                </c:pt>
                <c:pt idx="15">
                  <c:v>37284</c:v>
                </c:pt>
                <c:pt idx="16">
                  <c:v>37313</c:v>
                </c:pt>
                <c:pt idx="17">
                  <c:v>37344</c:v>
                </c:pt>
                <c:pt idx="18">
                  <c:v>37375</c:v>
                </c:pt>
                <c:pt idx="19">
                  <c:v>37406</c:v>
                </c:pt>
                <c:pt idx="20">
                  <c:v>37437</c:v>
                </c:pt>
                <c:pt idx="21">
                  <c:v>37468</c:v>
                </c:pt>
                <c:pt idx="22">
                  <c:v>37499</c:v>
                </c:pt>
                <c:pt idx="23">
                  <c:v>37527</c:v>
                </c:pt>
                <c:pt idx="24">
                  <c:v>37558</c:v>
                </c:pt>
                <c:pt idx="25">
                  <c:v>37589</c:v>
                </c:pt>
                <c:pt idx="26">
                  <c:v>37620</c:v>
                </c:pt>
                <c:pt idx="27">
                  <c:v>37651</c:v>
                </c:pt>
                <c:pt idx="28">
                  <c:v>37677</c:v>
                </c:pt>
                <c:pt idx="29">
                  <c:v>37708</c:v>
                </c:pt>
                <c:pt idx="30">
                  <c:v>37739</c:v>
                </c:pt>
                <c:pt idx="31">
                  <c:v>37770</c:v>
                </c:pt>
                <c:pt idx="32">
                  <c:v>37801</c:v>
                </c:pt>
                <c:pt idx="33">
                  <c:v>37832</c:v>
                </c:pt>
                <c:pt idx="34">
                  <c:v>37863</c:v>
                </c:pt>
                <c:pt idx="35">
                  <c:v>37894</c:v>
                </c:pt>
                <c:pt idx="36">
                  <c:v>37925</c:v>
                </c:pt>
                <c:pt idx="37">
                  <c:v>37953</c:v>
                </c:pt>
                <c:pt idx="38">
                  <c:v>37981</c:v>
                </c:pt>
                <c:pt idx="39">
                  <c:v>38009</c:v>
                </c:pt>
                <c:pt idx="40">
                  <c:v>38040</c:v>
                </c:pt>
                <c:pt idx="41">
                  <c:v>38071</c:v>
                </c:pt>
                <c:pt idx="42">
                  <c:v>38091</c:v>
                </c:pt>
                <c:pt idx="43">
                  <c:v>38122</c:v>
                </c:pt>
                <c:pt idx="44">
                  <c:v>38153</c:v>
                </c:pt>
                <c:pt idx="45">
                  <c:v>38184</c:v>
                </c:pt>
                <c:pt idx="46">
                  <c:v>38215</c:v>
                </c:pt>
                <c:pt idx="47">
                  <c:v>38246</c:v>
                </c:pt>
                <c:pt idx="48">
                  <c:v>38277</c:v>
                </c:pt>
                <c:pt idx="49">
                  <c:v>38308</c:v>
                </c:pt>
                <c:pt idx="50">
                  <c:v>38339</c:v>
                </c:pt>
                <c:pt idx="51">
                  <c:v>38370</c:v>
                </c:pt>
                <c:pt idx="52">
                  <c:v>38401</c:v>
                </c:pt>
                <c:pt idx="53">
                  <c:v>38432</c:v>
                </c:pt>
                <c:pt idx="54">
                  <c:v>38463</c:v>
                </c:pt>
                <c:pt idx="55">
                  <c:v>38494</c:v>
                </c:pt>
                <c:pt idx="56">
                  <c:v>38525</c:v>
                </c:pt>
                <c:pt idx="57">
                  <c:v>38556</c:v>
                </c:pt>
                <c:pt idx="58">
                  <c:v>38587</c:v>
                </c:pt>
                <c:pt idx="59">
                  <c:v>38618</c:v>
                </c:pt>
                <c:pt idx="60">
                  <c:v>38649</c:v>
                </c:pt>
                <c:pt idx="61">
                  <c:v>38680</c:v>
                </c:pt>
                <c:pt idx="62">
                  <c:v>38711</c:v>
                </c:pt>
                <c:pt idx="63">
                  <c:v>38742</c:v>
                </c:pt>
                <c:pt idx="64">
                  <c:v>38762</c:v>
                </c:pt>
                <c:pt idx="65">
                  <c:v>38793</c:v>
                </c:pt>
                <c:pt idx="66">
                  <c:v>38824</c:v>
                </c:pt>
                <c:pt idx="67">
                  <c:v>38855</c:v>
                </c:pt>
                <c:pt idx="68">
                  <c:v>38886</c:v>
                </c:pt>
                <c:pt idx="69">
                  <c:v>38917</c:v>
                </c:pt>
                <c:pt idx="70">
                  <c:v>38948</c:v>
                </c:pt>
                <c:pt idx="71">
                  <c:v>38979</c:v>
                </c:pt>
                <c:pt idx="72">
                  <c:v>39010</c:v>
                </c:pt>
                <c:pt idx="73">
                  <c:v>39041</c:v>
                </c:pt>
                <c:pt idx="74">
                  <c:v>39072</c:v>
                </c:pt>
                <c:pt idx="75">
                  <c:v>39103</c:v>
                </c:pt>
                <c:pt idx="76">
                  <c:v>39134</c:v>
                </c:pt>
                <c:pt idx="77">
                  <c:v>39165</c:v>
                </c:pt>
                <c:pt idx="78">
                  <c:v>39196</c:v>
                </c:pt>
                <c:pt idx="79">
                  <c:v>39227</c:v>
                </c:pt>
                <c:pt idx="80">
                  <c:v>39258</c:v>
                </c:pt>
                <c:pt idx="81">
                  <c:v>39289</c:v>
                </c:pt>
                <c:pt idx="82">
                  <c:v>39320</c:v>
                </c:pt>
                <c:pt idx="83">
                  <c:v>39351</c:v>
                </c:pt>
                <c:pt idx="84">
                  <c:v>39382</c:v>
                </c:pt>
                <c:pt idx="85">
                  <c:v>39413</c:v>
                </c:pt>
                <c:pt idx="86">
                  <c:v>39444</c:v>
                </c:pt>
                <c:pt idx="87">
                  <c:v>39475</c:v>
                </c:pt>
                <c:pt idx="88">
                  <c:v>39506</c:v>
                </c:pt>
                <c:pt idx="89">
                  <c:v>39537</c:v>
                </c:pt>
                <c:pt idx="90">
                  <c:v>39568</c:v>
                </c:pt>
                <c:pt idx="91">
                  <c:v>39599</c:v>
                </c:pt>
                <c:pt idx="92">
                  <c:v>39619</c:v>
                </c:pt>
                <c:pt idx="93">
                  <c:v>39650</c:v>
                </c:pt>
                <c:pt idx="94">
                  <c:v>39681</c:v>
                </c:pt>
                <c:pt idx="95">
                  <c:v>39712</c:v>
                </c:pt>
                <c:pt idx="96">
                  <c:v>39743</c:v>
                </c:pt>
                <c:pt idx="97">
                  <c:v>39774</c:v>
                </c:pt>
                <c:pt idx="98">
                  <c:v>39805</c:v>
                </c:pt>
                <c:pt idx="99">
                  <c:v>39836</c:v>
                </c:pt>
                <c:pt idx="100">
                  <c:v>39867</c:v>
                </c:pt>
                <c:pt idx="101">
                  <c:v>39898</c:v>
                </c:pt>
                <c:pt idx="102">
                  <c:v>39929</c:v>
                </c:pt>
                <c:pt idx="103">
                  <c:v>39960</c:v>
                </c:pt>
              </c:strCache>
            </c:strRef>
          </c:cat>
          <c:val>
            <c:numRef>
              <c:f>'Weekly Data'!$AA$44:$AA$147</c:f>
              <c:numCache>
                <c:ptCount val="104"/>
                <c:pt idx="0">
                  <c:v>0.3208883167042163</c:v>
                </c:pt>
                <c:pt idx="1">
                  <c:v>0.3490062166185098</c:v>
                </c:pt>
                <c:pt idx="2">
                  <c:v>0.35625</c:v>
                </c:pt>
                <c:pt idx="3">
                  <c:v>0.40057166190281746</c:v>
                </c:pt>
                <c:pt idx="4">
                  <c:v>0.2607799347191204</c:v>
                </c:pt>
                <c:pt idx="5">
                  <c:v>0.3447971781305115</c:v>
                </c:pt>
                <c:pt idx="6">
                  <c:v>0.23109243697478993</c:v>
                </c:pt>
                <c:pt idx="7">
                  <c:v>0.16822429906542055</c:v>
                </c:pt>
                <c:pt idx="8">
                  <c:v>0.4984908288832134</c:v>
                </c:pt>
                <c:pt idx="9">
                  <c:v>0.2827846735024285</c:v>
                </c:pt>
                <c:pt idx="10">
                  <c:v>0.8918918918918919</c:v>
                </c:pt>
                <c:pt idx="11">
                  <c:v>0.10670731707317073</c:v>
                </c:pt>
                <c:pt idx="12">
                  <c:v>0.1462432915921288</c:v>
                </c:pt>
                <c:pt idx="13">
                  <c:v>0.22455482961824239</c:v>
                </c:pt>
                <c:pt idx="14">
                  <c:v>0.14091160359817076</c:v>
                </c:pt>
                <c:pt idx="15">
                  <c:v>0.22356780149021935</c:v>
                </c:pt>
                <c:pt idx="16">
                  <c:v>0.09625146569366456</c:v>
                </c:pt>
                <c:pt idx="17">
                  <c:v>0.14529444138690148</c:v>
                </c:pt>
                <c:pt idx="18">
                  <c:v>0.17056924787598104</c:v>
                </c:pt>
                <c:pt idx="19">
                  <c:v>0.20110175067408048</c:v>
                </c:pt>
                <c:pt idx="20">
                  <c:v>0.19834747655203216</c:v>
                </c:pt>
                <c:pt idx="21">
                  <c:v>0.043138515084619376</c:v>
                </c:pt>
                <c:pt idx="22">
                  <c:v>0.3704414587332054</c:v>
                </c:pt>
                <c:pt idx="23">
                  <c:v>0.13026033404870765</c:v>
                </c:pt>
                <c:pt idx="24">
                  <c:v>0.30558676748964947</c:v>
                </c:pt>
                <c:pt idx="25">
                  <c:v>0.1790670646947565</c:v>
                </c:pt>
                <c:pt idx="26">
                  <c:v>0.3322554826316632</c:v>
                </c:pt>
                <c:pt idx="27">
                  <c:v>0.09732201175702156</c:v>
                </c:pt>
                <c:pt idx="28">
                  <c:v>0.06123783089479188</c:v>
                </c:pt>
                <c:pt idx="29">
                  <c:v>0.14105536567745341</c:v>
                </c:pt>
                <c:pt idx="30">
                  <c:v>0.1777535441657579</c:v>
                </c:pt>
                <c:pt idx="31">
                  <c:v>0.13465044095186482</c:v>
                </c:pt>
                <c:pt idx="32">
                  <c:v>0.021003050467213822</c:v>
                </c:pt>
                <c:pt idx="33">
                  <c:v>0.14060210298994782</c:v>
                </c:pt>
                <c:pt idx="34">
                  <c:v>0.2617866004962779</c:v>
                </c:pt>
                <c:pt idx="35">
                  <c:v>0.13865869379177365</c:v>
                </c:pt>
                <c:pt idx="36">
                  <c:v>0.11854620386748081</c:v>
                </c:pt>
                <c:pt idx="37">
                  <c:v>0.09769390955600689</c:v>
                </c:pt>
                <c:pt idx="38">
                  <c:v>0.09769390955600689</c:v>
                </c:pt>
                <c:pt idx="39">
                  <c:v>0.07192610539067232</c:v>
                </c:pt>
                <c:pt idx="40">
                  <c:v>0.08977905388844147</c:v>
                </c:pt>
                <c:pt idx="41">
                  <c:v>0.15303326246682633</c:v>
                </c:pt>
                <c:pt idx="42">
                  <c:v>0.3039224486132304</c:v>
                </c:pt>
                <c:pt idx="43">
                  <c:v>0.12096926624579443</c:v>
                </c:pt>
                <c:pt idx="44">
                  <c:v>0.18321335337394193</c:v>
                </c:pt>
                <c:pt idx="45">
                  <c:v>0.07531959245315126</c:v>
                </c:pt>
                <c:pt idx="46">
                  <c:v>0.5583596214511041</c:v>
                </c:pt>
                <c:pt idx="47">
                  <c:v>0.3017168589924008</c:v>
                </c:pt>
                <c:pt idx="48">
                  <c:v>0.13719128106465828</c:v>
                </c:pt>
                <c:pt idx="49">
                  <c:v>0.15910204581648904</c:v>
                </c:pt>
                <c:pt idx="50">
                  <c:v>0.12430433509080258</c:v>
                </c:pt>
                <c:pt idx="51">
                  <c:v>0.13587306396031357</c:v>
                </c:pt>
                <c:pt idx="52">
                  <c:v>0.12785204853499646</c:v>
                </c:pt>
                <c:pt idx="53">
                  <c:v>0.12944207077998696</c:v>
                </c:pt>
                <c:pt idx="54">
                  <c:v>0.08491361146228403</c:v>
                </c:pt>
                <c:pt idx="55">
                  <c:v>0.1212826245190808</c:v>
                </c:pt>
                <c:pt idx="56">
                  <c:v>0.1323721288139833</c:v>
                </c:pt>
                <c:pt idx="57">
                  <c:v>0.06597052795940275</c:v>
                </c:pt>
                <c:pt idx="58">
                  <c:v>0.42326838287583557</c:v>
                </c:pt>
                <c:pt idx="59">
                  <c:v>0.1562168319953128</c:v>
                </c:pt>
                <c:pt idx="60">
                  <c:v>0.21096568553047904</c:v>
                </c:pt>
                <c:pt idx="61">
                  <c:v>0.0986001630877956</c:v>
                </c:pt>
                <c:pt idx="62">
                  <c:v>0.13626238574391275</c:v>
                </c:pt>
                <c:pt idx="63">
                  <c:v>0.10545110997228888</c:v>
                </c:pt>
                <c:pt idx="64">
                  <c:v>0.16557263109120396</c:v>
                </c:pt>
                <c:pt idx="65">
                  <c:v>0.08939294890311203</c:v>
                </c:pt>
                <c:pt idx="66">
                  <c:v>0.07135494456949323</c:v>
                </c:pt>
                <c:pt idx="67">
                  <c:v>0.099984166230223</c:v>
                </c:pt>
                <c:pt idx="68">
                  <c:v>0.1313479327921465</c:v>
                </c:pt>
                <c:pt idx="69">
                  <c:v>0.17662799412464272</c:v>
                </c:pt>
                <c:pt idx="70">
                  <c:v>0.11748013620885357</c:v>
                </c:pt>
                <c:pt idx="71">
                  <c:v>0.16287656289334565</c:v>
                </c:pt>
                <c:pt idx="72">
                  <c:v>0.1492547867283684</c:v>
                </c:pt>
                <c:pt idx="73">
                  <c:v>0.07406509434750984</c:v>
                </c:pt>
                <c:pt idx="74">
                  <c:v>0.10078578056396932</c:v>
                </c:pt>
                <c:pt idx="75">
                  <c:v>0.10403599173540924</c:v>
                </c:pt>
                <c:pt idx="76">
                  <c:v>0.16496811660214075</c:v>
                </c:pt>
                <c:pt idx="77">
                  <c:v>0.1657111657111657</c:v>
                </c:pt>
                <c:pt idx="78">
                  <c:v>0.03566938394776331</c:v>
                </c:pt>
                <c:pt idx="79">
                  <c:v>0.12166139414829155</c:v>
                </c:pt>
                <c:pt idx="80">
                  <c:v>0.05655383300179197</c:v>
                </c:pt>
                <c:pt idx="81">
                  <c:v>0.12229862268630608</c:v>
                </c:pt>
                <c:pt idx="82">
                  <c:v>0.1258741258741259</c:v>
                </c:pt>
                <c:pt idx="83">
                  <c:v>0.057656326727893614</c:v>
                </c:pt>
                <c:pt idx="84">
                  <c:v>0.02582883199493022</c:v>
                </c:pt>
                <c:pt idx="85">
                  <c:v>0.10025755034080208</c:v>
                </c:pt>
                <c:pt idx="86">
                  <c:v>0.22684697135536194</c:v>
                </c:pt>
                <c:pt idx="87">
                  <c:v>0.0645331087482893</c:v>
                </c:pt>
                <c:pt idx="88">
                  <c:v>0.015993273821394625</c:v>
                </c:pt>
                <c:pt idx="89">
                  <c:v>0.05765857755745683</c:v>
                </c:pt>
                <c:pt idx="90">
                  <c:v>0.045625952101490896</c:v>
                </c:pt>
                <c:pt idx="91">
                  <c:v>0.028879708891341307</c:v>
                </c:pt>
                <c:pt idx="92">
                  <c:v>0.0707396505292165</c:v>
                </c:pt>
                <c:pt idx="93">
                  <c:v>0.04171850199113646</c:v>
                </c:pt>
                <c:pt idx="94">
                  <c:v>0</c:v>
                </c:pt>
                <c:pt idx="95">
                  <c:v>0.04945356224474361</c:v>
                </c:pt>
                <c:pt idx="96">
                  <c:v>0.05704584040747029</c:v>
                </c:pt>
                <c:pt idx="97">
                  <c:v>0.057889154874094725</c:v>
                </c:pt>
                <c:pt idx="98">
                  <c:v>0.05544637999755743</c:v>
                </c:pt>
                <c:pt idx="99">
                  <c:v>0.061721158438626196</c:v>
                </c:pt>
                <c:pt idx="100">
                  <c:v>0.06248762131115072</c:v>
                </c:pt>
                <c:pt idx="101">
                  <c:v>0.02934929408194956</c:v>
                </c:pt>
                <c:pt idx="102">
                  <c:v>0.009069119647599922</c:v>
                </c:pt>
              </c:numCache>
            </c:numRef>
          </c:val>
        </c:ser>
        <c:ser>
          <c:idx val="2"/>
          <c:order val="2"/>
          <c:tx>
            <c:v>CD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Data'!$R$44:$R$147</c:f>
              <c:strCache>
                <c:ptCount val="104"/>
                <c:pt idx="0">
                  <c:v>36819</c:v>
                </c:pt>
                <c:pt idx="1">
                  <c:v>36850</c:v>
                </c:pt>
                <c:pt idx="2">
                  <c:v>36881</c:v>
                </c:pt>
                <c:pt idx="3">
                  <c:v>36912</c:v>
                </c:pt>
                <c:pt idx="4">
                  <c:v>36943</c:v>
                </c:pt>
                <c:pt idx="5">
                  <c:v>36974</c:v>
                </c:pt>
                <c:pt idx="6">
                  <c:v>37005</c:v>
                </c:pt>
                <c:pt idx="7">
                  <c:v>37036</c:v>
                </c:pt>
                <c:pt idx="8">
                  <c:v>37067</c:v>
                </c:pt>
                <c:pt idx="9">
                  <c:v>37098</c:v>
                </c:pt>
                <c:pt idx="10">
                  <c:v>37129</c:v>
                </c:pt>
                <c:pt idx="11">
                  <c:v>37160</c:v>
                </c:pt>
                <c:pt idx="12">
                  <c:v>37191</c:v>
                </c:pt>
                <c:pt idx="13">
                  <c:v>37222</c:v>
                </c:pt>
                <c:pt idx="14">
                  <c:v>37253</c:v>
                </c:pt>
                <c:pt idx="15">
                  <c:v>37284</c:v>
                </c:pt>
                <c:pt idx="16">
                  <c:v>37313</c:v>
                </c:pt>
                <c:pt idx="17">
                  <c:v>37344</c:v>
                </c:pt>
                <c:pt idx="18">
                  <c:v>37375</c:v>
                </c:pt>
                <c:pt idx="19">
                  <c:v>37406</c:v>
                </c:pt>
                <c:pt idx="20">
                  <c:v>37437</c:v>
                </c:pt>
                <c:pt idx="21">
                  <c:v>37468</c:v>
                </c:pt>
                <c:pt idx="22">
                  <c:v>37499</c:v>
                </c:pt>
                <c:pt idx="23">
                  <c:v>37527</c:v>
                </c:pt>
                <c:pt idx="24">
                  <c:v>37558</c:v>
                </c:pt>
                <c:pt idx="25">
                  <c:v>37589</c:v>
                </c:pt>
                <c:pt idx="26">
                  <c:v>37620</c:v>
                </c:pt>
                <c:pt idx="27">
                  <c:v>37651</c:v>
                </c:pt>
                <c:pt idx="28">
                  <c:v>37677</c:v>
                </c:pt>
                <c:pt idx="29">
                  <c:v>37708</c:v>
                </c:pt>
                <c:pt idx="30">
                  <c:v>37739</c:v>
                </c:pt>
                <c:pt idx="31">
                  <c:v>37770</c:v>
                </c:pt>
                <c:pt idx="32">
                  <c:v>37801</c:v>
                </c:pt>
                <c:pt idx="33">
                  <c:v>37832</c:v>
                </c:pt>
                <c:pt idx="34">
                  <c:v>37863</c:v>
                </c:pt>
                <c:pt idx="35">
                  <c:v>37894</c:v>
                </c:pt>
                <c:pt idx="36">
                  <c:v>37925</c:v>
                </c:pt>
                <c:pt idx="37">
                  <c:v>37953</c:v>
                </c:pt>
                <c:pt idx="38">
                  <c:v>37981</c:v>
                </c:pt>
                <c:pt idx="39">
                  <c:v>38009</c:v>
                </c:pt>
                <c:pt idx="40">
                  <c:v>38040</c:v>
                </c:pt>
                <c:pt idx="41">
                  <c:v>38071</c:v>
                </c:pt>
                <c:pt idx="42">
                  <c:v>38091</c:v>
                </c:pt>
                <c:pt idx="43">
                  <c:v>38122</c:v>
                </c:pt>
                <c:pt idx="44">
                  <c:v>38153</c:v>
                </c:pt>
                <c:pt idx="45">
                  <c:v>38184</c:v>
                </c:pt>
                <c:pt idx="46">
                  <c:v>38215</c:v>
                </c:pt>
                <c:pt idx="47">
                  <c:v>38246</c:v>
                </c:pt>
                <c:pt idx="48">
                  <c:v>38277</c:v>
                </c:pt>
                <c:pt idx="49">
                  <c:v>38308</c:v>
                </c:pt>
                <c:pt idx="50">
                  <c:v>38339</c:v>
                </c:pt>
                <c:pt idx="51">
                  <c:v>38370</c:v>
                </c:pt>
                <c:pt idx="52">
                  <c:v>38401</c:v>
                </c:pt>
                <c:pt idx="53">
                  <c:v>38432</c:v>
                </c:pt>
                <c:pt idx="54">
                  <c:v>38463</c:v>
                </c:pt>
                <c:pt idx="55">
                  <c:v>38494</c:v>
                </c:pt>
                <c:pt idx="56">
                  <c:v>38525</c:v>
                </c:pt>
                <c:pt idx="57">
                  <c:v>38556</c:v>
                </c:pt>
                <c:pt idx="58">
                  <c:v>38587</c:v>
                </c:pt>
                <c:pt idx="59">
                  <c:v>38618</c:v>
                </c:pt>
                <c:pt idx="60">
                  <c:v>38649</c:v>
                </c:pt>
                <c:pt idx="61">
                  <c:v>38680</c:v>
                </c:pt>
                <c:pt idx="62">
                  <c:v>38711</c:v>
                </c:pt>
                <c:pt idx="63">
                  <c:v>38742</c:v>
                </c:pt>
                <c:pt idx="64">
                  <c:v>38762</c:v>
                </c:pt>
                <c:pt idx="65">
                  <c:v>38793</c:v>
                </c:pt>
                <c:pt idx="66">
                  <c:v>38824</c:v>
                </c:pt>
                <c:pt idx="67">
                  <c:v>38855</c:v>
                </c:pt>
                <c:pt idx="68">
                  <c:v>38886</c:v>
                </c:pt>
                <c:pt idx="69">
                  <c:v>38917</c:v>
                </c:pt>
                <c:pt idx="70">
                  <c:v>38948</c:v>
                </c:pt>
                <c:pt idx="71">
                  <c:v>38979</c:v>
                </c:pt>
                <c:pt idx="72">
                  <c:v>39010</c:v>
                </c:pt>
                <c:pt idx="73">
                  <c:v>39041</c:v>
                </c:pt>
                <c:pt idx="74">
                  <c:v>39072</c:v>
                </c:pt>
                <c:pt idx="75">
                  <c:v>39103</c:v>
                </c:pt>
                <c:pt idx="76">
                  <c:v>39134</c:v>
                </c:pt>
                <c:pt idx="77">
                  <c:v>39165</c:v>
                </c:pt>
                <c:pt idx="78">
                  <c:v>39196</c:v>
                </c:pt>
                <c:pt idx="79">
                  <c:v>39227</c:v>
                </c:pt>
                <c:pt idx="80">
                  <c:v>39258</c:v>
                </c:pt>
                <c:pt idx="81">
                  <c:v>39289</c:v>
                </c:pt>
                <c:pt idx="82">
                  <c:v>39320</c:v>
                </c:pt>
                <c:pt idx="83">
                  <c:v>39351</c:v>
                </c:pt>
                <c:pt idx="84">
                  <c:v>39382</c:v>
                </c:pt>
                <c:pt idx="85">
                  <c:v>39413</c:v>
                </c:pt>
                <c:pt idx="86">
                  <c:v>39444</c:v>
                </c:pt>
                <c:pt idx="87">
                  <c:v>39475</c:v>
                </c:pt>
                <c:pt idx="88">
                  <c:v>39506</c:v>
                </c:pt>
                <c:pt idx="89">
                  <c:v>39537</c:v>
                </c:pt>
                <c:pt idx="90">
                  <c:v>39568</c:v>
                </c:pt>
                <c:pt idx="91">
                  <c:v>39599</c:v>
                </c:pt>
                <c:pt idx="92">
                  <c:v>39619</c:v>
                </c:pt>
                <c:pt idx="93">
                  <c:v>39650</c:v>
                </c:pt>
                <c:pt idx="94">
                  <c:v>39681</c:v>
                </c:pt>
                <c:pt idx="95">
                  <c:v>39712</c:v>
                </c:pt>
                <c:pt idx="96">
                  <c:v>39743</c:v>
                </c:pt>
                <c:pt idx="97">
                  <c:v>39774</c:v>
                </c:pt>
                <c:pt idx="98">
                  <c:v>39805</c:v>
                </c:pt>
                <c:pt idx="99">
                  <c:v>39836</c:v>
                </c:pt>
                <c:pt idx="100">
                  <c:v>39867</c:v>
                </c:pt>
                <c:pt idx="101">
                  <c:v>39898</c:v>
                </c:pt>
                <c:pt idx="102">
                  <c:v>39929</c:v>
                </c:pt>
                <c:pt idx="103">
                  <c:v>39960</c:v>
                </c:pt>
              </c:strCache>
            </c:strRef>
          </c:cat>
          <c:val>
            <c:numRef>
              <c:f>'Weekly Data'!$AF$44:$AF$147</c:f>
              <c:numCache>
                <c:ptCount val="104"/>
                <c:pt idx="0">
                  <c:v>0.21725136787898294</c:v>
                </c:pt>
                <c:pt idx="1">
                  <c:v>0.3357849575343665</c:v>
                </c:pt>
                <c:pt idx="2">
                  <c:v>0.075</c:v>
                </c:pt>
                <c:pt idx="3">
                  <c:v>0.21845651286239282</c:v>
                </c:pt>
                <c:pt idx="4">
                  <c:v>0.4736299604878887</c:v>
                </c:pt>
                <c:pt idx="5">
                  <c:v>0.21987066431510877</c:v>
                </c:pt>
                <c:pt idx="6">
                  <c:v>0.44148770619358857</c:v>
                </c:pt>
                <c:pt idx="7">
                  <c:v>0.4517133956386293</c:v>
                </c:pt>
                <c:pt idx="8">
                  <c:v>0.3563965637334572</c:v>
                </c:pt>
                <c:pt idx="9">
                  <c:v>0.5697067817952869</c:v>
                </c:pt>
                <c:pt idx="10">
                  <c:v>0</c:v>
                </c:pt>
                <c:pt idx="11">
                  <c:v>0</c:v>
                </c:pt>
                <c:pt idx="12">
                  <c:v>0.48166368515205726</c:v>
                </c:pt>
                <c:pt idx="13">
                  <c:v>0.4592621060722521</c:v>
                </c:pt>
                <c:pt idx="14">
                  <c:v>0.5806824463540882</c:v>
                </c:pt>
                <c:pt idx="15">
                  <c:v>0.6239202889699339</c:v>
                </c:pt>
                <c:pt idx="16">
                  <c:v>0.6919603516208205</c:v>
                </c:pt>
                <c:pt idx="17">
                  <c:v>0.432948082920565</c:v>
                </c:pt>
                <c:pt idx="18">
                  <c:v>0.5543500555969384</c:v>
                </c:pt>
                <c:pt idx="19">
                  <c:v>0.525911782539703</c:v>
                </c:pt>
                <c:pt idx="20">
                  <c:v>0.584412684234033</c:v>
                </c:pt>
                <c:pt idx="21">
                  <c:v>0.5144441892278743</c:v>
                </c:pt>
                <c:pt idx="22">
                  <c:v>0.44145873320537427</c:v>
                </c:pt>
                <c:pt idx="23">
                  <c:v>0.5208013969794318</c:v>
                </c:pt>
                <c:pt idx="24">
                  <c:v>0.3982102908277405</c:v>
                </c:pt>
                <c:pt idx="25">
                  <c:v>0.6374906000045576</c:v>
                </c:pt>
                <c:pt idx="26">
                  <c:v>0.26012485993276774</c:v>
                </c:pt>
                <c:pt idx="27">
                  <c:v>0.6080992815153494</c:v>
                </c:pt>
                <c:pt idx="28">
                  <c:v>0.6341942862041884</c:v>
                </c:pt>
                <c:pt idx="29">
                  <c:v>0.5772678304666476</c:v>
                </c:pt>
                <c:pt idx="30">
                  <c:v>0.26717557251908397</c:v>
                </c:pt>
                <c:pt idx="31">
                  <c:v>0.46090555254471105</c:v>
                </c:pt>
                <c:pt idx="32">
                  <c:v>0.1897583481796172</c:v>
                </c:pt>
                <c:pt idx="33">
                  <c:v>0.6073090469702034</c:v>
                </c:pt>
                <c:pt idx="34">
                  <c:v>0.607940446650124</c:v>
                </c:pt>
                <c:pt idx="35">
                  <c:v>0.46465828214877647</c:v>
                </c:pt>
                <c:pt idx="36">
                  <c:v>0.486014927514967</c:v>
                </c:pt>
                <c:pt idx="37">
                  <c:v>0.5672673985140242</c:v>
                </c:pt>
                <c:pt idx="38">
                  <c:v>0.5672673985140242</c:v>
                </c:pt>
                <c:pt idx="39">
                  <c:v>0.681405208964264</c:v>
                </c:pt>
                <c:pt idx="40">
                  <c:v>0.6353513778493645</c:v>
                </c:pt>
                <c:pt idx="41">
                  <c:v>0.7157837147807058</c:v>
                </c:pt>
                <c:pt idx="42">
                  <c:v>0.30733327349430034</c:v>
                </c:pt>
                <c:pt idx="43">
                  <c:v>0.7266094582845046</c:v>
                </c:pt>
                <c:pt idx="44">
                  <c:v>0.47781029981805234</c:v>
                </c:pt>
                <c:pt idx="45">
                  <c:v>0.824878225171761</c:v>
                </c:pt>
                <c:pt idx="46">
                  <c:v>0.31545741324921134</c:v>
                </c:pt>
                <c:pt idx="47">
                  <c:v>0.2859555305375739</c:v>
                </c:pt>
                <c:pt idx="48">
                  <c:v>0.6523427962161734</c:v>
                </c:pt>
                <c:pt idx="49">
                  <c:v>0.594542447629548</c:v>
                </c:pt>
                <c:pt idx="50">
                  <c:v>0.7148140011716462</c:v>
                </c:pt>
                <c:pt idx="51">
                  <c:v>0.6640284772976862</c:v>
                </c:pt>
                <c:pt idx="52">
                  <c:v>0.6954521596838433</c:v>
                </c:pt>
                <c:pt idx="53">
                  <c:v>0.7551520325977823</c:v>
                </c:pt>
                <c:pt idx="54">
                  <c:v>0.4777707543194269</c:v>
                </c:pt>
                <c:pt idx="55">
                  <c:v>0.7896823333679942</c:v>
                </c:pt>
                <c:pt idx="56">
                  <c:v>0.7335800116379023</c:v>
                </c:pt>
                <c:pt idx="57">
                  <c:v>0.8570731503297132</c:v>
                </c:pt>
                <c:pt idx="58">
                  <c:v>0.4416157018916228</c:v>
                </c:pt>
                <c:pt idx="59">
                  <c:v>0.6375157275347294</c:v>
                </c:pt>
                <c:pt idx="60">
                  <c:v>0.5646300598956205</c:v>
                </c:pt>
                <c:pt idx="61">
                  <c:v>0.7370209296004349</c:v>
                </c:pt>
                <c:pt idx="62">
                  <c:v>0.7634995007297027</c:v>
                </c:pt>
                <c:pt idx="63">
                  <c:v>0.6377396935392482</c:v>
                </c:pt>
                <c:pt idx="64">
                  <c:v>0.6485442891342961</c:v>
                </c:pt>
                <c:pt idx="65">
                  <c:v>0.6450126944068595</c:v>
                </c:pt>
                <c:pt idx="66">
                  <c:v>0.7855985863643057</c:v>
                </c:pt>
                <c:pt idx="67">
                  <c:v>0.7332984178410046</c:v>
                </c:pt>
                <c:pt idx="68">
                  <c:v>0.655559750802341</c:v>
                </c:pt>
                <c:pt idx="69">
                  <c:v>0.7052444448632902</c:v>
                </c:pt>
                <c:pt idx="70">
                  <c:v>0.6517215285660235</c:v>
                </c:pt>
                <c:pt idx="71">
                  <c:v>0.5304187295460266</c:v>
                </c:pt>
                <c:pt idx="72">
                  <c:v>0.5269526001932762</c:v>
                </c:pt>
                <c:pt idx="73">
                  <c:v>0.76641780438254</c:v>
                </c:pt>
                <c:pt idx="74">
                  <c:v>0.7869695147079113</c:v>
                </c:pt>
                <c:pt idx="75">
                  <c:v>0.7165080701437377</c:v>
                </c:pt>
                <c:pt idx="76">
                  <c:v>0.6753302209063995</c:v>
                </c:pt>
                <c:pt idx="77">
                  <c:v>0.6240465063994476</c:v>
                </c:pt>
                <c:pt idx="78">
                  <c:v>0.8494342377418177</c:v>
                </c:pt>
                <c:pt idx="79">
                  <c:v>0.7357760045327919</c:v>
                </c:pt>
                <c:pt idx="80">
                  <c:v>0.8272806483962714</c:v>
                </c:pt>
                <c:pt idx="81">
                  <c:v>0.6768218262444518</c:v>
                </c:pt>
                <c:pt idx="82">
                  <c:v>0.5244755244755245</c:v>
                </c:pt>
                <c:pt idx="83">
                  <c:v>0.7804487455444011</c:v>
                </c:pt>
                <c:pt idx="84">
                  <c:v>0.7560581641557739</c:v>
                </c:pt>
                <c:pt idx="85">
                  <c:v>0.8272791334335264</c:v>
                </c:pt>
                <c:pt idx="86">
                  <c:v>0.2939770096390039</c:v>
                </c:pt>
                <c:pt idx="87">
                  <c:v>0.7799242025476366</c:v>
                </c:pt>
                <c:pt idx="88">
                  <c:v>0.9247634488267247</c:v>
                </c:pt>
                <c:pt idx="89">
                  <c:v>0.8380092062681676</c:v>
                </c:pt>
                <c:pt idx="90">
                  <c:v>0.7945458631970631</c:v>
                </c:pt>
                <c:pt idx="91">
                  <c:v>0.8700823217108599</c:v>
                </c:pt>
                <c:pt idx="92">
                  <c:v>0.7676770839857205</c:v>
                </c:pt>
                <c:pt idx="93">
                  <c:v>0.7529992281183571</c:v>
                </c:pt>
                <c:pt idx="94">
                  <c:v>0.6590909090909091</c:v>
                </c:pt>
                <c:pt idx="95">
                  <c:v>0.880965436393889</c:v>
                </c:pt>
                <c:pt idx="96">
                  <c:v>0.8771768130002425</c:v>
                </c:pt>
                <c:pt idx="97">
                  <c:v>0.8518105511954184</c:v>
                </c:pt>
                <c:pt idx="98">
                  <c:v>0.664324018252673</c:v>
                </c:pt>
                <c:pt idx="99">
                  <c:v>0.81974295514741</c:v>
                </c:pt>
                <c:pt idx="100">
                  <c:v>0.8428401663695781</c:v>
                </c:pt>
                <c:pt idx="101">
                  <c:v>0.8735535075767943</c:v>
                </c:pt>
                <c:pt idx="102">
                  <c:v>0.9413098399948177</c:v>
                </c:pt>
              </c:numCache>
            </c:numRef>
          </c:val>
        </c:ser>
        <c:axId val="28805771"/>
        <c:axId val="57925348"/>
      </c:areaChart>
      <c:date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25348"/>
        <c:crosses val="autoZero"/>
        <c:auto val="0"/>
        <c:noMultiLvlLbl val="0"/>
      </c:dateAx>
      <c:valAx>
        <c:axId val="57925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Financial Year - Total Sales Cumulative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175"/>
          <c:w val="0.802"/>
          <c:h val="0.831"/>
        </c:manualLayout>
      </c:layout>
      <c:lineChart>
        <c:grouping val="standard"/>
        <c:varyColors val="0"/>
        <c:ser>
          <c:idx val="0"/>
          <c:order val="0"/>
          <c:tx>
            <c:v>1997/1998 - 1 Assessment Pack, 10 WorkBooks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Data'!$S$16:$S$27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'Weekly Data'!$AN$4:$AN$15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1050</c:v>
                </c:pt>
                <c:pt idx="5">
                  <c:v>2610</c:v>
                </c:pt>
                <c:pt idx="6">
                  <c:v>4815</c:v>
                </c:pt>
                <c:pt idx="7">
                  <c:v>7775</c:v>
                </c:pt>
                <c:pt idx="8">
                  <c:v>9280</c:v>
                </c:pt>
                <c:pt idx="9">
                  <c:v>11615</c:v>
                </c:pt>
                <c:pt idx="10">
                  <c:v>12590</c:v>
                </c:pt>
                <c:pt idx="11">
                  <c:v>14925</c:v>
                </c:pt>
              </c:numCache>
            </c:numRef>
          </c:val>
          <c:smooth val="0"/>
        </c:ser>
        <c:ser>
          <c:idx val="1"/>
          <c:order val="1"/>
          <c:tx>
            <c:v>1998/1999 2 Assessment Packs, 30 Work 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Data'!$S$16:$S$27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'Weekly Data'!$AN$16:$AN$27</c:f>
              <c:numCache>
                <c:ptCount val="12"/>
                <c:pt idx="0">
                  <c:v>4290</c:v>
                </c:pt>
                <c:pt idx="1">
                  <c:v>6300</c:v>
                </c:pt>
                <c:pt idx="2">
                  <c:v>7275</c:v>
                </c:pt>
                <c:pt idx="3">
                  <c:v>11180</c:v>
                </c:pt>
                <c:pt idx="4">
                  <c:v>13690</c:v>
                </c:pt>
                <c:pt idx="5">
                  <c:v>16582</c:v>
                </c:pt>
                <c:pt idx="6">
                  <c:v>17822</c:v>
                </c:pt>
                <c:pt idx="7">
                  <c:v>20607</c:v>
                </c:pt>
                <c:pt idx="8">
                  <c:v>22367</c:v>
                </c:pt>
                <c:pt idx="9">
                  <c:v>24032</c:v>
                </c:pt>
                <c:pt idx="10">
                  <c:v>24582</c:v>
                </c:pt>
                <c:pt idx="11">
                  <c:v>26957</c:v>
                </c:pt>
              </c:numCache>
            </c:numRef>
          </c:val>
          <c:smooth val="0"/>
        </c:ser>
        <c:ser>
          <c:idx val="2"/>
          <c:order val="2"/>
          <c:tx>
            <c:v>1999/2000 - 2&gt;3 Assessment Packs, 50 Work 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Data'!$S$16:$S$27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'Weekly Data'!$AN$28:$AN$39</c:f>
              <c:numCache>
                <c:ptCount val="12"/>
                <c:pt idx="0">
                  <c:v>6010</c:v>
                </c:pt>
                <c:pt idx="1">
                  <c:v>9565</c:v>
                </c:pt>
                <c:pt idx="2">
                  <c:v>11210</c:v>
                </c:pt>
                <c:pt idx="3">
                  <c:v>14925</c:v>
                </c:pt>
                <c:pt idx="4">
                  <c:v>16980</c:v>
                </c:pt>
                <c:pt idx="5">
                  <c:v>21745</c:v>
                </c:pt>
                <c:pt idx="6">
                  <c:v>22790</c:v>
                </c:pt>
                <c:pt idx="7">
                  <c:v>25550</c:v>
                </c:pt>
                <c:pt idx="8">
                  <c:v>26425</c:v>
                </c:pt>
                <c:pt idx="9">
                  <c:v>29930</c:v>
                </c:pt>
                <c:pt idx="10">
                  <c:v>38971</c:v>
                </c:pt>
                <c:pt idx="11">
                  <c:v>46850</c:v>
                </c:pt>
              </c:numCache>
            </c:numRef>
          </c:val>
          <c:smooth val="0"/>
        </c:ser>
        <c:ser>
          <c:idx val="3"/>
          <c:order val="3"/>
          <c:tx>
            <c:v>2000/2001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Data'!$S$16:$S$27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'Weekly Data'!$AN$40:$AN$51</c:f>
              <c:numCache>
                <c:ptCount val="12"/>
                <c:pt idx="0">
                  <c:v>13960</c:v>
                </c:pt>
                <c:pt idx="1">
                  <c:v>25104</c:v>
                </c:pt>
                <c:pt idx="2">
                  <c:v>26614</c:v>
                </c:pt>
                <c:pt idx="3">
                  <c:v>31461.68</c:v>
                </c:pt>
                <c:pt idx="4">
                  <c:v>40782.68</c:v>
                </c:pt>
                <c:pt idx="5">
                  <c:v>52203.68</c:v>
                </c:pt>
                <c:pt idx="6">
                  <c:v>56203.68</c:v>
                </c:pt>
                <c:pt idx="7">
                  <c:v>68448.68</c:v>
                </c:pt>
                <c:pt idx="8">
                  <c:v>83001.18</c:v>
                </c:pt>
                <c:pt idx="9">
                  <c:v>100011.18</c:v>
                </c:pt>
                <c:pt idx="10">
                  <c:v>106437.18</c:v>
                </c:pt>
                <c:pt idx="11">
                  <c:v>109647.18</c:v>
                </c:pt>
              </c:numCache>
            </c:numRef>
          </c:val>
          <c:smooth val="0"/>
        </c:ser>
        <c:ser>
          <c:idx val="4"/>
          <c:order val="4"/>
          <c:tx>
            <c:v>2001/2002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Data'!$AN$52:$AN$63</c:f>
              <c:numCache>
                <c:ptCount val="12"/>
                <c:pt idx="0">
                  <c:v>12921</c:v>
                </c:pt>
                <c:pt idx="1">
                  <c:v>19869.75</c:v>
                </c:pt>
                <c:pt idx="2">
                  <c:v>20424.75</c:v>
                </c:pt>
                <c:pt idx="3">
                  <c:v>30264.75</c:v>
                </c:pt>
                <c:pt idx="4">
                  <c:v>41444.75</c:v>
                </c:pt>
                <c:pt idx="5">
                  <c:v>57056.75</c:v>
                </c:pt>
                <c:pt idx="6">
                  <c:v>67006.25</c:v>
                </c:pt>
                <c:pt idx="7">
                  <c:v>81333</c:v>
                </c:pt>
                <c:pt idx="8">
                  <c:v>115659.75</c:v>
                </c:pt>
                <c:pt idx="9">
                  <c:v>129287.25</c:v>
                </c:pt>
                <c:pt idx="10">
                  <c:v>143181.9</c:v>
                </c:pt>
                <c:pt idx="11">
                  <c:v>162560.15</c:v>
                </c:pt>
              </c:numCache>
            </c:numRef>
          </c:val>
          <c:smooth val="0"/>
        </c:ser>
        <c:ser>
          <c:idx val="5"/>
          <c:order val="5"/>
          <c:tx>
            <c:v>2002/2003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Data'!$AN$64:$AN$75</c:f>
              <c:numCache>
                <c:ptCount val="12"/>
                <c:pt idx="0">
                  <c:v>22390</c:v>
                </c:pt>
                <c:pt idx="1">
                  <c:v>57741.240000000005</c:v>
                </c:pt>
                <c:pt idx="2">
                  <c:v>60346.240000000005</c:v>
                </c:pt>
                <c:pt idx="3">
                  <c:v>79100.99</c:v>
                </c:pt>
                <c:pt idx="4">
                  <c:v>103797.74</c:v>
                </c:pt>
                <c:pt idx="5">
                  <c:v>125739.24</c:v>
                </c:pt>
                <c:pt idx="6">
                  <c:v>141356.74</c:v>
                </c:pt>
                <c:pt idx="7">
                  <c:v>164321.74</c:v>
                </c:pt>
                <c:pt idx="8">
                  <c:v>196981.28999999998</c:v>
                </c:pt>
                <c:pt idx="9">
                  <c:v>222907.27999999997</c:v>
                </c:pt>
                <c:pt idx="10">
                  <c:v>227492.27999999997</c:v>
                </c:pt>
                <c:pt idx="11">
                  <c:v>247789.27999999997</c:v>
                </c:pt>
              </c:numCache>
            </c:numRef>
          </c:val>
          <c:smooth val="0"/>
        </c:ser>
        <c:ser>
          <c:idx val="6"/>
          <c:order val="6"/>
          <c:tx>
            <c:v>2003/2004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Data'!$AN$76:$AN$87</c:f>
              <c:numCache>
                <c:ptCount val="12"/>
                <c:pt idx="0">
                  <c:v>98509.5</c:v>
                </c:pt>
                <c:pt idx="1">
                  <c:v>137406.5</c:v>
                </c:pt>
                <c:pt idx="2">
                  <c:v>141436.5</c:v>
                </c:pt>
                <c:pt idx="3">
                  <c:v>164514.75</c:v>
                </c:pt>
                <c:pt idx="4">
                  <c:v>189322.63</c:v>
                </c:pt>
                <c:pt idx="5">
                  <c:v>208771.13</c:v>
                </c:pt>
                <c:pt idx="6">
                  <c:v>228219.63</c:v>
                </c:pt>
                <c:pt idx="7">
                  <c:v>254635.63</c:v>
                </c:pt>
                <c:pt idx="8">
                  <c:v>297474.13</c:v>
                </c:pt>
                <c:pt idx="9">
                  <c:v>339148.73</c:v>
                </c:pt>
                <c:pt idx="10">
                  <c:v>344719.23</c:v>
                </c:pt>
                <c:pt idx="11">
                  <c:v>377785.48</c:v>
                </c:pt>
              </c:numCache>
            </c:numRef>
          </c:val>
          <c:smooth val="0"/>
        </c:ser>
        <c:ser>
          <c:idx val="7"/>
          <c:order val="7"/>
          <c:tx>
            <c:v>2004/2005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Data'!$AN$88:$AN$99</c:f>
              <c:numCache>
                <c:ptCount val="12"/>
                <c:pt idx="0">
                  <c:v>18961.5</c:v>
                </c:pt>
                <c:pt idx="1">
                  <c:v>65974.5</c:v>
                </c:pt>
                <c:pt idx="2">
                  <c:v>67559.5</c:v>
                </c:pt>
                <c:pt idx="3">
                  <c:v>76442</c:v>
                </c:pt>
                <c:pt idx="4">
                  <c:v>124687.34</c:v>
                </c:pt>
                <c:pt idx="5">
                  <c:v>157339.34</c:v>
                </c:pt>
                <c:pt idx="6">
                  <c:v>184651.34</c:v>
                </c:pt>
                <c:pt idx="7">
                  <c:v>211058.34</c:v>
                </c:pt>
                <c:pt idx="8">
                  <c:v>243447.34</c:v>
                </c:pt>
                <c:pt idx="9">
                  <c:v>298027.74</c:v>
                </c:pt>
                <c:pt idx="10">
                  <c:v>307519.74</c:v>
                </c:pt>
                <c:pt idx="11">
                  <c:v>345987.74</c:v>
                </c:pt>
              </c:numCache>
            </c:numRef>
          </c:val>
          <c:smooth val="0"/>
        </c:ser>
        <c:ser>
          <c:idx val="8"/>
          <c:order val="8"/>
          <c:tx>
            <c:v>2005/2006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Data'!$AN$100:$AN$111</c:f>
              <c:numCache>
                <c:ptCount val="12"/>
                <c:pt idx="0">
                  <c:v>47173.45</c:v>
                </c:pt>
                <c:pt idx="1">
                  <c:v>83037.95</c:v>
                </c:pt>
                <c:pt idx="2">
                  <c:v>90068.95</c:v>
                </c:pt>
                <c:pt idx="3">
                  <c:v>125023.56999999999</c:v>
                </c:pt>
                <c:pt idx="4">
                  <c:v>167848.07</c:v>
                </c:pt>
                <c:pt idx="5">
                  <c:v>197280.07</c:v>
                </c:pt>
                <c:pt idx="6">
                  <c:v>223318.07</c:v>
                </c:pt>
                <c:pt idx="7">
                  <c:v>272081.9</c:v>
                </c:pt>
                <c:pt idx="8">
                  <c:v>304454.4</c:v>
                </c:pt>
                <c:pt idx="9">
                  <c:v>370231.4</c:v>
                </c:pt>
                <c:pt idx="10">
                  <c:v>393999.9</c:v>
                </c:pt>
                <c:pt idx="11">
                  <c:v>435051.4</c:v>
                </c:pt>
              </c:numCache>
            </c:numRef>
          </c:val>
          <c:smooth val="0"/>
        </c:ser>
        <c:ser>
          <c:idx val="9"/>
          <c:order val="9"/>
          <c:tx>
            <c:v>2006/2007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Data'!$AN$112:$AN$123</c:f>
              <c:numCache>
                <c:ptCount val="12"/>
                <c:pt idx="0">
                  <c:v>42376</c:v>
                </c:pt>
                <c:pt idx="1">
                  <c:v>80576.23</c:v>
                </c:pt>
                <c:pt idx="2">
                  <c:v>85862.23</c:v>
                </c:pt>
                <c:pt idx="3">
                  <c:v>109696.23</c:v>
                </c:pt>
                <c:pt idx="4">
                  <c:v>141515.97999999998</c:v>
                </c:pt>
                <c:pt idx="5">
                  <c:v>201321.47999999998</c:v>
                </c:pt>
                <c:pt idx="6">
                  <c:v>245679.91999999998</c:v>
                </c:pt>
                <c:pt idx="7">
                  <c:v>300579.19</c:v>
                </c:pt>
                <c:pt idx="8">
                  <c:v>335707.19</c:v>
                </c:pt>
                <c:pt idx="9">
                  <c:v>366842.69</c:v>
                </c:pt>
                <c:pt idx="10">
                  <c:v>391499.69</c:v>
                </c:pt>
                <c:pt idx="11">
                  <c:v>423268.19</c:v>
                </c:pt>
              </c:numCache>
            </c:numRef>
          </c:val>
          <c:smooth val="0"/>
        </c:ser>
        <c:ser>
          <c:idx val="10"/>
          <c:order val="10"/>
          <c:tx>
            <c:v>2007/2008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Data'!$AN$124:$AN$135</c:f>
              <c:numCache>
                <c:ptCount val="12"/>
                <c:pt idx="0">
                  <c:v>30413.5</c:v>
                </c:pt>
                <c:pt idx="1">
                  <c:v>63662.28</c:v>
                </c:pt>
                <c:pt idx="2">
                  <c:v>68095.28</c:v>
                </c:pt>
                <c:pt idx="3">
                  <c:v>101777.62</c:v>
                </c:pt>
                <c:pt idx="4">
                  <c:v>140532.76</c:v>
                </c:pt>
                <c:pt idx="5">
                  <c:v>180622.01</c:v>
                </c:pt>
                <c:pt idx="6">
                  <c:v>190534.86000000002</c:v>
                </c:pt>
                <c:pt idx="7">
                  <c:v>228530.86000000002</c:v>
                </c:pt>
                <c:pt idx="8">
                  <c:v>315629.35000000003</c:v>
                </c:pt>
                <c:pt idx="9">
                  <c:v>376348.85000000003</c:v>
                </c:pt>
                <c:pt idx="10">
                  <c:v>416391.85000000003</c:v>
                </c:pt>
                <c:pt idx="11">
                  <c:v>483445.85000000003</c:v>
                </c:pt>
              </c:numCache>
            </c:numRef>
          </c:val>
          <c:smooth val="0"/>
        </c:ser>
        <c:ser>
          <c:idx val="11"/>
          <c:order val="11"/>
          <c:tx>
            <c:v>2008/2009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Data'!$AN$136:$AN$147</c:f>
              <c:numCache>
                <c:ptCount val="12"/>
                <c:pt idx="0">
                  <c:v>15967</c:v>
                </c:pt>
                <c:pt idx="1">
                  <c:v>75056.37</c:v>
                </c:pt>
                <c:pt idx="2">
                  <c:v>79016.37</c:v>
                </c:pt>
                <c:pt idx="3">
                  <c:v>131904.37</c:v>
                </c:pt>
                <c:pt idx="4">
                  <c:v>183441.87</c:v>
                </c:pt>
                <c:pt idx="5">
                  <c:v>224693.12</c:v>
                </c:pt>
                <c:pt idx="6">
                  <c:v>269727.62</c:v>
                </c:pt>
                <c:pt idx="7">
                  <c:v>315789.62</c:v>
                </c:pt>
                <c:pt idx="8">
                  <c:v>366279.62</c:v>
                </c:pt>
                <c:pt idx="9">
                  <c:v>450319.12</c:v>
                </c:pt>
                <c:pt idx="10">
                  <c:v>488911.62</c:v>
                </c:pt>
              </c:numCache>
            </c:numRef>
          </c:val>
          <c:smooth val="0"/>
        </c:ser>
        <c:axId val="29799565"/>
        <c:axId val="66869494"/>
      </c:lineChart>
      <c:catAx>
        <c:axId val="2979956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869494"/>
        <c:crosses val="autoZero"/>
        <c:auto val="0"/>
        <c:lblOffset val="100"/>
        <c:noMultiLvlLbl val="0"/>
      </c:catAx>
      <c:valAx>
        <c:axId val="66869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79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1725"/>
          <c:w val="0.157"/>
          <c:h val="0.7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Year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Assessment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'Weekly Data'!$R$136:$R$147</c:f>
              <c:strCache>
                <c:ptCount val="12"/>
                <c:pt idx="0">
                  <c:v>39619</c:v>
                </c:pt>
                <c:pt idx="1">
                  <c:v>39650</c:v>
                </c:pt>
                <c:pt idx="2">
                  <c:v>39681</c:v>
                </c:pt>
                <c:pt idx="3">
                  <c:v>39712</c:v>
                </c:pt>
                <c:pt idx="4">
                  <c:v>39743</c:v>
                </c:pt>
                <c:pt idx="5">
                  <c:v>39774</c:v>
                </c:pt>
                <c:pt idx="6">
                  <c:v>39805</c:v>
                </c:pt>
                <c:pt idx="7">
                  <c:v>39836</c:v>
                </c:pt>
                <c:pt idx="8">
                  <c:v>39867</c:v>
                </c:pt>
                <c:pt idx="9">
                  <c:v>39898</c:v>
                </c:pt>
                <c:pt idx="10">
                  <c:v>39929</c:v>
                </c:pt>
                <c:pt idx="11">
                  <c:v>39960</c:v>
                </c:pt>
              </c:strCache>
            </c:strRef>
          </c:cat>
          <c:val>
            <c:numRef>
              <c:f>'Weekly Data'!$X$136:$X$147</c:f>
              <c:numCache>
                <c:ptCount val="12"/>
                <c:pt idx="0">
                  <c:v>2580</c:v>
                </c:pt>
                <c:pt idx="1">
                  <c:v>9460</c:v>
                </c:pt>
                <c:pt idx="2">
                  <c:v>10810</c:v>
                </c:pt>
                <c:pt idx="3">
                  <c:v>14490</c:v>
                </c:pt>
                <c:pt idx="4">
                  <c:v>17880</c:v>
                </c:pt>
                <c:pt idx="5">
                  <c:v>21355</c:v>
                </c:pt>
                <c:pt idx="6">
                  <c:v>23475</c:v>
                </c:pt>
                <c:pt idx="7">
                  <c:v>28935</c:v>
                </c:pt>
                <c:pt idx="8">
                  <c:v>32815</c:v>
                </c:pt>
                <c:pt idx="9">
                  <c:v>35975</c:v>
                </c:pt>
                <c:pt idx="10">
                  <c:v>37590</c:v>
                </c:pt>
              </c:numCache>
            </c:numRef>
          </c:val>
          <c:smooth val="0"/>
        </c:ser>
        <c:ser>
          <c:idx val="1"/>
          <c:order val="1"/>
          <c:tx>
            <c:v>Workbooks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'Weekly Data'!$R$136:$R$147</c:f>
              <c:strCache>
                <c:ptCount val="12"/>
                <c:pt idx="0">
                  <c:v>39619</c:v>
                </c:pt>
                <c:pt idx="1">
                  <c:v>39650</c:v>
                </c:pt>
                <c:pt idx="2">
                  <c:v>39681</c:v>
                </c:pt>
                <c:pt idx="3">
                  <c:v>39712</c:v>
                </c:pt>
                <c:pt idx="4">
                  <c:v>39743</c:v>
                </c:pt>
                <c:pt idx="5">
                  <c:v>39774</c:v>
                </c:pt>
                <c:pt idx="6">
                  <c:v>39805</c:v>
                </c:pt>
                <c:pt idx="7">
                  <c:v>39836</c:v>
                </c:pt>
                <c:pt idx="8">
                  <c:v>39867</c:v>
                </c:pt>
                <c:pt idx="9">
                  <c:v>39898</c:v>
                </c:pt>
                <c:pt idx="10">
                  <c:v>39929</c:v>
                </c:pt>
                <c:pt idx="11">
                  <c:v>39960</c:v>
                </c:pt>
              </c:strCache>
            </c:strRef>
          </c:cat>
          <c:val>
            <c:numRef>
              <c:f>'Weekly Data'!$AC$136:$AC$147</c:f>
              <c:numCache>
                <c:ptCount val="12"/>
                <c:pt idx="0">
                  <c:v>1129.5</c:v>
                </c:pt>
                <c:pt idx="1">
                  <c:v>3594.619999999999</c:v>
                </c:pt>
                <c:pt idx="2">
                  <c:v>3594.619999999999</c:v>
                </c:pt>
                <c:pt idx="3">
                  <c:v>6210.119999999999</c:v>
                </c:pt>
                <c:pt idx="4">
                  <c:v>9150.119999999999</c:v>
                </c:pt>
                <c:pt idx="5">
                  <c:v>11538.119999999999</c:v>
                </c:pt>
                <c:pt idx="6">
                  <c:v>14035.119999999999</c:v>
                </c:pt>
                <c:pt idx="7">
                  <c:v>16878.12</c:v>
                </c:pt>
                <c:pt idx="8">
                  <c:v>20033.12</c:v>
                </c:pt>
                <c:pt idx="9">
                  <c:v>22499.62</c:v>
                </c:pt>
                <c:pt idx="10">
                  <c:v>22849.62</c:v>
                </c:pt>
              </c:numCache>
            </c:numRef>
          </c:val>
          <c:smooth val="0"/>
        </c:ser>
        <c:ser>
          <c:idx val="2"/>
          <c:order val="2"/>
          <c:tx>
            <c:v>CD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'Weekly Data'!$R$136:$R$147</c:f>
              <c:strCache>
                <c:ptCount val="12"/>
                <c:pt idx="0">
                  <c:v>39619</c:v>
                </c:pt>
                <c:pt idx="1">
                  <c:v>39650</c:v>
                </c:pt>
                <c:pt idx="2">
                  <c:v>39681</c:v>
                </c:pt>
                <c:pt idx="3">
                  <c:v>39712</c:v>
                </c:pt>
                <c:pt idx="4">
                  <c:v>39743</c:v>
                </c:pt>
                <c:pt idx="5">
                  <c:v>39774</c:v>
                </c:pt>
                <c:pt idx="6">
                  <c:v>39805</c:v>
                </c:pt>
                <c:pt idx="7">
                  <c:v>39836</c:v>
                </c:pt>
                <c:pt idx="8">
                  <c:v>39867</c:v>
                </c:pt>
                <c:pt idx="9">
                  <c:v>39898</c:v>
                </c:pt>
                <c:pt idx="10">
                  <c:v>39929</c:v>
                </c:pt>
                <c:pt idx="11">
                  <c:v>39960</c:v>
                </c:pt>
              </c:strCache>
            </c:strRef>
          </c:cat>
          <c:val>
            <c:numRef>
              <c:f>'Weekly Data'!$AH$136:$AH$147</c:f>
              <c:numCache>
                <c:ptCount val="12"/>
                <c:pt idx="0">
                  <c:v>12257.5</c:v>
                </c:pt>
                <c:pt idx="1">
                  <c:v>56751.75</c:v>
                </c:pt>
                <c:pt idx="2">
                  <c:v>59361.75</c:v>
                </c:pt>
                <c:pt idx="3">
                  <c:v>105954.25</c:v>
                </c:pt>
                <c:pt idx="4">
                  <c:v>151161.75</c:v>
                </c:pt>
                <c:pt idx="5">
                  <c:v>186300</c:v>
                </c:pt>
                <c:pt idx="6">
                  <c:v>216217.5</c:v>
                </c:pt>
                <c:pt idx="7">
                  <c:v>253976.5</c:v>
                </c:pt>
                <c:pt idx="8">
                  <c:v>296531.5</c:v>
                </c:pt>
                <c:pt idx="9">
                  <c:v>369944.5</c:v>
                </c:pt>
                <c:pt idx="10">
                  <c:v>406272</c:v>
                </c:pt>
              </c:numCache>
            </c:numRef>
          </c:val>
          <c:smooth val="0"/>
        </c:ser>
        <c:axId val="64954535"/>
        <c:axId val="47719904"/>
      </c:lineChart>
      <c:catAx>
        <c:axId val="649545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47719904"/>
        <c:crosses val="autoZero"/>
        <c:auto val="0"/>
        <c:lblOffset val="100"/>
        <c:noMultiLvlLbl val="0"/>
      </c:catAx>
      <c:valAx>
        <c:axId val="47719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5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18"/>
          <c:w val="0.8755"/>
          <c:h val="0.8682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FF"/>
                </a:solidFill>
                <a:prstDash val="dash"/>
              </a:ln>
            </c:spPr>
            <c:trendlineType val="linear"/>
            <c:forward val="3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'Weekly Data'!$R$7:$R$145</c:f>
              <c:strCache>
                <c:ptCount val="139"/>
                <c:pt idx="0">
                  <c:v>35674</c:v>
                </c:pt>
                <c:pt idx="1">
                  <c:v>35704</c:v>
                </c:pt>
                <c:pt idx="2">
                  <c:v>35735</c:v>
                </c:pt>
                <c:pt idx="3">
                  <c:v>35765</c:v>
                </c:pt>
                <c:pt idx="4">
                  <c:v>35796</c:v>
                </c:pt>
                <c:pt idx="5">
                  <c:v>35827</c:v>
                </c:pt>
                <c:pt idx="6">
                  <c:v>35858</c:v>
                </c:pt>
                <c:pt idx="7">
                  <c:v>35889</c:v>
                </c:pt>
                <c:pt idx="8">
                  <c:v>35920</c:v>
                </c:pt>
                <c:pt idx="9">
                  <c:v>35951</c:v>
                </c:pt>
                <c:pt idx="10">
                  <c:v>35982</c:v>
                </c:pt>
                <c:pt idx="11">
                  <c:v>36013</c:v>
                </c:pt>
                <c:pt idx="12">
                  <c:v>36044</c:v>
                </c:pt>
                <c:pt idx="13">
                  <c:v>36075</c:v>
                </c:pt>
                <c:pt idx="14">
                  <c:v>36106</c:v>
                </c:pt>
                <c:pt idx="15">
                  <c:v>36137</c:v>
                </c:pt>
                <c:pt idx="16">
                  <c:v>36168</c:v>
                </c:pt>
                <c:pt idx="17">
                  <c:v>36199</c:v>
                </c:pt>
                <c:pt idx="18">
                  <c:v>36230</c:v>
                </c:pt>
                <c:pt idx="19">
                  <c:v>36261</c:v>
                </c:pt>
                <c:pt idx="20">
                  <c:v>36292</c:v>
                </c:pt>
                <c:pt idx="21">
                  <c:v>36323</c:v>
                </c:pt>
                <c:pt idx="22">
                  <c:v>36354</c:v>
                </c:pt>
                <c:pt idx="23">
                  <c:v>36385</c:v>
                </c:pt>
                <c:pt idx="24">
                  <c:v>36416</c:v>
                </c:pt>
                <c:pt idx="25">
                  <c:v>36447</c:v>
                </c:pt>
                <c:pt idx="26">
                  <c:v>36478</c:v>
                </c:pt>
                <c:pt idx="27">
                  <c:v>36509</c:v>
                </c:pt>
                <c:pt idx="28">
                  <c:v>36540</c:v>
                </c:pt>
                <c:pt idx="29">
                  <c:v>36571</c:v>
                </c:pt>
                <c:pt idx="30">
                  <c:v>36602</c:v>
                </c:pt>
                <c:pt idx="31">
                  <c:v>36633</c:v>
                </c:pt>
                <c:pt idx="32">
                  <c:v>36664</c:v>
                </c:pt>
                <c:pt idx="33">
                  <c:v>36695</c:v>
                </c:pt>
                <c:pt idx="34">
                  <c:v>36726</c:v>
                </c:pt>
                <c:pt idx="35">
                  <c:v>36757</c:v>
                </c:pt>
                <c:pt idx="36">
                  <c:v>36788</c:v>
                </c:pt>
                <c:pt idx="37">
                  <c:v>36819</c:v>
                </c:pt>
                <c:pt idx="38">
                  <c:v>36850</c:v>
                </c:pt>
                <c:pt idx="39">
                  <c:v>36881</c:v>
                </c:pt>
                <c:pt idx="40">
                  <c:v>36912</c:v>
                </c:pt>
                <c:pt idx="41">
                  <c:v>36943</c:v>
                </c:pt>
                <c:pt idx="42">
                  <c:v>36974</c:v>
                </c:pt>
                <c:pt idx="43">
                  <c:v>37005</c:v>
                </c:pt>
                <c:pt idx="44">
                  <c:v>37036</c:v>
                </c:pt>
                <c:pt idx="45">
                  <c:v>37067</c:v>
                </c:pt>
                <c:pt idx="46">
                  <c:v>37098</c:v>
                </c:pt>
                <c:pt idx="47">
                  <c:v>37129</c:v>
                </c:pt>
                <c:pt idx="48">
                  <c:v>37160</c:v>
                </c:pt>
                <c:pt idx="49">
                  <c:v>37191</c:v>
                </c:pt>
                <c:pt idx="50">
                  <c:v>37222</c:v>
                </c:pt>
                <c:pt idx="51">
                  <c:v>37253</c:v>
                </c:pt>
                <c:pt idx="52">
                  <c:v>37284</c:v>
                </c:pt>
                <c:pt idx="53">
                  <c:v>37313</c:v>
                </c:pt>
                <c:pt idx="54">
                  <c:v>37344</c:v>
                </c:pt>
                <c:pt idx="55">
                  <c:v>37375</c:v>
                </c:pt>
                <c:pt idx="56">
                  <c:v>37406</c:v>
                </c:pt>
                <c:pt idx="57">
                  <c:v>37437</c:v>
                </c:pt>
                <c:pt idx="58">
                  <c:v>37468</c:v>
                </c:pt>
                <c:pt idx="59">
                  <c:v>37499</c:v>
                </c:pt>
                <c:pt idx="60">
                  <c:v>37527</c:v>
                </c:pt>
                <c:pt idx="61">
                  <c:v>37558</c:v>
                </c:pt>
                <c:pt idx="62">
                  <c:v>37589</c:v>
                </c:pt>
                <c:pt idx="63">
                  <c:v>37620</c:v>
                </c:pt>
                <c:pt idx="64">
                  <c:v>37651</c:v>
                </c:pt>
                <c:pt idx="65">
                  <c:v>37677</c:v>
                </c:pt>
                <c:pt idx="66">
                  <c:v>37708</c:v>
                </c:pt>
                <c:pt idx="67">
                  <c:v>37739</c:v>
                </c:pt>
                <c:pt idx="68">
                  <c:v>37770</c:v>
                </c:pt>
                <c:pt idx="69">
                  <c:v>37801</c:v>
                </c:pt>
                <c:pt idx="70">
                  <c:v>37832</c:v>
                </c:pt>
                <c:pt idx="71">
                  <c:v>37863</c:v>
                </c:pt>
                <c:pt idx="72">
                  <c:v>37894</c:v>
                </c:pt>
                <c:pt idx="73">
                  <c:v>37925</c:v>
                </c:pt>
                <c:pt idx="74">
                  <c:v>37953</c:v>
                </c:pt>
                <c:pt idx="75">
                  <c:v>37981</c:v>
                </c:pt>
                <c:pt idx="76">
                  <c:v>38009</c:v>
                </c:pt>
                <c:pt idx="77">
                  <c:v>38040</c:v>
                </c:pt>
                <c:pt idx="78">
                  <c:v>38071</c:v>
                </c:pt>
                <c:pt idx="79">
                  <c:v>38091</c:v>
                </c:pt>
                <c:pt idx="80">
                  <c:v>38122</c:v>
                </c:pt>
                <c:pt idx="81">
                  <c:v>38153</c:v>
                </c:pt>
                <c:pt idx="82">
                  <c:v>38184</c:v>
                </c:pt>
                <c:pt idx="83">
                  <c:v>38215</c:v>
                </c:pt>
                <c:pt idx="84">
                  <c:v>38246</c:v>
                </c:pt>
                <c:pt idx="85">
                  <c:v>38277</c:v>
                </c:pt>
                <c:pt idx="86">
                  <c:v>38308</c:v>
                </c:pt>
                <c:pt idx="87">
                  <c:v>38339</c:v>
                </c:pt>
                <c:pt idx="88">
                  <c:v>38370</c:v>
                </c:pt>
                <c:pt idx="89">
                  <c:v>38401</c:v>
                </c:pt>
                <c:pt idx="90">
                  <c:v>38432</c:v>
                </c:pt>
                <c:pt idx="91">
                  <c:v>38463</c:v>
                </c:pt>
                <c:pt idx="92">
                  <c:v>38494</c:v>
                </c:pt>
                <c:pt idx="93">
                  <c:v>38525</c:v>
                </c:pt>
                <c:pt idx="94">
                  <c:v>38556</c:v>
                </c:pt>
                <c:pt idx="95">
                  <c:v>38587</c:v>
                </c:pt>
                <c:pt idx="96">
                  <c:v>38618</c:v>
                </c:pt>
                <c:pt idx="97">
                  <c:v>38649</c:v>
                </c:pt>
                <c:pt idx="98">
                  <c:v>38680</c:v>
                </c:pt>
                <c:pt idx="99">
                  <c:v>38711</c:v>
                </c:pt>
                <c:pt idx="100">
                  <c:v>38742</c:v>
                </c:pt>
                <c:pt idx="101">
                  <c:v>38762</c:v>
                </c:pt>
                <c:pt idx="102">
                  <c:v>38793</c:v>
                </c:pt>
                <c:pt idx="103">
                  <c:v>38824</c:v>
                </c:pt>
                <c:pt idx="104">
                  <c:v>38855</c:v>
                </c:pt>
                <c:pt idx="105">
                  <c:v>38886</c:v>
                </c:pt>
                <c:pt idx="106">
                  <c:v>38917</c:v>
                </c:pt>
                <c:pt idx="107">
                  <c:v>38948</c:v>
                </c:pt>
                <c:pt idx="108">
                  <c:v>38979</c:v>
                </c:pt>
                <c:pt idx="109">
                  <c:v>39010</c:v>
                </c:pt>
                <c:pt idx="110">
                  <c:v>39041</c:v>
                </c:pt>
                <c:pt idx="111">
                  <c:v>39072</c:v>
                </c:pt>
                <c:pt idx="112">
                  <c:v>39103</c:v>
                </c:pt>
                <c:pt idx="113">
                  <c:v>39134</c:v>
                </c:pt>
                <c:pt idx="114">
                  <c:v>39165</c:v>
                </c:pt>
                <c:pt idx="115">
                  <c:v>39196</c:v>
                </c:pt>
                <c:pt idx="116">
                  <c:v>39227</c:v>
                </c:pt>
                <c:pt idx="117">
                  <c:v>39258</c:v>
                </c:pt>
                <c:pt idx="118">
                  <c:v>39289</c:v>
                </c:pt>
                <c:pt idx="119">
                  <c:v>39320</c:v>
                </c:pt>
                <c:pt idx="120">
                  <c:v>39351</c:v>
                </c:pt>
                <c:pt idx="121">
                  <c:v>39382</c:v>
                </c:pt>
                <c:pt idx="122">
                  <c:v>39413</c:v>
                </c:pt>
                <c:pt idx="123">
                  <c:v>39444</c:v>
                </c:pt>
                <c:pt idx="124">
                  <c:v>39475</c:v>
                </c:pt>
                <c:pt idx="125">
                  <c:v>39506</c:v>
                </c:pt>
                <c:pt idx="126">
                  <c:v>39537</c:v>
                </c:pt>
                <c:pt idx="127">
                  <c:v>39568</c:v>
                </c:pt>
                <c:pt idx="128">
                  <c:v>39599</c:v>
                </c:pt>
                <c:pt idx="129">
                  <c:v>39619</c:v>
                </c:pt>
                <c:pt idx="130">
                  <c:v>39650</c:v>
                </c:pt>
                <c:pt idx="131">
                  <c:v>39681</c:v>
                </c:pt>
                <c:pt idx="132">
                  <c:v>39712</c:v>
                </c:pt>
                <c:pt idx="133">
                  <c:v>39743</c:v>
                </c:pt>
                <c:pt idx="134">
                  <c:v>39774</c:v>
                </c:pt>
                <c:pt idx="135">
                  <c:v>39805</c:v>
                </c:pt>
                <c:pt idx="136">
                  <c:v>39836</c:v>
                </c:pt>
                <c:pt idx="137">
                  <c:v>39867</c:v>
                </c:pt>
                <c:pt idx="138">
                  <c:v>39898</c:v>
                </c:pt>
              </c:strCache>
            </c:strRef>
          </c:cat>
          <c:val>
            <c:numRef>
              <c:f>'Weekly Data'!$AJ$7:$AJ$145</c:f>
              <c:numCache>
                <c:ptCount val="139"/>
                <c:pt idx="0">
                  <c:v>250</c:v>
                </c:pt>
                <c:pt idx="1">
                  <c:v>800</c:v>
                </c:pt>
                <c:pt idx="2">
                  <c:v>1560</c:v>
                </c:pt>
                <c:pt idx="3">
                  <c:v>2205</c:v>
                </c:pt>
                <c:pt idx="4">
                  <c:v>2960</c:v>
                </c:pt>
                <c:pt idx="5">
                  <c:v>1505</c:v>
                </c:pt>
                <c:pt idx="6">
                  <c:v>2335</c:v>
                </c:pt>
                <c:pt idx="7">
                  <c:v>975</c:v>
                </c:pt>
                <c:pt idx="8">
                  <c:v>2335</c:v>
                </c:pt>
                <c:pt idx="9">
                  <c:v>4290</c:v>
                </c:pt>
                <c:pt idx="10">
                  <c:v>2010</c:v>
                </c:pt>
                <c:pt idx="11">
                  <c:v>975</c:v>
                </c:pt>
                <c:pt idx="12">
                  <c:v>3905</c:v>
                </c:pt>
                <c:pt idx="13">
                  <c:v>2510</c:v>
                </c:pt>
                <c:pt idx="14">
                  <c:v>2892</c:v>
                </c:pt>
                <c:pt idx="15">
                  <c:v>1240</c:v>
                </c:pt>
                <c:pt idx="16">
                  <c:v>2785</c:v>
                </c:pt>
                <c:pt idx="17">
                  <c:v>1760</c:v>
                </c:pt>
                <c:pt idx="18">
                  <c:v>1665</c:v>
                </c:pt>
                <c:pt idx="19">
                  <c:v>550</c:v>
                </c:pt>
                <c:pt idx="20">
                  <c:v>2375</c:v>
                </c:pt>
                <c:pt idx="21">
                  <c:v>6010</c:v>
                </c:pt>
                <c:pt idx="22">
                  <c:v>3555</c:v>
                </c:pt>
                <c:pt idx="23">
                  <c:v>1645</c:v>
                </c:pt>
                <c:pt idx="24">
                  <c:v>3715</c:v>
                </c:pt>
                <c:pt idx="25">
                  <c:v>2055</c:v>
                </c:pt>
                <c:pt idx="26">
                  <c:v>4765</c:v>
                </c:pt>
                <c:pt idx="27">
                  <c:v>1045</c:v>
                </c:pt>
                <c:pt idx="28">
                  <c:v>2760</c:v>
                </c:pt>
                <c:pt idx="29">
                  <c:v>875</c:v>
                </c:pt>
                <c:pt idx="30">
                  <c:v>3505</c:v>
                </c:pt>
                <c:pt idx="31">
                  <c:v>9041</c:v>
                </c:pt>
                <c:pt idx="32">
                  <c:v>7879</c:v>
                </c:pt>
                <c:pt idx="33">
                  <c:v>13960</c:v>
                </c:pt>
                <c:pt idx="34">
                  <c:v>11144</c:v>
                </c:pt>
                <c:pt idx="35">
                  <c:v>1510</c:v>
                </c:pt>
                <c:pt idx="36">
                  <c:v>4847.68</c:v>
                </c:pt>
                <c:pt idx="37">
                  <c:v>9321</c:v>
                </c:pt>
                <c:pt idx="38">
                  <c:v>11421</c:v>
                </c:pt>
                <c:pt idx="39">
                  <c:v>4000</c:v>
                </c:pt>
                <c:pt idx="40">
                  <c:v>12245</c:v>
                </c:pt>
                <c:pt idx="41">
                  <c:v>14552.5</c:v>
                </c:pt>
                <c:pt idx="42">
                  <c:v>17010</c:v>
                </c:pt>
                <c:pt idx="43">
                  <c:v>6426</c:v>
                </c:pt>
                <c:pt idx="44">
                  <c:v>3210</c:v>
                </c:pt>
                <c:pt idx="45">
                  <c:v>12921</c:v>
                </c:pt>
                <c:pt idx="46">
                  <c:v>6948.75</c:v>
                </c:pt>
                <c:pt idx="47">
                  <c:v>555</c:v>
                </c:pt>
                <c:pt idx="48">
                  <c:v>9840</c:v>
                </c:pt>
                <c:pt idx="49">
                  <c:v>11180</c:v>
                </c:pt>
                <c:pt idx="50">
                  <c:v>15612</c:v>
                </c:pt>
                <c:pt idx="51">
                  <c:v>9949.5</c:v>
                </c:pt>
                <c:pt idx="52">
                  <c:v>14326.75</c:v>
                </c:pt>
                <c:pt idx="53">
                  <c:v>34326.75</c:v>
                </c:pt>
                <c:pt idx="54">
                  <c:v>13627.5</c:v>
                </c:pt>
                <c:pt idx="55">
                  <c:v>13894.65</c:v>
                </c:pt>
                <c:pt idx="56">
                  <c:v>19378.25</c:v>
                </c:pt>
                <c:pt idx="57">
                  <c:v>22390</c:v>
                </c:pt>
                <c:pt idx="58">
                  <c:v>35351.240000000005</c:v>
                </c:pt>
                <c:pt idx="59">
                  <c:v>2605</c:v>
                </c:pt>
                <c:pt idx="60">
                  <c:v>18754.75</c:v>
                </c:pt>
                <c:pt idx="61">
                  <c:v>24696.75</c:v>
                </c:pt>
                <c:pt idx="62">
                  <c:v>21941.5</c:v>
                </c:pt>
                <c:pt idx="63">
                  <c:v>15617.5</c:v>
                </c:pt>
                <c:pt idx="64">
                  <c:v>22965</c:v>
                </c:pt>
                <c:pt idx="65">
                  <c:v>32659.55</c:v>
                </c:pt>
                <c:pt idx="66">
                  <c:v>25925.989999999998</c:v>
                </c:pt>
                <c:pt idx="67">
                  <c:v>4585</c:v>
                </c:pt>
                <c:pt idx="68">
                  <c:v>20297</c:v>
                </c:pt>
                <c:pt idx="69">
                  <c:v>98509.5</c:v>
                </c:pt>
                <c:pt idx="70">
                  <c:v>38897</c:v>
                </c:pt>
                <c:pt idx="71">
                  <c:v>4030</c:v>
                </c:pt>
                <c:pt idx="72">
                  <c:v>23078.25</c:v>
                </c:pt>
                <c:pt idx="73">
                  <c:v>24807.88</c:v>
                </c:pt>
                <c:pt idx="74">
                  <c:v>19448.5</c:v>
                </c:pt>
                <c:pt idx="75">
                  <c:v>19448.5</c:v>
                </c:pt>
                <c:pt idx="76">
                  <c:v>26416</c:v>
                </c:pt>
                <c:pt idx="77">
                  <c:v>42838.5</c:v>
                </c:pt>
                <c:pt idx="78">
                  <c:v>41674.6</c:v>
                </c:pt>
                <c:pt idx="79">
                  <c:v>5570.5</c:v>
                </c:pt>
                <c:pt idx="80">
                  <c:v>33066.25</c:v>
                </c:pt>
                <c:pt idx="81">
                  <c:v>18961.5</c:v>
                </c:pt>
                <c:pt idx="82">
                  <c:v>47013</c:v>
                </c:pt>
                <c:pt idx="83">
                  <c:v>1585</c:v>
                </c:pt>
                <c:pt idx="84">
                  <c:v>8882.5</c:v>
                </c:pt>
                <c:pt idx="85">
                  <c:v>48245.34</c:v>
                </c:pt>
                <c:pt idx="86">
                  <c:v>32652</c:v>
                </c:pt>
                <c:pt idx="87">
                  <c:v>27312</c:v>
                </c:pt>
                <c:pt idx="88">
                  <c:v>26407</c:v>
                </c:pt>
                <c:pt idx="89">
                  <c:v>32389</c:v>
                </c:pt>
                <c:pt idx="90">
                  <c:v>54580.4</c:v>
                </c:pt>
                <c:pt idx="91">
                  <c:v>9492</c:v>
                </c:pt>
                <c:pt idx="92">
                  <c:v>38468</c:v>
                </c:pt>
                <c:pt idx="93">
                  <c:v>47173.45</c:v>
                </c:pt>
                <c:pt idx="94">
                  <c:v>35864.5</c:v>
                </c:pt>
                <c:pt idx="95">
                  <c:v>7031</c:v>
                </c:pt>
                <c:pt idx="96">
                  <c:v>34954.619999999995</c:v>
                </c:pt>
                <c:pt idx="97">
                  <c:v>42824.5</c:v>
                </c:pt>
                <c:pt idx="98">
                  <c:v>29432</c:v>
                </c:pt>
                <c:pt idx="99">
                  <c:v>26038</c:v>
                </c:pt>
                <c:pt idx="100">
                  <c:v>48763.83</c:v>
                </c:pt>
                <c:pt idx="101">
                  <c:v>32372.5</c:v>
                </c:pt>
                <c:pt idx="102">
                  <c:v>65777</c:v>
                </c:pt>
                <c:pt idx="103">
                  <c:v>23768.5</c:v>
                </c:pt>
                <c:pt idx="104">
                  <c:v>41051.5</c:v>
                </c:pt>
                <c:pt idx="105">
                  <c:v>42376</c:v>
                </c:pt>
                <c:pt idx="106">
                  <c:v>38200.229999999996</c:v>
                </c:pt>
                <c:pt idx="107">
                  <c:v>5286</c:v>
                </c:pt>
                <c:pt idx="108">
                  <c:v>23834</c:v>
                </c:pt>
                <c:pt idx="109">
                  <c:v>31819.75</c:v>
                </c:pt>
                <c:pt idx="110">
                  <c:v>59805.5</c:v>
                </c:pt>
                <c:pt idx="111">
                  <c:v>44358.44</c:v>
                </c:pt>
                <c:pt idx="112">
                  <c:v>54899.27</c:v>
                </c:pt>
                <c:pt idx="113">
                  <c:v>35128</c:v>
                </c:pt>
                <c:pt idx="114">
                  <c:v>31135.5</c:v>
                </c:pt>
                <c:pt idx="115">
                  <c:v>24657</c:v>
                </c:pt>
                <c:pt idx="116">
                  <c:v>31768.5</c:v>
                </c:pt>
                <c:pt idx="117">
                  <c:v>30413.5</c:v>
                </c:pt>
                <c:pt idx="118">
                  <c:v>33248.78</c:v>
                </c:pt>
                <c:pt idx="119">
                  <c:v>4433</c:v>
                </c:pt>
                <c:pt idx="120">
                  <c:v>33682.34</c:v>
                </c:pt>
                <c:pt idx="121">
                  <c:v>38755.14</c:v>
                </c:pt>
                <c:pt idx="122">
                  <c:v>40089.25</c:v>
                </c:pt>
                <c:pt idx="123">
                  <c:v>9912.85</c:v>
                </c:pt>
                <c:pt idx="124">
                  <c:v>37996</c:v>
                </c:pt>
                <c:pt idx="125">
                  <c:v>87098.49</c:v>
                </c:pt>
                <c:pt idx="126">
                  <c:v>60719.5</c:v>
                </c:pt>
                <c:pt idx="127">
                  <c:v>40043</c:v>
                </c:pt>
                <c:pt idx="128">
                  <c:v>67054</c:v>
                </c:pt>
                <c:pt idx="129">
                  <c:v>15967</c:v>
                </c:pt>
                <c:pt idx="130">
                  <c:v>59089.369999999995</c:v>
                </c:pt>
                <c:pt idx="131">
                  <c:v>3960</c:v>
                </c:pt>
                <c:pt idx="132">
                  <c:v>52888</c:v>
                </c:pt>
                <c:pt idx="133">
                  <c:v>51537.5</c:v>
                </c:pt>
                <c:pt idx="134">
                  <c:v>41251.25</c:v>
                </c:pt>
                <c:pt idx="135">
                  <c:v>45034.5</c:v>
                </c:pt>
                <c:pt idx="136">
                  <c:v>46062</c:v>
                </c:pt>
                <c:pt idx="137">
                  <c:v>50490</c:v>
                </c:pt>
                <c:pt idx="138">
                  <c:v>84039.5</c:v>
                </c:pt>
              </c:numCache>
            </c:numRef>
          </c:val>
          <c:smooth val="0"/>
        </c:ser>
        <c:ser>
          <c:idx val="1"/>
          <c:order val="1"/>
          <c:tx>
            <c:v>Assesment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Data'!$R$7:$R$145</c:f>
              <c:strCache>
                <c:ptCount val="139"/>
                <c:pt idx="0">
                  <c:v>35674</c:v>
                </c:pt>
                <c:pt idx="1">
                  <c:v>35704</c:v>
                </c:pt>
                <c:pt idx="2">
                  <c:v>35735</c:v>
                </c:pt>
                <c:pt idx="3">
                  <c:v>35765</c:v>
                </c:pt>
                <c:pt idx="4">
                  <c:v>35796</c:v>
                </c:pt>
                <c:pt idx="5">
                  <c:v>35827</c:v>
                </c:pt>
                <c:pt idx="6">
                  <c:v>35858</c:v>
                </c:pt>
                <c:pt idx="7">
                  <c:v>35889</c:v>
                </c:pt>
                <c:pt idx="8">
                  <c:v>35920</c:v>
                </c:pt>
                <c:pt idx="9">
                  <c:v>35951</c:v>
                </c:pt>
                <c:pt idx="10">
                  <c:v>35982</c:v>
                </c:pt>
                <c:pt idx="11">
                  <c:v>36013</c:v>
                </c:pt>
                <c:pt idx="12">
                  <c:v>36044</c:v>
                </c:pt>
                <c:pt idx="13">
                  <c:v>36075</c:v>
                </c:pt>
                <c:pt idx="14">
                  <c:v>36106</c:v>
                </c:pt>
                <c:pt idx="15">
                  <c:v>36137</c:v>
                </c:pt>
                <c:pt idx="16">
                  <c:v>36168</c:v>
                </c:pt>
                <c:pt idx="17">
                  <c:v>36199</c:v>
                </c:pt>
                <c:pt idx="18">
                  <c:v>36230</c:v>
                </c:pt>
                <c:pt idx="19">
                  <c:v>36261</c:v>
                </c:pt>
                <c:pt idx="20">
                  <c:v>36292</c:v>
                </c:pt>
                <c:pt idx="21">
                  <c:v>36323</c:v>
                </c:pt>
                <c:pt idx="22">
                  <c:v>36354</c:v>
                </c:pt>
                <c:pt idx="23">
                  <c:v>36385</c:v>
                </c:pt>
                <c:pt idx="24">
                  <c:v>36416</c:v>
                </c:pt>
                <c:pt idx="25">
                  <c:v>36447</c:v>
                </c:pt>
                <c:pt idx="26">
                  <c:v>36478</c:v>
                </c:pt>
                <c:pt idx="27">
                  <c:v>36509</c:v>
                </c:pt>
                <c:pt idx="28">
                  <c:v>36540</c:v>
                </c:pt>
                <c:pt idx="29">
                  <c:v>36571</c:v>
                </c:pt>
                <c:pt idx="30">
                  <c:v>36602</c:v>
                </c:pt>
                <c:pt idx="31">
                  <c:v>36633</c:v>
                </c:pt>
                <c:pt idx="32">
                  <c:v>36664</c:v>
                </c:pt>
                <c:pt idx="33">
                  <c:v>36695</c:v>
                </c:pt>
                <c:pt idx="34">
                  <c:v>36726</c:v>
                </c:pt>
                <c:pt idx="35">
                  <c:v>36757</c:v>
                </c:pt>
                <c:pt idx="36">
                  <c:v>36788</c:v>
                </c:pt>
                <c:pt idx="37">
                  <c:v>36819</c:v>
                </c:pt>
                <c:pt idx="38">
                  <c:v>36850</c:v>
                </c:pt>
                <c:pt idx="39">
                  <c:v>36881</c:v>
                </c:pt>
                <c:pt idx="40">
                  <c:v>36912</c:v>
                </c:pt>
                <c:pt idx="41">
                  <c:v>36943</c:v>
                </c:pt>
                <c:pt idx="42">
                  <c:v>36974</c:v>
                </c:pt>
                <c:pt idx="43">
                  <c:v>37005</c:v>
                </c:pt>
                <c:pt idx="44">
                  <c:v>37036</c:v>
                </c:pt>
                <c:pt idx="45">
                  <c:v>37067</c:v>
                </c:pt>
                <c:pt idx="46">
                  <c:v>37098</c:v>
                </c:pt>
                <c:pt idx="47">
                  <c:v>37129</c:v>
                </c:pt>
                <c:pt idx="48">
                  <c:v>37160</c:v>
                </c:pt>
                <c:pt idx="49">
                  <c:v>37191</c:v>
                </c:pt>
                <c:pt idx="50">
                  <c:v>37222</c:v>
                </c:pt>
                <c:pt idx="51">
                  <c:v>37253</c:v>
                </c:pt>
                <c:pt idx="52">
                  <c:v>37284</c:v>
                </c:pt>
                <c:pt idx="53">
                  <c:v>37313</c:v>
                </c:pt>
                <c:pt idx="54">
                  <c:v>37344</c:v>
                </c:pt>
                <c:pt idx="55">
                  <c:v>37375</c:v>
                </c:pt>
                <c:pt idx="56">
                  <c:v>37406</c:v>
                </c:pt>
                <c:pt idx="57">
                  <c:v>37437</c:v>
                </c:pt>
                <c:pt idx="58">
                  <c:v>37468</c:v>
                </c:pt>
                <c:pt idx="59">
                  <c:v>37499</c:v>
                </c:pt>
                <c:pt idx="60">
                  <c:v>37527</c:v>
                </c:pt>
                <c:pt idx="61">
                  <c:v>37558</c:v>
                </c:pt>
                <c:pt idx="62">
                  <c:v>37589</c:v>
                </c:pt>
                <c:pt idx="63">
                  <c:v>37620</c:v>
                </c:pt>
                <c:pt idx="64">
                  <c:v>37651</c:v>
                </c:pt>
                <c:pt idx="65">
                  <c:v>37677</c:v>
                </c:pt>
                <c:pt idx="66">
                  <c:v>37708</c:v>
                </c:pt>
                <c:pt idx="67">
                  <c:v>37739</c:v>
                </c:pt>
                <c:pt idx="68">
                  <c:v>37770</c:v>
                </c:pt>
                <c:pt idx="69">
                  <c:v>37801</c:v>
                </c:pt>
                <c:pt idx="70">
                  <c:v>37832</c:v>
                </c:pt>
                <c:pt idx="71">
                  <c:v>37863</c:v>
                </c:pt>
                <c:pt idx="72">
                  <c:v>37894</c:v>
                </c:pt>
                <c:pt idx="73">
                  <c:v>37925</c:v>
                </c:pt>
                <c:pt idx="74">
                  <c:v>37953</c:v>
                </c:pt>
                <c:pt idx="75">
                  <c:v>37981</c:v>
                </c:pt>
                <c:pt idx="76">
                  <c:v>38009</c:v>
                </c:pt>
                <c:pt idx="77">
                  <c:v>38040</c:v>
                </c:pt>
                <c:pt idx="78">
                  <c:v>38071</c:v>
                </c:pt>
                <c:pt idx="79">
                  <c:v>38091</c:v>
                </c:pt>
                <c:pt idx="80">
                  <c:v>38122</c:v>
                </c:pt>
                <c:pt idx="81">
                  <c:v>38153</c:v>
                </c:pt>
                <c:pt idx="82">
                  <c:v>38184</c:v>
                </c:pt>
                <c:pt idx="83">
                  <c:v>38215</c:v>
                </c:pt>
                <c:pt idx="84">
                  <c:v>38246</c:v>
                </c:pt>
                <c:pt idx="85">
                  <c:v>38277</c:v>
                </c:pt>
                <c:pt idx="86">
                  <c:v>38308</c:v>
                </c:pt>
                <c:pt idx="87">
                  <c:v>38339</c:v>
                </c:pt>
                <c:pt idx="88">
                  <c:v>38370</c:v>
                </c:pt>
                <c:pt idx="89">
                  <c:v>38401</c:v>
                </c:pt>
                <c:pt idx="90">
                  <c:v>38432</c:v>
                </c:pt>
                <c:pt idx="91">
                  <c:v>38463</c:v>
                </c:pt>
                <c:pt idx="92">
                  <c:v>38494</c:v>
                </c:pt>
                <c:pt idx="93">
                  <c:v>38525</c:v>
                </c:pt>
                <c:pt idx="94">
                  <c:v>38556</c:v>
                </c:pt>
                <c:pt idx="95">
                  <c:v>38587</c:v>
                </c:pt>
                <c:pt idx="96">
                  <c:v>38618</c:v>
                </c:pt>
                <c:pt idx="97">
                  <c:v>38649</c:v>
                </c:pt>
                <c:pt idx="98">
                  <c:v>38680</c:v>
                </c:pt>
                <c:pt idx="99">
                  <c:v>38711</c:v>
                </c:pt>
                <c:pt idx="100">
                  <c:v>38742</c:v>
                </c:pt>
                <c:pt idx="101">
                  <c:v>38762</c:v>
                </c:pt>
                <c:pt idx="102">
                  <c:v>38793</c:v>
                </c:pt>
                <c:pt idx="103">
                  <c:v>38824</c:v>
                </c:pt>
                <c:pt idx="104">
                  <c:v>38855</c:v>
                </c:pt>
                <c:pt idx="105">
                  <c:v>38886</c:v>
                </c:pt>
                <c:pt idx="106">
                  <c:v>38917</c:v>
                </c:pt>
                <c:pt idx="107">
                  <c:v>38948</c:v>
                </c:pt>
                <c:pt idx="108">
                  <c:v>38979</c:v>
                </c:pt>
                <c:pt idx="109">
                  <c:v>39010</c:v>
                </c:pt>
                <c:pt idx="110">
                  <c:v>39041</c:v>
                </c:pt>
                <c:pt idx="111">
                  <c:v>39072</c:v>
                </c:pt>
                <c:pt idx="112">
                  <c:v>39103</c:v>
                </c:pt>
                <c:pt idx="113">
                  <c:v>39134</c:v>
                </c:pt>
                <c:pt idx="114">
                  <c:v>39165</c:v>
                </c:pt>
                <c:pt idx="115">
                  <c:v>39196</c:v>
                </c:pt>
                <c:pt idx="116">
                  <c:v>39227</c:v>
                </c:pt>
                <c:pt idx="117">
                  <c:v>39258</c:v>
                </c:pt>
                <c:pt idx="118">
                  <c:v>39289</c:v>
                </c:pt>
                <c:pt idx="119">
                  <c:v>39320</c:v>
                </c:pt>
                <c:pt idx="120">
                  <c:v>39351</c:v>
                </c:pt>
                <c:pt idx="121">
                  <c:v>39382</c:v>
                </c:pt>
                <c:pt idx="122">
                  <c:v>39413</c:v>
                </c:pt>
                <c:pt idx="123">
                  <c:v>39444</c:v>
                </c:pt>
                <c:pt idx="124">
                  <c:v>39475</c:v>
                </c:pt>
                <c:pt idx="125">
                  <c:v>39506</c:v>
                </c:pt>
                <c:pt idx="126">
                  <c:v>39537</c:v>
                </c:pt>
                <c:pt idx="127">
                  <c:v>39568</c:v>
                </c:pt>
                <c:pt idx="128">
                  <c:v>39599</c:v>
                </c:pt>
                <c:pt idx="129">
                  <c:v>39619</c:v>
                </c:pt>
                <c:pt idx="130">
                  <c:v>39650</c:v>
                </c:pt>
                <c:pt idx="131">
                  <c:v>39681</c:v>
                </c:pt>
                <c:pt idx="132">
                  <c:v>39712</c:v>
                </c:pt>
                <c:pt idx="133">
                  <c:v>39743</c:v>
                </c:pt>
                <c:pt idx="134">
                  <c:v>39774</c:v>
                </c:pt>
                <c:pt idx="135">
                  <c:v>39805</c:v>
                </c:pt>
                <c:pt idx="136">
                  <c:v>39836</c:v>
                </c:pt>
                <c:pt idx="137">
                  <c:v>39867</c:v>
                </c:pt>
                <c:pt idx="138">
                  <c:v>39898</c:v>
                </c:pt>
              </c:strCache>
            </c:strRef>
          </c:cat>
          <c:val>
            <c:numRef>
              <c:f>'Weekly Data'!$U$7:$U$145</c:f>
              <c:numCache>
                <c:ptCount val="139"/>
                <c:pt idx="0">
                  <c:v>250</c:v>
                </c:pt>
                <c:pt idx="1">
                  <c:v>800</c:v>
                </c:pt>
                <c:pt idx="2">
                  <c:v>1350</c:v>
                </c:pt>
                <c:pt idx="3">
                  <c:v>1800</c:v>
                </c:pt>
                <c:pt idx="4">
                  <c:v>1850</c:v>
                </c:pt>
                <c:pt idx="5">
                  <c:v>1100</c:v>
                </c:pt>
                <c:pt idx="6">
                  <c:v>1900</c:v>
                </c:pt>
                <c:pt idx="7">
                  <c:v>600</c:v>
                </c:pt>
                <c:pt idx="8">
                  <c:v>1750</c:v>
                </c:pt>
                <c:pt idx="9">
                  <c:v>2550</c:v>
                </c:pt>
                <c:pt idx="10">
                  <c:v>1350</c:v>
                </c:pt>
                <c:pt idx="11">
                  <c:v>600</c:v>
                </c:pt>
                <c:pt idx="12">
                  <c:v>2000</c:v>
                </c:pt>
                <c:pt idx="13">
                  <c:v>1550</c:v>
                </c:pt>
                <c:pt idx="14">
                  <c:v>1350</c:v>
                </c:pt>
                <c:pt idx="15">
                  <c:v>550</c:v>
                </c:pt>
                <c:pt idx="16">
                  <c:v>1450</c:v>
                </c:pt>
                <c:pt idx="17">
                  <c:v>650</c:v>
                </c:pt>
                <c:pt idx="18">
                  <c:v>900</c:v>
                </c:pt>
                <c:pt idx="19">
                  <c:v>400</c:v>
                </c:pt>
                <c:pt idx="20">
                  <c:v>1400</c:v>
                </c:pt>
                <c:pt idx="21">
                  <c:v>2650</c:v>
                </c:pt>
                <c:pt idx="22">
                  <c:v>1050</c:v>
                </c:pt>
                <c:pt idx="23">
                  <c:v>550</c:v>
                </c:pt>
                <c:pt idx="24">
                  <c:v>1675</c:v>
                </c:pt>
                <c:pt idx="25">
                  <c:v>900</c:v>
                </c:pt>
                <c:pt idx="26">
                  <c:v>1825</c:v>
                </c:pt>
                <c:pt idx="27">
                  <c:v>525</c:v>
                </c:pt>
                <c:pt idx="28">
                  <c:v>750</c:v>
                </c:pt>
                <c:pt idx="29">
                  <c:v>200</c:v>
                </c:pt>
                <c:pt idx="30">
                  <c:v>2605</c:v>
                </c:pt>
                <c:pt idx="31">
                  <c:v>5945</c:v>
                </c:pt>
                <c:pt idx="32">
                  <c:v>6574</c:v>
                </c:pt>
                <c:pt idx="33">
                  <c:v>12115</c:v>
                </c:pt>
                <c:pt idx="34">
                  <c:v>8429</c:v>
                </c:pt>
                <c:pt idx="35">
                  <c:v>985</c:v>
                </c:pt>
                <c:pt idx="36">
                  <c:v>4067.68</c:v>
                </c:pt>
                <c:pt idx="37">
                  <c:v>4305</c:v>
                </c:pt>
                <c:pt idx="38">
                  <c:v>3600</c:v>
                </c:pt>
                <c:pt idx="39">
                  <c:v>2275</c:v>
                </c:pt>
                <c:pt idx="40">
                  <c:v>4665</c:v>
                </c:pt>
                <c:pt idx="41">
                  <c:v>3865</c:v>
                </c:pt>
                <c:pt idx="42">
                  <c:v>7405</c:v>
                </c:pt>
                <c:pt idx="43">
                  <c:v>2104</c:v>
                </c:pt>
                <c:pt idx="44">
                  <c:v>1220</c:v>
                </c:pt>
                <c:pt idx="45">
                  <c:v>1875</c:v>
                </c:pt>
                <c:pt idx="46">
                  <c:v>1025</c:v>
                </c:pt>
                <c:pt idx="47">
                  <c:v>60</c:v>
                </c:pt>
                <c:pt idx="48">
                  <c:v>8790</c:v>
                </c:pt>
                <c:pt idx="49">
                  <c:v>4160</c:v>
                </c:pt>
                <c:pt idx="50">
                  <c:v>4725</c:v>
                </c:pt>
                <c:pt idx="51">
                  <c:v>2770</c:v>
                </c:pt>
                <c:pt idx="52">
                  <c:v>2185</c:v>
                </c:pt>
                <c:pt idx="53">
                  <c:v>6970</c:v>
                </c:pt>
                <c:pt idx="54">
                  <c:v>5747.5</c:v>
                </c:pt>
                <c:pt idx="55">
                  <c:v>2615</c:v>
                </c:pt>
                <c:pt idx="56">
                  <c:v>5290</c:v>
                </c:pt>
                <c:pt idx="57">
                  <c:v>3750</c:v>
                </c:pt>
                <c:pt idx="58">
                  <c:v>15640</c:v>
                </c:pt>
                <c:pt idx="59">
                  <c:v>490</c:v>
                </c:pt>
                <c:pt idx="60">
                  <c:v>4859</c:v>
                </c:pt>
                <c:pt idx="61">
                  <c:v>5740.5</c:v>
                </c:pt>
                <c:pt idx="62">
                  <c:v>4025</c:v>
                </c:pt>
                <c:pt idx="63">
                  <c:v>6366</c:v>
                </c:pt>
                <c:pt idx="64">
                  <c:v>6195</c:v>
                </c:pt>
                <c:pt idx="65">
                  <c:v>8875</c:v>
                </c:pt>
                <c:pt idx="66">
                  <c:v>6960</c:v>
                </c:pt>
                <c:pt idx="67">
                  <c:v>2545</c:v>
                </c:pt>
                <c:pt idx="68">
                  <c:v>7950</c:v>
                </c:pt>
                <c:pt idx="69">
                  <c:v>77747.5</c:v>
                </c:pt>
                <c:pt idx="70">
                  <c:v>9645</c:v>
                </c:pt>
                <c:pt idx="71">
                  <c:v>525</c:v>
                </c:pt>
                <c:pt idx="72">
                  <c:v>8500</c:v>
                </c:pt>
                <c:pt idx="73">
                  <c:v>9810</c:v>
                </c:pt>
                <c:pt idx="74">
                  <c:v>6140</c:v>
                </c:pt>
                <c:pt idx="75">
                  <c:v>6140</c:v>
                </c:pt>
                <c:pt idx="76">
                  <c:v>6140</c:v>
                </c:pt>
                <c:pt idx="77">
                  <c:v>11625</c:v>
                </c:pt>
                <c:pt idx="78">
                  <c:v>4992</c:v>
                </c:pt>
                <c:pt idx="79">
                  <c:v>2165.5</c:v>
                </c:pt>
                <c:pt idx="80">
                  <c:v>5040</c:v>
                </c:pt>
                <c:pt idx="81">
                  <c:v>6427.5</c:v>
                </c:pt>
                <c:pt idx="82">
                  <c:v>4542</c:v>
                </c:pt>
                <c:pt idx="83">
                  <c:v>200</c:v>
                </c:pt>
                <c:pt idx="84">
                  <c:v>3662.5</c:v>
                </c:pt>
                <c:pt idx="85">
                  <c:v>10154</c:v>
                </c:pt>
                <c:pt idx="86">
                  <c:v>7744</c:v>
                </c:pt>
                <c:pt idx="87">
                  <c:v>4394</c:v>
                </c:pt>
                <c:pt idx="88">
                  <c:v>4984</c:v>
                </c:pt>
                <c:pt idx="89">
                  <c:v>5723</c:v>
                </c:pt>
                <c:pt idx="90">
                  <c:v>6298.9</c:v>
                </c:pt>
                <c:pt idx="91">
                  <c:v>4151</c:v>
                </c:pt>
                <c:pt idx="92">
                  <c:v>3425</c:v>
                </c:pt>
                <c:pt idx="93">
                  <c:v>6323.5</c:v>
                </c:pt>
                <c:pt idx="94">
                  <c:v>2760</c:v>
                </c:pt>
                <c:pt idx="95">
                  <c:v>950</c:v>
                </c:pt>
                <c:pt idx="96">
                  <c:v>7210</c:v>
                </c:pt>
                <c:pt idx="97">
                  <c:v>8460</c:v>
                </c:pt>
                <c:pt idx="98">
                  <c:v>4733</c:v>
                </c:pt>
                <c:pt idx="99">
                  <c:v>2610</c:v>
                </c:pt>
                <c:pt idx="100">
                  <c:v>12523</c:v>
                </c:pt>
                <c:pt idx="101">
                  <c:v>6017.5</c:v>
                </c:pt>
                <c:pt idx="102">
                  <c:v>17070</c:v>
                </c:pt>
                <c:pt idx="103">
                  <c:v>3400</c:v>
                </c:pt>
                <c:pt idx="104">
                  <c:v>6844</c:v>
                </c:pt>
                <c:pt idx="105">
                  <c:v>7480</c:v>
                </c:pt>
                <c:pt idx="106">
                  <c:v>4512.5</c:v>
                </c:pt>
                <c:pt idx="107">
                  <c:v>1220</c:v>
                </c:pt>
                <c:pt idx="108">
                  <c:v>6810</c:v>
                </c:pt>
                <c:pt idx="109">
                  <c:v>10303</c:v>
                </c:pt>
                <c:pt idx="110">
                  <c:v>5890</c:v>
                </c:pt>
                <c:pt idx="111">
                  <c:v>3929</c:v>
                </c:pt>
                <c:pt idx="112">
                  <c:v>7707</c:v>
                </c:pt>
                <c:pt idx="113">
                  <c:v>4610</c:v>
                </c:pt>
                <c:pt idx="114">
                  <c:v>5296</c:v>
                </c:pt>
                <c:pt idx="115">
                  <c:v>2333</c:v>
                </c:pt>
                <c:pt idx="116">
                  <c:v>4029</c:v>
                </c:pt>
                <c:pt idx="117">
                  <c:v>3033</c:v>
                </c:pt>
                <c:pt idx="118">
                  <c:v>5329</c:v>
                </c:pt>
                <c:pt idx="119">
                  <c:v>970</c:v>
                </c:pt>
                <c:pt idx="120">
                  <c:v>3453</c:v>
                </c:pt>
                <c:pt idx="121">
                  <c:v>7203</c:v>
                </c:pt>
                <c:pt idx="122">
                  <c:v>2655</c:v>
                </c:pt>
                <c:pt idx="123">
                  <c:v>2250</c:v>
                </c:pt>
                <c:pt idx="124">
                  <c:v>5660</c:v>
                </c:pt>
                <c:pt idx="125">
                  <c:v>4160</c:v>
                </c:pt>
                <c:pt idx="126">
                  <c:v>6085</c:v>
                </c:pt>
                <c:pt idx="127">
                  <c:v>4400</c:v>
                </c:pt>
                <c:pt idx="128">
                  <c:v>4525</c:v>
                </c:pt>
                <c:pt idx="129">
                  <c:v>2580</c:v>
                </c:pt>
                <c:pt idx="130">
                  <c:v>6880</c:v>
                </c:pt>
                <c:pt idx="131">
                  <c:v>1350</c:v>
                </c:pt>
                <c:pt idx="132">
                  <c:v>3680</c:v>
                </c:pt>
                <c:pt idx="133">
                  <c:v>3390</c:v>
                </c:pt>
                <c:pt idx="134">
                  <c:v>3475</c:v>
                </c:pt>
                <c:pt idx="135">
                  <c:v>2120</c:v>
                </c:pt>
                <c:pt idx="136">
                  <c:v>5460</c:v>
                </c:pt>
                <c:pt idx="137">
                  <c:v>3880</c:v>
                </c:pt>
                <c:pt idx="138">
                  <c:v>3160</c:v>
                </c:pt>
              </c:numCache>
            </c:numRef>
          </c:val>
          <c:smooth val="0"/>
        </c:ser>
        <c:ser>
          <c:idx val="2"/>
          <c:order val="2"/>
          <c:tx>
            <c:v>Work 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Data'!$R$7:$R$145</c:f>
              <c:strCache>
                <c:ptCount val="139"/>
                <c:pt idx="0">
                  <c:v>35674</c:v>
                </c:pt>
                <c:pt idx="1">
                  <c:v>35704</c:v>
                </c:pt>
                <c:pt idx="2">
                  <c:v>35735</c:v>
                </c:pt>
                <c:pt idx="3">
                  <c:v>35765</c:v>
                </c:pt>
                <c:pt idx="4">
                  <c:v>35796</c:v>
                </c:pt>
                <c:pt idx="5">
                  <c:v>35827</c:v>
                </c:pt>
                <c:pt idx="6">
                  <c:v>35858</c:v>
                </c:pt>
                <c:pt idx="7">
                  <c:v>35889</c:v>
                </c:pt>
                <c:pt idx="8">
                  <c:v>35920</c:v>
                </c:pt>
                <c:pt idx="9">
                  <c:v>35951</c:v>
                </c:pt>
                <c:pt idx="10">
                  <c:v>35982</c:v>
                </c:pt>
                <c:pt idx="11">
                  <c:v>36013</c:v>
                </c:pt>
                <c:pt idx="12">
                  <c:v>36044</c:v>
                </c:pt>
                <c:pt idx="13">
                  <c:v>36075</c:v>
                </c:pt>
                <c:pt idx="14">
                  <c:v>36106</c:v>
                </c:pt>
                <c:pt idx="15">
                  <c:v>36137</c:v>
                </c:pt>
                <c:pt idx="16">
                  <c:v>36168</c:v>
                </c:pt>
                <c:pt idx="17">
                  <c:v>36199</c:v>
                </c:pt>
                <c:pt idx="18">
                  <c:v>36230</c:v>
                </c:pt>
                <c:pt idx="19">
                  <c:v>36261</c:v>
                </c:pt>
                <c:pt idx="20">
                  <c:v>36292</c:v>
                </c:pt>
                <c:pt idx="21">
                  <c:v>36323</c:v>
                </c:pt>
                <c:pt idx="22">
                  <c:v>36354</c:v>
                </c:pt>
                <c:pt idx="23">
                  <c:v>36385</c:v>
                </c:pt>
                <c:pt idx="24">
                  <c:v>36416</c:v>
                </c:pt>
                <c:pt idx="25">
                  <c:v>36447</c:v>
                </c:pt>
                <c:pt idx="26">
                  <c:v>36478</c:v>
                </c:pt>
                <c:pt idx="27">
                  <c:v>36509</c:v>
                </c:pt>
                <c:pt idx="28">
                  <c:v>36540</c:v>
                </c:pt>
                <c:pt idx="29">
                  <c:v>36571</c:v>
                </c:pt>
                <c:pt idx="30">
                  <c:v>36602</c:v>
                </c:pt>
                <c:pt idx="31">
                  <c:v>36633</c:v>
                </c:pt>
                <c:pt idx="32">
                  <c:v>36664</c:v>
                </c:pt>
                <c:pt idx="33">
                  <c:v>36695</c:v>
                </c:pt>
                <c:pt idx="34">
                  <c:v>36726</c:v>
                </c:pt>
                <c:pt idx="35">
                  <c:v>36757</c:v>
                </c:pt>
                <c:pt idx="36">
                  <c:v>36788</c:v>
                </c:pt>
                <c:pt idx="37">
                  <c:v>36819</c:v>
                </c:pt>
                <c:pt idx="38">
                  <c:v>36850</c:v>
                </c:pt>
                <c:pt idx="39">
                  <c:v>36881</c:v>
                </c:pt>
                <c:pt idx="40">
                  <c:v>36912</c:v>
                </c:pt>
                <c:pt idx="41">
                  <c:v>36943</c:v>
                </c:pt>
                <c:pt idx="42">
                  <c:v>36974</c:v>
                </c:pt>
                <c:pt idx="43">
                  <c:v>37005</c:v>
                </c:pt>
                <c:pt idx="44">
                  <c:v>37036</c:v>
                </c:pt>
                <c:pt idx="45">
                  <c:v>37067</c:v>
                </c:pt>
                <c:pt idx="46">
                  <c:v>37098</c:v>
                </c:pt>
                <c:pt idx="47">
                  <c:v>37129</c:v>
                </c:pt>
                <c:pt idx="48">
                  <c:v>37160</c:v>
                </c:pt>
                <c:pt idx="49">
                  <c:v>37191</c:v>
                </c:pt>
                <c:pt idx="50">
                  <c:v>37222</c:v>
                </c:pt>
                <c:pt idx="51">
                  <c:v>37253</c:v>
                </c:pt>
                <c:pt idx="52">
                  <c:v>37284</c:v>
                </c:pt>
                <c:pt idx="53">
                  <c:v>37313</c:v>
                </c:pt>
                <c:pt idx="54">
                  <c:v>37344</c:v>
                </c:pt>
                <c:pt idx="55">
                  <c:v>37375</c:v>
                </c:pt>
                <c:pt idx="56">
                  <c:v>37406</c:v>
                </c:pt>
                <c:pt idx="57">
                  <c:v>37437</c:v>
                </c:pt>
                <c:pt idx="58">
                  <c:v>37468</c:v>
                </c:pt>
                <c:pt idx="59">
                  <c:v>37499</c:v>
                </c:pt>
                <c:pt idx="60">
                  <c:v>37527</c:v>
                </c:pt>
                <c:pt idx="61">
                  <c:v>37558</c:v>
                </c:pt>
                <c:pt idx="62">
                  <c:v>37589</c:v>
                </c:pt>
                <c:pt idx="63">
                  <c:v>37620</c:v>
                </c:pt>
                <c:pt idx="64">
                  <c:v>37651</c:v>
                </c:pt>
                <c:pt idx="65">
                  <c:v>37677</c:v>
                </c:pt>
                <c:pt idx="66">
                  <c:v>37708</c:v>
                </c:pt>
                <c:pt idx="67">
                  <c:v>37739</c:v>
                </c:pt>
                <c:pt idx="68">
                  <c:v>37770</c:v>
                </c:pt>
                <c:pt idx="69">
                  <c:v>37801</c:v>
                </c:pt>
                <c:pt idx="70">
                  <c:v>37832</c:v>
                </c:pt>
                <c:pt idx="71">
                  <c:v>37863</c:v>
                </c:pt>
                <c:pt idx="72">
                  <c:v>37894</c:v>
                </c:pt>
                <c:pt idx="73">
                  <c:v>37925</c:v>
                </c:pt>
                <c:pt idx="74">
                  <c:v>37953</c:v>
                </c:pt>
                <c:pt idx="75">
                  <c:v>37981</c:v>
                </c:pt>
                <c:pt idx="76">
                  <c:v>38009</c:v>
                </c:pt>
                <c:pt idx="77">
                  <c:v>38040</c:v>
                </c:pt>
                <c:pt idx="78">
                  <c:v>38071</c:v>
                </c:pt>
                <c:pt idx="79">
                  <c:v>38091</c:v>
                </c:pt>
                <c:pt idx="80">
                  <c:v>38122</c:v>
                </c:pt>
                <c:pt idx="81">
                  <c:v>38153</c:v>
                </c:pt>
                <c:pt idx="82">
                  <c:v>38184</c:v>
                </c:pt>
                <c:pt idx="83">
                  <c:v>38215</c:v>
                </c:pt>
                <c:pt idx="84">
                  <c:v>38246</c:v>
                </c:pt>
                <c:pt idx="85">
                  <c:v>38277</c:v>
                </c:pt>
                <c:pt idx="86">
                  <c:v>38308</c:v>
                </c:pt>
                <c:pt idx="87">
                  <c:v>38339</c:v>
                </c:pt>
                <c:pt idx="88">
                  <c:v>38370</c:v>
                </c:pt>
                <c:pt idx="89">
                  <c:v>38401</c:v>
                </c:pt>
                <c:pt idx="90">
                  <c:v>38432</c:v>
                </c:pt>
                <c:pt idx="91">
                  <c:v>38463</c:v>
                </c:pt>
                <c:pt idx="92">
                  <c:v>38494</c:v>
                </c:pt>
                <c:pt idx="93">
                  <c:v>38525</c:v>
                </c:pt>
                <c:pt idx="94">
                  <c:v>38556</c:v>
                </c:pt>
                <c:pt idx="95">
                  <c:v>38587</c:v>
                </c:pt>
                <c:pt idx="96">
                  <c:v>38618</c:v>
                </c:pt>
                <c:pt idx="97">
                  <c:v>38649</c:v>
                </c:pt>
                <c:pt idx="98">
                  <c:v>38680</c:v>
                </c:pt>
                <c:pt idx="99">
                  <c:v>38711</c:v>
                </c:pt>
                <c:pt idx="100">
                  <c:v>38742</c:v>
                </c:pt>
                <c:pt idx="101">
                  <c:v>38762</c:v>
                </c:pt>
                <c:pt idx="102">
                  <c:v>38793</c:v>
                </c:pt>
                <c:pt idx="103">
                  <c:v>38824</c:v>
                </c:pt>
                <c:pt idx="104">
                  <c:v>38855</c:v>
                </c:pt>
                <c:pt idx="105">
                  <c:v>38886</c:v>
                </c:pt>
                <c:pt idx="106">
                  <c:v>38917</c:v>
                </c:pt>
                <c:pt idx="107">
                  <c:v>38948</c:v>
                </c:pt>
                <c:pt idx="108">
                  <c:v>38979</c:v>
                </c:pt>
                <c:pt idx="109">
                  <c:v>39010</c:v>
                </c:pt>
                <c:pt idx="110">
                  <c:v>39041</c:v>
                </c:pt>
                <c:pt idx="111">
                  <c:v>39072</c:v>
                </c:pt>
                <c:pt idx="112">
                  <c:v>39103</c:v>
                </c:pt>
                <c:pt idx="113">
                  <c:v>39134</c:v>
                </c:pt>
                <c:pt idx="114">
                  <c:v>39165</c:v>
                </c:pt>
                <c:pt idx="115">
                  <c:v>39196</c:v>
                </c:pt>
                <c:pt idx="116">
                  <c:v>39227</c:v>
                </c:pt>
                <c:pt idx="117">
                  <c:v>39258</c:v>
                </c:pt>
                <c:pt idx="118">
                  <c:v>39289</c:v>
                </c:pt>
                <c:pt idx="119">
                  <c:v>39320</c:v>
                </c:pt>
                <c:pt idx="120">
                  <c:v>39351</c:v>
                </c:pt>
                <c:pt idx="121">
                  <c:v>39382</c:v>
                </c:pt>
                <c:pt idx="122">
                  <c:v>39413</c:v>
                </c:pt>
                <c:pt idx="123">
                  <c:v>39444</c:v>
                </c:pt>
                <c:pt idx="124">
                  <c:v>39475</c:v>
                </c:pt>
                <c:pt idx="125">
                  <c:v>39506</c:v>
                </c:pt>
                <c:pt idx="126">
                  <c:v>39537</c:v>
                </c:pt>
                <c:pt idx="127">
                  <c:v>39568</c:v>
                </c:pt>
                <c:pt idx="128">
                  <c:v>39599</c:v>
                </c:pt>
                <c:pt idx="129">
                  <c:v>39619</c:v>
                </c:pt>
                <c:pt idx="130">
                  <c:v>39650</c:v>
                </c:pt>
                <c:pt idx="131">
                  <c:v>39681</c:v>
                </c:pt>
                <c:pt idx="132">
                  <c:v>39712</c:v>
                </c:pt>
                <c:pt idx="133">
                  <c:v>39743</c:v>
                </c:pt>
                <c:pt idx="134">
                  <c:v>39774</c:v>
                </c:pt>
                <c:pt idx="135">
                  <c:v>39805</c:v>
                </c:pt>
                <c:pt idx="136">
                  <c:v>39836</c:v>
                </c:pt>
                <c:pt idx="137">
                  <c:v>39867</c:v>
                </c:pt>
                <c:pt idx="138">
                  <c:v>39898</c:v>
                </c:pt>
              </c:strCache>
            </c:strRef>
          </c:cat>
          <c:val>
            <c:numRef>
              <c:f>'Weekly Data'!$Z$7:$Z$145</c:f>
              <c:numCache>
                <c:ptCount val="139"/>
                <c:pt idx="2">
                  <c:v>210</c:v>
                </c:pt>
                <c:pt idx="3">
                  <c:v>405</c:v>
                </c:pt>
                <c:pt idx="4">
                  <c:v>1110</c:v>
                </c:pt>
                <c:pt idx="5">
                  <c:v>405</c:v>
                </c:pt>
                <c:pt idx="6">
                  <c:v>435</c:v>
                </c:pt>
                <c:pt idx="7">
                  <c:v>375</c:v>
                </c:pt>
                <c:pt idx="8">
                  <c:v>585</c:v>
                </c:pt>
                <c:pt idx="9">
                  <c:v>1740</c:v>
                </c:pt>
                <c:pt idx="10">
                  <c:v>660</c:v>
                </c:pt>
                <c:pt idx="11">
                  <c:v>375</c:v>
                </c:pt>
                <c:pt idx="12">
                  <c:v>1905</c:v>
                </c:pt>
                <c:pt idx="13">
                  <c:v>960</c:v>
                </c:pt>
                <c:pt idx="14">
                  <c:v>1542</c:v>
                </c:pt>
                <c:pt idx="15">
                  <c:v>690</c:v>
                </c:pt>
                <c:pt idx="16">
                  <c:v>1335</c:v>
                </c:pt>
                <c:pt idx="17">
                  <c:v>1110</c:v>
                </c:pt>
                <c:pt idx="18">
                  <c:v>765</c:v>
                </c:pt>
                <c:pt idx="19">
                  <c:v>150</c:v>
                </c:pt>
                <c:pt idx="20">
                  <c:v>975</c:v>
                </c:pt>
                <c:pt idx="21">
                  <c:v>3360</c:v>
                </c:pt>
                <c:pt idx="22">
                  <c:v>2505</c:v>
                </c:pt>
                <c:pt idx="23">
                  <c:v>1095</c:v>
                </c:pt>
                <c:pt idx="24">
                  <c:v>2040</c:v>
                </c:pt>
                <c:pt idx="25">
                  <c:v>1155</c:v>
                </c:pt>
                <c:pt idx="26">
                  <c:v>2940</c:v>
                </c:pt>
                <c:pt idx="27">
                  <c:v>520</c:v>
                </c:pt>
                <c:pt idx="28">
                  <c:v>2010</c:v>
                </c:pt>
                <c:pt idx="29">
                  <c:v>675</c:v>
                </c:pt>
                <c:pt idx="30">
                  <c:v>900</c:v>
                </c:pt>
                <c:pt idx="31">
                  <c:v>3096</c:v>
                </c:pt>
                <c:pt idx="32">
                  <c:v>1305</c:v>
                </c:pt>
                <c:pt idx="33">
                  <c:v>1845</c:v>
                </c:pt>
                <c:pt idx="34">
                  <c:v>2715</c:v>
                </c:pt>
                <c:pt idx="35">
                  <c:v>525</c:v>
                </c:pt>
                <c:pt idx="36">
                  <c:v>780</c:v>
                </c:pt>
                <c:pt idx="37">
                  <c:v>2991</c:v>
                </c:pt>
                <c:pt idx="38">
                  <c:v>3986</c:v>
                </c:pt>
                <c:pt idx="39">
                  <c:v>1425</c:v>
                </c:pt>
                <c:pt idx="40">
                  <c:v>4905</c:v>
                </c:pt>
                <c:pt idx="41">
                  <c:v>3795</c:v>
                </c:pt>
                <c:pt idx="42">
                  <c:v>5865</c:v>
                </c:pt>
                <c:pt idx="43">
                  <c:v>1485</c:v>
                </c:pt>
                <c:pt idx="44">
                  <c:v>540</c:v>
                </c:pt>
                <c:pt idx="45">
                  <c:v>6441</c:v>
                </c:pt>
                <c:pt idx="46">
                  <c:v>1965</c:v>
                </c:pt>
                <c:pt idx="47">
                  <c:v>495</c:v>
                </c:pt>
                <c:pt idx="48">
                  <c:v>1050</c:v>
                </c:pt>
                <c:pt idx="49">
                  <c:v>1635</c:v>
                </c:pt>
                <c:pt idx="50">
                  <c:v>3505.75</c:v>
                </c:pt>
                <c:pt idx="51">
                  <c:v>1402</c:v>
                </c:pt>
                <c:pt idx="52">
                  <c:v>3203</c:v>
                </c:pt>
                <c:pt idx="53">
                  <c:v>3304</c:v>
                </c:pt>
                <c:pt idx="54">
                  <c:v>1980</c:v>
                </c:pt>
                <c:pt idx="55">
                  <c:v>2370</c:v>
                </c:pt>
                <c:pt idx="56">
                  <c:v>3897</c:v>
                </c:pt>
                <c:pt idx="57">
                  <c:v>4441</c:v>
                </c:pt>
                <c:pt idx="58">
                  <c:v>1525</c:v>
                </c:pt>
                <c:pt idx="59">
                  <c:v>965</c:v>
                </c:pt>
                <c:pt idx="60">
                  <c:v>2443</c:v>
                </c:pt>
                <c:pt idx="61">
                  <c:v>7547</c:v>
                </c:pt>
                <c:pt idx="62">
                  <c:v>3929</c:v>
                </c:pt>
                <c:pt idx="63">
                  <c:v>5189</c:v>
                </c:pt>
                <c:pt idx="64">
                  <c:v>2235</c:v>
                </c:pt>
                <c:pt idx="65">
                  <c:v>2000</c:v>
                </c:pt>
                <c:pt idx="66">
                  <c:v>3657</c:v>
                </c:pt>
                <c:pt idx="67">
                  <c:v>815</c:v>
                </c:pt>
                <c:pt idx="68">
                  <c:v>2733</c:v>
                </c:pt>
                <c:pt idx="69">
                  <c:v>2069</c:v>
                </c:pt>
                <c:pt idx="70">
                  <c:v>5469</c:v>
                </c:pt>
                <c:pt idx="71">
                  <c:v>1055</c:v>
                </c:pt>
                <c:pt idx="72">
                  <c:v>3200</c:v>
                </c:pt>
                <c:pt idx="73">
                  <c:v>2940.88</c:v>
                </c:pt>
                <c:pt idx="74">
                  <c:v>1900</c:v>
                </c:pt>
                <c:pt idx="75">
                  <c:v>1900</c:v>
                </c:pt>
                <c:pt idx="76">
                  <c:v>1900</c:v>
                </c:pt>
                <c:pt idx="77">
                  <c:v>3846</c:v>
                </c:pt>
                <c:pt idx="78">
                  <c:v>6377.6</c:v>
                </c:pt>
                <c:pt idx="79">
                  <c:v>1693</c:v>
                </c:pt>
                <c:pt idx="80">
                  <c:v>4000</c:v>
                </c:pt>
                <c:pt idx="81">
                  <c:v>3474</c:v>
                </c:pt>
                <c:pt idx="82">
                  <c:v>3541</c:v>
                </c:pt>
                <c:pt idx="83">
                  <c:v>885</c:v>
                </c:pt>
                <c:pt idx="84">
                  <c:v>2680</c:v>
                </c:pt>
                <c:pt idx="85">
                  <c:v>6618.84</c:v>
                </c:pt>
                <c:pt idx="86">
                  <c:v>5195</c:v>
                </c:pt>
                <c:pt idx="87">
                  <c:v>3395</c:v>
                </c:pt>
                <c:pt idx="88">
                  <c:v>3588</c:v>
                </c:pt>
                <c:pt idx="89">
                  <c:v>4141</c:v>
                </c:pt>
                <c:pt idx="90">
                  <c:v>7065</c:v>
                </c:pt>
                <c:pt idx="91">
                  <c:v>806</c:v>
                </c:pt>
                <c:pt idx="92">
                  <c:v>4665.5</c:v>
                </c:pt>
                <c:pt idx="93">
                  <c:v>6244.45</c:v>
                </c:pt>
                <c:pt idx="94">
                  <c:v>2366</c:v>
                </c:pt>
                <c:pt idx="95">
                  <c:v>2976</c:v>
                </c:pt>
                <c:pt idx="96">
                  <c:v>5460.5</c:v>
                </c:pt>
                <c:pt idx="97">
                  <c:v>9034.5</c:v>
                </c:pt>
                <c:pt idx="98">
                  <c:v>2902</c:v>
                </c:pt>
                <c:pt idx="99">
                  <c:v>3548</c:v>
                </c:pt>
                <c:pt idx="100">
                  <c:v>5142.2</c:v>
                </c:pt>
                <c:pt idx="101">
                  <c:v>5360</c:v>
                </c:pt>
                <c:pt idx="102">
                  <c:v>5880</c:v>
                </c:pt>
                <c:pt idx="103">
                  <c:v>1696</c:v>
                </c:pt>
                <c:pt idx="104">
                  <c:v>4104.5</c:v>
                </c:pt>
                <c:pt idx="105">
                  <c:v>5566</c:v>
                </c:pt>
                <c:pt idx="106">
                  <c:v>6747.2300000000005</c:v>
                </c:pt>
                <c:pt idx="107">
                  <c:v>621</c:v>
                </c:pt>
                <c:pt idx="108">
                  <c:v>3882</c:v>
                </c:pt>
                <c:pt idx="109">
                  <c:v>4749.25</c:v>
                </c:pt>
                <c:pt idx="110">
                  <c:v>4429.5</c:v>
                </c:pt>
                <c:pt idx="111">
                  <c:v>4470.7</c:v>
                </c:pt>
                <c:pt idx="112">
                  <c:v>5711.5</c:v>
                </c:pt>
                <c:pt idx="113">
                  <c:v>5795</c:v>
                </c:pt>
                <c:pt idx="114">
                  <c:v>5159.5</c:v>
                </c:pt>
                <c:pt idx="115">
                  <c:v>879.5</c:v>
                </c:pt>
                <c:pt idx="116">
                  <c:v>3865</c:v>
                </c:pt>
                <c:pt idx="117">
                  <c:v>1720</c:v>
                </c:pt>
                <c:pt idx="118">
                  <c:v>4066.2799999999997</c:v>
                </c:pt>
                <c:pt idx="119">
                  <c:v>558</c:v>
                </c:pt>
                <c:pt idx="120">
                  <c:v>1942</c:v>
                </c:pt>
                <c:pt idx="121">
                  <c:v>1001</c:v>
                </c:pt>
                <c:pt idx="122">
                  <c:v>4019.25</c:v>
                </c:pt>
                <c:pt idx="123">
                  <c:v>2248.7</c:v>
                </c:pt>
                <c:pt idx="124">
                  <c:v>2452</c:v>
                </c:pt>
                <c:pt idx="125">
                  <c:v>1392.9900000000016</c:v>
                </c:pt>
                <c:pt idx="126">
                  <c:v>3501</c:v>
                </c:pt>
                <c:pt idx="127">
                  <c:v>1827</c:v>
                </c:pt>
                <c:pt idx="128">
                  <c:v>1936.5</c:v>
                </c:pt>
                <c:pt idx="129">
                  <c:v>1129.5</c:v>
                </c:pt>
                <c:pt idx="130">
                  <c:v>2465.119999999999</c:v>
                </c:pt>
                <c:pt idx="131">
                  <c:v>0</c:v>
                </c:pt>
                <c:pt idx="132">
                  <c:v>2615.5</c:v>
                </c:pt>
                <c:pt idx="133">
                  <c:v>2940</c:v>
                </c:pt>
                <c:pt idx="134">
                  <c:v>2388</c:v>
                </c:pt>
                <c:pt idx="135">
                  <c:v>2497</c:v>
                </c:pt>
                <c:pt idx="136">
                  <c:v>2843</c:v>
                </c:pt>
                <c:pt idx="137">
                  <c:v>3155</c:v>
                </c:pt>
                <c:pt idx="138">
                  <c:v>2466.5</c:v>
                </c:pt>
              </c:numCache>
            </c:numRef>
          </c:val>
          <c:smooth val="0"/>
        </c:ser>
        <c:ser>
          <c:idx val="3"/>
          <c:order val="3"/>
          <c:tx>
            <c:v>CD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Data'!$R$7:$R$145</c:f>
              <c:strCache>
                <c:ptCount val="139"/>
                <c:pt idx="0">
                  <c:v>35674</c:v>
                </c:pt>
                <c:pt idx="1">
                  <c:v>35704</c:v>
                </c:pt>
                <c:pt idx="2">
                  <c:v>35735</c:v>
                </c:pt>
                <c:pt idx="3">
                  <c:v>35765</c:v>
                </c:pt>
                <c:pt idx="4">
                  <c:v>35796</c:v>
                </c:pt>
                <c:pt idx="5">
                  <c:v>35827</c:v>
                </c:pt>
                <c:pt idx="6">
                  <c:v>35858</c:v>
                </c:pt>
                <c:pt idx="7">
                  <c:v>35889</c:v>
                </c:pt>
                <c:pt idx="8">
                  <c:v>35920</c:v>
                </c:pt>
                <c:pt idx="9">
                  <c:v>35951</c:v>
                </c:pt>
                <c:pt idx="10">
                  <c:v>35982</c:v>
                </c:pt>
                <c:pt idx="11">
                  <c:v>36013</c:v>
                </c:pt>
                <c:pt idx="12">
                  <c:v>36044</c:v>
                </c:pt>
                <c:pt idx="13">
                  <c:v>36075</c:v>
                </c:pt>
                <c:pt idx="14">
                  <c:v>36106</c:v>
                </c:pt>
                <c:pt idx="15">
                  <c:v>36137</c:v>
                </c:pt>
                <c:pt idx="16">
                  <c:v>36168</c:v>
                </c:pt>
                <c:pt idx="17">
                  <c:v>36199</c:v>
                </c:pt>
                <c:pt idx="18">
                  <c:v>36230</c:v>
                </c:pt>
                <c:pt idx="19">
                  <c:v>36261</c:v>
                </c:pt>
                <c:pt idx="20">
                  <c:v>36292</c:v>
                </c:pt>
                <c:pt idx="21">
                  <c:v>36323</c:v>
                </c:pt>
                <c:pt idx="22">
                  <c:v>36354</c:v>
                </c:pt>
                <c:pt idx="23">
                  <c:v>36385</c:v>
                </c:pt>
                <c:pt idx="24">
                  <c:v>36416</c:v>
                </c:pt>
                <c:pt idx="25">
                  <c:v>36447</c:v>
                </c:pt>
                <c:pt idx="26">
                  <c:v>36478</c:v>
                </c:pt>
                <c:pt idx="27">
                  <c:v>36509</c:v>
                </c:pt>
                <c:pt idx="28">
                  <c:v>36540</c:v>
                </c:pt>
                <c:pt idx="29">
                  <c:v>36571</c:v>
                </c:pt>
                <c:pt idx="30">
                  <c:v>36602</c:v>
                </c:pt>
                <c:pt idx="31">
                  <c:v>36633</c:v>
                </c:pt>
                <c:pt idx="32">
                  <c:v>36664</c:v>
                </c:pt>
                <c:pt idx="33">
                  <c:v>36695</c:v>
                </c:pt>
                <c:pt idx="34">
                  <c:v>36726</c:v>
                </c:pt>
                <c:pt idx="35">
                  <c:v>36757</c:v>
                </c:pt>
                <c:pt idx="36">
                  <c:v>36788</c:v>
                </c:pt>
                <c:pt idx="37">
                  <c:v>36819</c:v>
                </c:pt>
                <c:pt idx="38">
                  <c:v>36850</c:v>
                </c:pt>
                <c:pt idx="39">
                  <c:v>36881</c:v>
                </c:pt>
                <c:pt idx="40">
                  <c:v>36912</c:v>
                </c:pt>
                <c:pt idx="41">
                  <c:v>36943</c:v>
                </c:pt>
                <c:pt idx="42">
                  <c:v>36974</c:v>
                </c:pt>
                <c:pt idx="43">
                  <c:v>37005</c:v>
                </c:pt>
                <c:pt idx="44">
                  <c:v>37036</c:v>
                </c:pt>
                <c:pt idx="45">
                  <c:v>37067</c:v>
                </c:pt>
                <c:pt idx="46">
                  <c:v>37098</c:v>
                </c:pt>
                <c:pt idx="47">
                  <c:v>37129</c:v>
                </c:pt>
                <c:pt idx="48">
                  <c:v>37160</c:v>
                </c:pt>
                <c:pt idx="49">
                  <c:v>37191</c:v>
                </c:pt>
                <c:pt idx="50">
                  <c:v>37222</c:v>
                </c:pt>
                <c:pt idx="51">
                  <c:v>37253</c:v>
                </c:pt>
                <c:pt idx="52">
                  <c:v>37284</c:v>
                </c:pt>
                <c:pt idx="53">
                  <c:v>37313</c:v>
                </c:pt>
                <c:pt idx="54">
                  <c:v>37344</c:v>
                </c:pt>
                <c:pt idx="55">
                  <c:v>37375</c:v>
                </c:pt>
                <c:pt idx="56">
                  <c:v>37406</c:v>
                </c:pt>
                <c:pt idx="57">
                  <c:v>37437</c:v>
                </c:pt>
                <c:pt idx="58">
                  <c:v>37468</c:v>
                </c:pt>
                <c:pt idx="59">
                  <c:v>37499</c:v>
                </c:pt>
                <c:pt idx="60">
                  <c:v>37527</c:v>
                </c:pt>
                <c:pt idx="61">
                  <c:v>37558</c:v>
                </c:pt>
                <c:pt idx="62">
                  <c:v>37589</c:v>
                </c:pt>
                <c:pt idx="63">
                  <c:v>37620</c:v>
                </c:pt>
                <c:pt idx="64">
                  <c:v>37651</c:v>
                </c:pt>
                <c:pt idx="65">
                  <c:v>37677</c:v>
                </c:pt>
                <c:pt idx="66">
                  <c:v>37708</c:v>
                </c:pt>
                <c:pt idx="67">
                  <c:v>37739</c:v>
                </c:pt>
                <c:pt idx="68">
                  <c:v>37770</c:v>
                </c:pt>
                <c:pt idx="69">
                  <c:v>37801</c:v>
                </c:pt>
                <c:pt idx="70">
                  <c:v>37832</c:v>
                </c:pt>
                <c:pt idx="71">
                  <c:v>37863</c:v>
                </c:pt>
                <c:pt idx="72">
                  <c:v>37894</c:v>
                </c:pt>
                <c:pt idx="73">
                  <c:v>37925</c:v>
                </c:pt>
                <c:pt idx="74">
                  <c:v>37953</c:v>
                </c:pt>
                <c:pt idx="75">
                  <c:v>37981</c:v>
                </c:pt>
                <c:pt idx="76">
                  <c:v>38009</c:v>
                </c:pt>
                <c:pt idx="77">
                  <c:v>38040</c:v>
                </c:pt>
                <c:pt idx="78">
                  <c:v>38071</c:v>
                </c:pt>
                <c:pt idx="79">
                  <c:v>38091</c:v>
                </c:pt>
                <c:pt idx="80">
                  <c:v>38122</c:v>
                </c:pt>
                <c:pt idx="81">
                  <c:v>38153</c:v>
                </c:pt>
                <c:pt idx="82">
                  <c:v>38184</c:v>
                </c:pt>
                <c:pt idx="83">
                  <c:v>38215</c:v>
                </c:pt>
                <c:pt idx="84">
                  <c:v>38246</c:v>
                </c:pt>
                <c:pt idx="85">
                  <c:v>38277</c:v>
                </c:pt>
                <c:pt idx="86">
                  <c:v>38308</c:v>
                </c:pt>
                <c:pt idx="87">
                  <c:v>38339</c:v>
                </c:pt>
                <c:pt idx="88">
                  <c:v>38370</c:v>
                </c:pt>
                <c:pt idx="89">
                  <c:v>38401</c:v>
                </c:pt>
                <c:pt idx="90">
                  <c:v>38432</c:v>
                </c:pt>
                <c:pt idx="91">
                  <c:v>38463</c:v>
                </c:pt>
                <c:pt idx="92">
                  <c:v>38494</c:v>
                </c:pt>
                <c:pt idx="93">
                  <c:v>38525</c:v>
                </c:pt>
                <c:pt idx="94">
                  <c:v>38556</c:v>
                </c:pt>
                <c:pt idx="95">
                  <c:v>38587</c:v>
                </c:pt>
                <c:pt idx="96">
                  <c:v>38618</c:v>
                </c:pt>
                <c:pt idx="97">
                  <c:v>38649</c:v>
                </c:pt>
                <c:pt idx="98">
                  <c:v>38680</c:v>
                </c:pt>
                <c:pt idx="99">
                  <c:v>38711</c:v>
                </c:pt>
                <c:pt idx="100">
                  <c:v>38742</c:v>
                </c:pt>
                <c:pt idx="101">
                  <c:v>38762</c:v>
                </c:pt>
                <c:pt idx="102">
                  <c:v>38793</c:v>
                </c:pt>
                <c:pt idx="103">
                  <c:v>38824</c:v>
                </c:pt>
                <c:pt idx="104">
                  <c:v>38855</c:v>
                </c:pt>
                <c:pt idx="105">
                  <c:v>38886</c:v>
                </c:pt>
                <c:pt idx="106">
                  <c:v>38917</c:v>
                </c:pt>
                <c:pt idx="107">
                  <c:v>38948</c:v>
                </c:pt>
                <c:pt idx="108">
                  <c:v>38979</c:v>
                </c:pt>
                <c:pt idx="109">
                  <c:v>39010</c:v>
                </c:pt>
                <c:pt idx="110">
                  <c:v>39041</c:v>
                </c:pt>
                <c:pt idx="111">
                  <c:v>39072</c:v>
                </c:pt>
                <c:pt idx="112">
                  <c:v>39103</c:v>
                </c:pt>
                <c:pt idx="113">
                  <c:v>39134</c:v>
                </c:pt>
                <c:pt idx="114">
                  <c:v>39165</c:v>
                </c:pt>
                <c:pt idx="115">
                  <c:v>39196</c:v>
                </c:pt>
                <c:pt idx="116">
                  <c:v>39227</c:v>
                </c:pt>
                <c:pt idx="117">
                  <c:v>39258</c:v>
                </c:pt>
                <c:pt idx="118">
                  <c:v>39289</c:v>
                </c:pt>
                <c:pt idx="119">
                  <c:v>39320</c:v>
                </c:pt>
                <c:pt idx="120">
                  <c:v>39351</c:v>
                </c:pt>
                <c:pt idx="121">
                  <c:v>39382</c:v>
                </c:pt>
                <c:pt idx="122">
                  <c:v>39413</c:v>
                </c:pt>
                <c:pt idx="123">
                  <c:v>39444</c:v>
                </c:pt>
                <c:pt idx="124">
                  <c:v>39475</c:v>
                </c:pt>
                <c:pt idx="125">
                  <c:v>39506</c:v>
                </c:pt>
                <c:pt idx="126">
                  <c:v>39537</c:v>
                </c:pt>
                <c:pt idx="127">
                  <c:v>39568</c:v>
                </c:pt>
                <c:pt idx="128">
                  <c:v>39599</c:v>
                </c:pt>
                <c:pt idx="129">
                  <c:v>39619</c:v>
                </c:pt>
                <c:pt idx="130">
                  <c:v>39650</c:v>
                </c:pt>
                <c:pt idx="131">
                  <c:v>39681</c:v>
                </c:pt>
                <c:pt idx="132">
                  <c:v>39712</c:v>
                </c:pt>
                <c:pt idx="133">
                  <c:v>39743</c:v>
                </c:pt>
                <c:pt idx="134">
                  <c:v>39774</c:v>
                </c:pt>
                <c:pt idx="135">
                  <c:v>39805</c:v>
                </c:pt>
                <c:pt idx="136">
                  <c:v>39836</c:v>
                </c:pt>
                <c:pt idx="137">
                  <c:v>39867</c:v>
                </c:pt>
                <c:pt idx="138">
                  <c:v>39898</c:v>
                </c:pt>
              </c:strCache>
            </c:strRef>
          </c:cat>
          <c:val>
            <c:numRef>
              <c:f>'Weekly Data'!$AE$7:$AE$145</c:f>
              <c:numCache>
                <c:ptCount val="139"/>
                <c:pt idx="37">
                  <c:v>2025</c:v>
                </c:pt>
                <c:pt idx="38">
                  <c:v>3835</c:v>
                </c:pt>
                <c:pt idx="39">
                  <c:v>300</c:v>
                </c:pt>
                <c:pt idx="40">
                  <c:v>2675</c:v>
                </c:pt>
                <c:pt idx="41">
                  <c:v>6892.5</c:v>
                </c:pt>
                <c:pt idx="42">
                  <c:v>3740</c:v>
                </c:pt>
                <c:pt idx="43">
                  <c:v>2837</c:v>
                </c:pt>
                <c:pt idx="44">
                  <c:v>1450</c:v>
                </c:pt>
                <c:pt idx="45">
                  <c:v>4605</c:v>
                </c:pt>
                <c:pt idx="46">
                  <c:v>3958.75</c:v>
                </c:pt>
                <c:pt idx="47">
                  <c:v>0</c:v>
                </c:pt>
                <c:pt idx="48">
                  <c:v>0</c:v>
                </c:pt>
                <c:pt idx="49">
                  <c:v>5385</c:v>
                </c:pt>
                <c:pt idx="50">
                  <c:v>7170</c:v>
                </c:pt>
                <c:pt idx="51">
                  <c:v>5777.5</c:v>
                </c:pt>
                <c:pt idx="52">
                  <c:v>8938.75</c:v>
                </c:pt>
                <c:pt idx="53">
                  <c:v>23752.75</c:v>
                </c:pt>
                <c:pt idx="54">
                  <c:v>5900</c:v>
                </c:pt>
                <c:pt idx="55">
                  <c:v>7702.5</c:v>
                </c:pt>
                <c:pt idx="56">
                  <c:v>10191.25</c:v>
                </c:pt>
                <c:pt idx="57">
                  <c:v>13085</c:v>
                </c:pt>
                <c:pt idx="58">
                  <c:v>18186.24</c:v>
                </c:pt>
                <c:pt idx="59">
                  <c:v>1150</c:v>
                </c:pt>
                <c:pt idx="60">
                  <c:v>9767.5</c:v>
                </c:pt>
                <c:pt idx="61">
                  <c:v>9834.5</c:v>
                </c:pt>
                <c:pt idx="62">
                  <c:v>13987.5</c:v>
                </c:pt>
                <c:pt idx="63">
                  <c:v>4062.5</c:v>
                </c:pt>
                <c:pt idx="64">
                  <c:v>13965</c:v>
                </c:pt>
                <c:pt idx="65">
                  <c:v>20712.5</c:v>
                </c:pt>
                <c:pt idx="66">
                  <c:v>14966.24</c:v>
                </c:pt>
                <c:pt idx="67">
                  <c:v>1225</c:v>
                </c:pt>
                <c:pt idx="68">
                  <c:v>9355</c:v>
                </c:pt>
                <c:pt idx="69">
                  <c:v>18693</c:v>
                </c:pt>
                <c:pt idx="70">
                  <c:v>23622.5</c:v>
                </c:pt>
                <c:pt idx="71">
                  <c:v>2450</c:v>
                </c:pt>
                <c:pt idx="72">
                  <c:v>10723.5</c:v>
                </c:pt>
                <c:pt idx="73">
                  <c:v>12057</c:v>
                </c:pt>
                <c:pt idx="74">
                  <c:v>11032.5</c:v>
                </c:pt>
                <c:pt idx="75">
                  <c:v>11032.5</c:v>
                </c:pt>
                <c:pt idx="76">
                  <c:v>18000</c:v>
                </c:pt>
                <c:pt idx="77">
                  <c:v>27217.5</c:v>
                </c:pt>
                <c:pt idx="78">
                  <c:v>29830</c:v>
                </c:pt>
                <c:pt idx="79">
                  <c:v>1712</c:v>
                </c:pt>
                <c:pt idx="80">
                  <c:v>24026.25</c:v>
                </c:pt>
                <c:pt idx="81">
                  <c:v>9060</c:v>
                </c:pt>
                <c:pt idx="82">
                  <c:v>38780</c:v>
                </c:pt>
                <c:pt idx="83">
                  <c:v>500</c:v>
                </c:pt>
                <c:pt idx="84">
                  <c:v>2540</c:v>
                </c:pt>
                <c:pt idx="85">
                  <c:v>31472.5</c:v>
                </c:pt>
                <c:pt idx="86">
                  <c:v>19413</c:v>
                </c:pt>
                <c:pt idx="87">
                  <c:v>19523</c:v>
                </c:pt>
                <c:pt idx="88">
                  <c:v>17535</c:v>
                </c:pt>
                <c:pt idx="89">
                  <c:v>22525</c:v>
                </c:pt>
                <c:pt idx="90">
                  <c:v>41216.5</c:v>
                </c:pt>
                <c:pt idx="91">
                  <c:v>4535</c:v>
                </c:pt>
                <c:pt idx="92">
                  <c:v>30377.5</c:v>
                </c:pt>
                <c:pt idx="93">
                  <c:v>34605.5</c:v>
                </c:pt>
                <c:pt idx="94">
                  <c:v>30738.5</c:v>
                </c:pt>
                <c:pt idx="95">
                  <c:v>3105</c:v>
                </c:pt>
                <c:pt idx="96">
                  <c:v>22284.12</c:v>
                </c:pt>
                <c:pt idx="97">
                  <c:v>24180</c:v>
                </c:pt>
                <c:pt idx="98">
                  <c:v>21692</c:v>
                </c:pt>
                <c:pt idx="99">
                  <c:v>19880</c:v>
                </c:pt>
                <c:pt idx="100">
                  <c:v>31098.63</c:v>
                </c:pt>
                <c:pt idx="101">
                  <c:v>20995</c:v>
                </c:pt>
                <c:pt idx="102">
                  <c:v>42427</c:v>
                </c:pt>
                <c:pt idx="103">
                  <c:v>18672.5</c:v>
                </c:pt>
                <c:pt idx="104">
                  <c:v>30103</c:v>
                </c:pt>
                <c:pt idx="105">
                  <c:v>27780</c:v>
                </c:pt>
                <c:pt idx="106">
                  <c:v>26940.5</c:v>
                </c:pt>
                <c:pt idx="107">
                  <c:v>3445</c:v>
                </c:pt>
                <c:pt idx="108">
                  <c:v>12642</c:v>
                </c:pt>
                <c:pt idx="109">
                  <c:v>16767.5</c:v>
                </c:pt>
                <c:pt idx="110">
                  <c:v>45836</c:v>
                </c:pt>
                <c:pt idx="111">
                  <c:v>34908.740000000005</c:v>
                </c:pt>
                <c:pt idx="112">
                  <c:v>39335.77</c:v>
                </c:pt>
                <c:pt idx="113">
                  <c:v>23723</c:v>
                </c:pt>
                <c:pt idx="114">
                  <c:v>19430</c:v>
                </c:pt>
                <c:pt idx="115">
                  <c:v>20944.5</c:v>
                </c:pt>
                <c:pt idx="116">
                  <c:v>23374.5</c:v>
                </c:pt>
                <c:pt idx="117">
                  <c:v>25160.5</c:v>
                </c:pt>
                <c:pt idx="118">
                  <c:v>22503.5</c:v>
                </c:pt>
                <c:pt idx="119">
                  <c:v>2325</c:v>
                </c:pt>
                <c:pt idx="120">
                  <c:v>26287.34</c:v>
                </c:pt>
                <c:pt idx="121">
                  <c:v>29301.14</c:v>
                </c:pt>
                <c:pt idx="122">
                  <c:v>33165</c:v>
                </c:pt>
                <c:pt idx="123">
                  <c:v>2914.15</c:v>
                </c:pt>
                <c:pt idx="124">
                  <c:v>29634</c:v>
                </c:pt>
                <c:pt idx="125">
                  <c:v>80545.5</c:v>
                </c:pt>
                <c:pt idx="126">
                  <c:v>50883.5</c:v>
                </c:pt>
                <c:pt idx="127">
                  <c:v>31816</c:v>
                </c:pt>
                <c:pt idx="128">
                  <c:v>58342.5</c:v>
                </c:pt>
                <c:pt idx="129">
                  <c:v>12257.5</c:v>
                </c:pt>
                <c:pt idx="130">
                  <c:v>44494.25</c:v>
                </c:pt>
                <c:pt idx="131">
                  <c:v>2610</c:v>
                </c:pt>
                <c:pt idx="132">
                  <c:v>46592.5</c:v>
                </c:pt>
                <c:pt idx="133">
                  <c:v>45207.5</c:v>
                </c:pt>
                <c:pt idx="134">
                  <c:v>35138.25</c:v>
                </c:pt>
                <c:pt idx="135">
                  <c:v>29917.5</c:v>
                </c:pt>
                <c:pt idx="136">
                  <c:v>37759</c:v>
                </c:pt>
                <c:pt idx="137">
                  <c:v>42555</c:v>
                </c:pt>
                <c:pt idx="138">
                  <c:v>73413</c:v>
                </c:pt>
              </c:numCache>
            </c:numRef>
          </c:val>
          <c:smooth val="0"/>
        </c:ser>
        <c:axId val="26825953"/>
        <c:axId val="40106986"/>
      </c:line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06986"/>
        <c:crosses val="autoZero"/>
        <c:auto val="0"/>
        <c:lblOffset val="100"/>
        <c:tickLblSkip val="3"/>
        <c:noMultiLvlLbl val="0"/>
      </c:catAx>
      <c:valAx>
        <c:axId val="401069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259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Total Monthly Sales v Previous Years</a:t>
            </a:r>
          </a:p>
        </c:rich>
      </c:tx>
      <c:layout/>
      <c:spPr>
        <a:noFill/>
        <a:ln>
          <a:noFill/>
        </a:ln>
      </c:spPr>
    </c:title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19"/>
          <c:y val="0.1275"/>
          <c:w val="0.8535"/>
          <c:h val="0.846"/>
        </c:manualLayout>
      </c:layout>
      <c:bar3DChart>
        <c:barDir val="col"/>
        <c:grouping val="standard"/>
        <c:varyColors val="0"/>
        <c:ser>
          <c:idx val="0"/>
          <c:order val="0"/>
          <c:tx>
            <c:v>1997/1998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Data'!$AJ$7:$AJ$18</c:f>
              <c:numCache>
                <c:ptCount val="12"/>
                <c:pt idx="0">
                  <c:v>250</c:v>
                </c:pt>
                <c:pt idx="1">
                  <c:v>800</c:v>
                </c:pt>
                <c:pt idx="2">
                  <c:v>1560</c:v>
                </c:pt>
                <c:pt idx="3">
                  <c:v>2205</c:v>
                </c:pt>
                <c:pt idx="4">
                  <c:v>2960</c:v>
                </c:pt>
                <c:pt idx="5">
                  <c:v>1505</c:v>
                </c:pt>
                <c:pt idx="6">
                  <c:v>2335</c:v>
                </c:pt>
                <c:pt idx="7">
                  <c:v>975</c:v>
                </c:pt>
                <c:pt idx="8">
                  <c:v>2335</c:v>
                </c:pt>
                <c:pt idx="9">
                  <c:v>4290</c:v>
                </c:pt>
                <c:pt idx="10">
                  <c:v>2010</c:v>
                </c:pt>
                <c:pt idx="11">
                  <c:v>975</c:v>
                </c:pt>
              </c:numCache>
            </c:numRef>
          </c:val>
          <c:shape val="box"/>
        </c:ser>
        <c:ser>
          <c:idx val="1"/>
          <c:order val="1"/>
          <c:tx>
            <c:v>1998/1999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Data'!$AJ$19:$AJ$30</c:f>
              <c:numCache>
                <c:ptCount val="12"/>
                <c:pt idx="0">
                  <c:v>3905</c:v>
                </c:pt>
                <c:pt idx="1">
                  <c:v>2510</c:v>
                </c:pt>
                <c:pt idx="2">
                  <c:v>2892</c:v>
                </c:pt>
                <c:pt idx="3">
                  <c:v>1240</c:v>
                </c:pt>
                <c:pt idx="4">
                  <c:v>2785</c:v>
                </c:pt>
                <c:pt idx="5">
                  <c:v>1760</c:v>
                </c:pt>
                <c:pt idx="6">
                  <c:v>1665</c:v>
                </c:pt>
                <c:pt idx="7">
                  <c:v>550</c:v>
                </c:pt>
                <c:pt idx="8">
                  <c:v>2375</c:v>
                </c:pt>
                <c:pt idx="9">
                  <c:v>6010</c:v>
                </c:pt>
                <c:pt idx="10">
                  <c:v>3555</c:v>
                </c:pt>
                <c:pt idx="11">
                  <c:v>1645</c:v>
                </c:pt>
              </c:numCache>
            </c:numRef>
          </c:val>
          <c:shape val="box"/>
        </c:ser>
        <c:ser>
          <c:idx val="2"/>
          <c:order val="2"/>
          <c:tx>
            <c:v>1999/2000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Data'!$AJ$31:$AJ$42</c:f>
              <c:numCache>
                <c:ptCount val="12"/>
                <c:pt idx="0">
                  <c:v>3715</c:v>
                </c:pt>
                <c:pt idx="1">
                  <c:v>2055</c:v>
                </c:pt>
                <c:pt idx="2">
                  <c:v>4765</c:v>
                </c:pt>
                <c:pt idx="3">
                  <c:v>1045</c:v>
                </c:pt>
                <c:pt idx="4">
                  <c:v>2760</c:v>
                </c:pt>
                <c:pt idx="5">
                  <c:v>875</c:v>
                </c:pt>
                <c:pt idx="6">
                  <c:v>3505</c:v>
                </c:pt>
                <c:pt idx="7">
                  <c:v>9041</c:v>
                </c:pt>
                <c:pt idx="8">
                  <c:v>7879</c:v>
                </c:pt>
                <c:pt idx="9">
                  <c:v>13960</c:v>
                </c:pt>
                <c:pt idx="10">
                  <c:v>11144</c:v>
                </c:pt>
                <c:pt idx="11">
                  <c:v>1510</c:v>
                </c:pt>
              </c:numCache>
            </c:numRef>
          </c:val>
          <c:shape val="box"/>
        </c:ser>
        <c:ser>
          <c:idx val="3"/>
          <c:order val="3"/>
          <c:tx>
            <c:v>2000/2001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Data'!$AJ$43:$AJ$54</c:f>
              <c:numCache>
                <c:ptCount val="12"/>
                <c:pt idx="0">
                  <c:v>4847.68</c:v>
                </c:pt>
                <c:pt idx="1">
                  <c:v>9321</c:v>
                </c:pt>
                <c:pt idx="2">
                  <c:v>11421</c:v>
                </c:pt>
                <c:pt idx="3">
                  <c:v>4000</c:v>
                </c:pt>
                <c:pt idx="4">
                  <c:v>12245</c:v>
                </c:pt>
                <c:pt idx="5">
                  <c:v>14552.5</c:v>
                </c:pt>
                <c:pt idx="6">
                  <c:v>17010</c:v>
                </c:pt>
                <c:pt idx="7">
                  <c:v>6426</c:v>
                </c:pt>
                <c:pt idx="8">
                  <c:v>3210</c:v>
                </c:pt>
                <c:pt idx="9">
                  <c:v>12921</c:v>
                </c:pt>
                <c:pt idx="10">
                  <c:v>6948.75</c:v>
                </c:pt>
                <c:pt idx="11">
                  <c:v>555</c:v>
                </c:pt>
              </c:numCache>
            </c:numRef>
          </c:val>
          <c:shape val="box"/>
        </c:ser>
        <c:ser>
          <c:idx val="4"/>
          <c:order val="4"/>
          <c:tx>
            <c:v>2001/2002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Data'!$AJ$55:$AJ$66</c:f>
              <c:numCache>
                <c:ptCount val="12"/>
                <c:pt idx="0">
                  <c:v>9840</c:v>
                </c:pt>
                <c:pt idx="1">
                  <c:v>11180</c:v>
                </c:pt>
                <c:pt idx="2">
                  <c:v>15612</c:v>
                </c:pt>
                <c:pt idx="3">
                  <c:v>9949.5</c:v>
                </c:pt>
                <c:pt idx="4">
                  <c:v>14326.75</c:v>
                </c:pt>
                <c:pt idx="5">
                  <c:v>34326.75</c:v>
                </c:pt>
                <c:pt idx="6">
                  <c:v>13627.5</c:v>
                </c:pt>
                <c:pt idx="7">
                  <c:v>13894.65</c:v>
                </c:pt>
                <c:pt idx="8">
                  <c:v>19378.25</c:v>
                </c:pt>
                <c:pt idx="9">
                  <c:v>22390</c:v>
                </c:pt>
                <c:pt idx="10">
                  <c:v>35351.240000000005</c:v>
                </c:pt>
                <c:pt idx="11">
                  <c:v>2605</c:v>
                </c:pt>
              </c:numCache>
            </c:numRef>
          </c:val>
          <c:shape val="box"/>
        </c:ser>
        <c:ser>
          <c:idx val="5"/>
          <c:order val="5"/>
          <c:tx>
            <c:v>2002/2003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Data'!$AJ$67:$AJ$78</c:f>
              <c:numCache>
                <c:ptCount val="12"/>
                <c:pt idx="0">
                  <c:v>18754.75</c:v>
                </c:pt>
                <c:pt idx="1">
                  <c:v>24696.75</c:v>
                </c:pt>
                <c:pt idx="2">
                  <c:v>21941.5</c:v>
                </c:pt>
                <c:pt idx="3">
                  <c:v>15617.5</c:v>
                </c:pt>
                <c:pt idx="4">
                  <c:v>22965</c:v>
                </c:pt>
                <c:pt idx="5">
                  <c:v>32659.55</c:v>
                </c:pt>
                <c:pt idx="6">
                  <c:v>25925.989999999998</c:v>
                </c:pt>
                <c:pt idx="7">
                  <c:v>4585</c:v>
                </c:pt>
                <c:pt idx="8">
                  <c:v>20297</c:v>
                </c:pt>
                <c:pt idx="9">
                  <c:v>98509.5</c:v>
                </c:pt>
                <c:pt idx="10">
                  <c:v>38897</c:v>
                </c:pt>
                <c:pt idx="11">
                  <c:v>4030</c:v>
                </c:pt>
              </c:numCache>
            </c:numRef>
          </c:val>
          <c:shape val="box"/>
        </c:ser>
        <c:ser>
          <c:idx val="6"/>
          <c:order val="6"/>
          <c:tx>
            <c:v>2003/2004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Data'!$AJ$79:$AJ$90</c:f>
              <c:numCache>
                <c:ptCount val="12"/>
                <c:pt idx="0">
                  <c:v>23078.25</c:v>
                </c:pt>
                <c:pt idx="1">
                  <c:v>24807.88</c:v>
                </c:pt>
                <c:pt idx="2">
                  <c:v>19448.5</c:v>
                </c:pt>
                <c:pt idx="3">
                  <c:v>19448.5</c:v>
                </c:pt>
                <c:pt idx="4">
                  <c:v>26416</c:v>
                </c:pt>
                <c:pt idx="5">
                  <c:v>42838.5</c:v>
                </c:pt>
                <c:pt idx="6">
                  <c:v>41674.6</c:v>
                </c:pt>
                <c:pt idx="7">
                  <c:v>5570.5</c:v>
                </c:pt>
                <c:pt idx="8">
                  <c:v>33066.25</c:v>
                </c:pt>
                <c:pt idx="9">
                  <c:v>18961.5</c:v>
                </c:pt>
                <c:pt idx="10">
                  <c:v>47013</c:v>
                </c:pt>
                <c:pt idx="11">
                  <c:v>1585</c:v>
                </c:pt>
              </c:numCache>
            </c:numRef>
          </c:val>
          <c:shape val="box"/>
        </c:ser>
        <c:ser>
          <c:idx val="7"/>
          <c:order val="7"/>
          <c:tx>
            <c:v>2004/2005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Data'!$AJ$91:$AJ$102</c:f>
              <c:numCache>
                <c:ptCount val="12"/>
                <c:pt idx="0">
                  <c:v>8882.5</c:v>
                </c:pt>
                <c:pt idx="1">
                  <c:v>48245.34</c:v>
                </c:pt>
                <c:pt idx="2">
                  <c:v>32652</c:v>
                </c:pt>
                <c:pt idx="3">
                  <c:v>27312</c:v>
                </c:pt>
                <c:pt idx="4">
                  <c:v>26407</c:v>
                </c:pt>
                <c:pt idx="5">
                  <c:v>32389</c:v>
                </c:pt>
                <c:pt idx="6">
                  <c:v>54580.4</c:v>
                </c:pt>
                <c:pt idx="7">
                  <c:v>9492</c:v>
                </c:pt>
                <c:pt idx="8">
                  <c:v>38468</c:v>
                </c:pt>
                <c:pt idx="9">
                  <c:v>47173.45</c:v>
                </c:pt>
                <c:pt idx="10">
                  <c:v>35864.5</c:v>
                </c:pt>
                <c:pt idx="11">
                  <c:v>7031</c:v>
                </c:pt>
              </c:numCache>
            </c:numRef>
          </c:val>
          <c:shape val="box"/>
        </c:ser>
        <c:ser>
          <c:idx val="8"/>
          <c:order val="8"/>
          <c:tx>
            <c:v>2005/2006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Data'!$AJ$103:$AJ$114</c:f>
              <c:numCache>
                <c:ptCount val="12"/>
                <c:pt idx="0">
                  <c:v>34954.619999999995</c:v>
                </c:pt>
                <c:pt idx="1">
                  <c:v>42824.5</c:v>
                </c:pt>
                <c:pt idx="2">
                  <c:v>29432</c:v>
                </c:pt>
                <c:pt idx="3">
                  <c:v>26038</c:v>
                </c:pt>
                <c:pt idx="4">
                  <c:v>48763.83</c:v>
                </c:pt>
                <c:pt idx="5">
                  <c:v>32372.5</c:v>
                </c:pt>
                <c:pt idx="6">
                  <c:v>65777</c:v>
                </c:pt>
                <c:pt idx="7">
                  <c:v>23768.5</c:v>
                </c:pt>
                <c:pt idx="8">
                  <c:v>41051.5</c:v>
                </c:pt>
                <c:pt idx="9">
                  <c:v>42376</c:v>
                </c:pt>
                <c:pt idx="10">
                  <c:v>38200.229999999996</c:v>
                </c:pt>
                <c:pt idx="11">
                  <c:v>5286</c:v>
                </c:pt>
              </c:numCache>
            </c:numRef>
          </c:val>
          <c:shape val="box"/>
        </c:ser>
        <c:ser>
          <c:idx val="9"/>
          <c:order val="9"/>
          <c:tx>
            <c:v>2006/2007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Data'!$AJ$115:$AJ$126</c:f>
              <c:numCache>
                <c:ptCount val="12"/>
                <c:pt idx="0">
                  <c:v>23834</c:v>
                </c:pt>
                <c:pt idx="1">
                  <c:v>31819.75</c:v>
                </c:pt>
                <c:pt idx="2">
                  <c:v>59805.5</c:v>
                </c:pt>
                <c:pt idx="3">
                  <c:v>44358.44</c:v>
                </c:pt>
                <c:pt idx="4">
                  <c:v>54899.27</c:v>
                </c:pt>
                <c:pt idx="5">
                  <c:v>35128</c:v>
                </c:pt>
                <c:pt idx="6">
                  <c:v>31135.5</c:v>
                </c:pt>
                <c:pt idx="7">
                  <c:v>24657</c:v>
                </c:pt>
                <c:pt idx="8">
                  <c:v>31768.5</c:v>
                </c:pt>
                <c:pt idx="9">
                  <c:v>30413.5</c:v>
                </c:pt>
                <c:pt idx="10">
                  <c:v>33248.78</c:v>
                </c:pt>
                <c:pt idx="11">
                  <c:v>4433</c:v>
                </c:pt>
              </c:numCache>
            </c:numRef>
          </c:val>
          <c:shape val="box"/>
        </c:ser>
        <c:ser>
          <c:idx val="10"/>
          <c:order val="10"/>
          <c:tx>
            <c:v>2007/2008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Data'!$AJ$127:$AJ$138</c:f>
              <c:numCache>
                <c:ptCount val="12"/>
                <c:pt idx="0">
                  <c:v>33682.34</c:v>
                </c:pt>
                <c:pt idx="1">
                  <c:v>38755.14</c:v>
                </c:pt>
                <c:pt idx="2">
                  <c:v>40089.25</c:v>
                </c:pt>
                <c:pt idx="3">
                  <c:v>9912.85</c:v>
                </c:pt>
                <c:pt idx="4">
                  <c:v>37996</c:v>
                </c:pt>
                <c:pt idx="5">
                  <c:v>87098.49</c:v>
                </c:pt>
                <c:pt idx="6">
                  <c:v>60719.5</c:v>
                </c:pt>
                <c:pt idx="7">
                  <c:v>40043</c:v>
                </c:pt>
                <c:pt idx="8">
                  <c:v>67054</c:v>
                </c:pt>
                <c:pt idx="9">
                  <c:v>15967</c:v>
                </c:pt>
                <c:pt idx="10">
                  <c:v>59089.369999999995</c:v>
                </c:pt>
                <c:pt idx="11">
                  <c:v>3960</c:v>
                </c:pt>
              </c:numCache>
            </c:numRef>
          </c:val>
          <c:shape val="box"/>
        </c:ser>
        <c:ser>
          <c:idx val="11"/>
          <c:order val="11"/>
          <c:tx>
            <c:v>2008/2009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Data'!$AJ$139:$AJ$150</c:f>
              <c:numCache>
                <c:ptCount val="12"/>
                <c:pt idx="0">
                  <c:v>52888</c:v>
                </c:pt>
                <c:pt idx="1">
                  <c:v>51537.5</c:v>
                </c:pt>
                <c:pt idx="2">
                  <c:v>41251.25</c:v>
                </c:pt>
                <c:pt idx="3">
                  <c:v>45034.5</c:v>
                </c:pt>
                <c:pt idx="4">
                  <c:v>46062</c:v>
                </c:pt>
                <c:pt idx="5">
                  <c:v>50490</c:v>
                </c:pt>
                <c:pt idx="6">
                  <c:v>84039.5</c:v>
                </c:pt>
                <c:pt idx="7">
                  <c:v>38592.5</c:v>
                </c:pt>
              </c:numCache>
            </c:numRef>
          </c:val>
          <c:shape val="box"/>
        </c:ser>
        <c:shape val="box"/>
        <c:axId val="25418555"/>
        <c:axId val="27440404"/>
        <c:axId val="45637045"/>
      </c:bar3DChart>
      <c:catAx>
        <c:axId val="2541855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418555"/>
        <c:crossesAt val="1"/>
        <c:crossBetween val="between"/>
        <c:dispUnits/>
      </c:valAx>
      <c:ser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4404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"/>
          <c:y val="0.324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Cumulative - Total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5"/>
          <c:w val="0.792"/>
          <c:h val="0.846"/>
        </c:manualLayout>
      </c:layout>
      <c:lineChart>
        <c:grouping val="standard"/>
        <c:varyColors val="0"/>
        <c:ser>
          <c:idx val="0"/>
          <c:order val="0"/>
          <c:tx>
            <c:v>1997/1998 - 1 Assessment Pack, 10 WorkBooks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Data'!$AK$7:$AK$18</c:f>
              <c:numCache>
                <c:ptCount val="12"/>
                <c:pt idx="0">
                  <c:v>250</c:v>
                </c:pt>
                <c:pt idx="1">
                  <c:v>1050</c:v>
                </c:pt>
                <c:pt idx="2">
                  <c:v>2710</c:v>
                </c:pt>
                <c:pt idx="3">
                  <c:v>4915</c:v>
                </c:pt>
                <c:pt idx="4">
                  <c:v>7875</c:v>
                </c:pt>
                <c:pt idx="5">
                  <c:v>9380</c:v>
                </c:pt>
                <c:pt idx="6">
                  <c:v>11715</c:v>
                </c:pt>
                <c:pt idx="7">
                  <c:v>12690</c:v>
                </c:pt>
                <c:pt idx="8">
                  <c:v>15025</c:v>
                </c:pt>
                <c:pt idx="9">
                  <c:v>19315</c:v>
                </c:pt>
                <c:pt idx="10">
                  <c:v>21325</c:v>
                </c:pt>
                <c:pt idx="11">
                  <c:v>22300</c:v>
                </c:pt>
              </c:numCache>
            </c:numRef>
          </c:val>
          <c:smooth val="0"/>
        </c:ser>
        <c:ser>
          <c:idx val="1"/>
          <c:order val="1"/>
          <c:tx>
            <c:v>1998/1999 2 Assessment Packs, 30 Work 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Data'!$AK$19:$AK$30</c:f>
              <c:numCache>
                <c:ptCount val="12"/>
                <c:pt idx="0">
                  <c:v>3905</c:v>
                </c:pt>
                <c:pt idx="1">
                  <c:v>6415</c:v>
                </c:pt>
                <c:pt idx="2">
                  <c:v>9307</c:v>
                </c:pt>
                <c:pt idx="3">
                  <c:v>10547</c:v>
                </c:pt>
                <c:pt idx="4">
                  <c:v>13332</c:v>
                </c:pt>
                <c:pt idx="5">
                  <c:v>15092</c:v>
                </c:pt>
                <c:pt idx="6">
                  <c:v>16757</c:v>
                </c:pt>
                <c:pt idx="7">
                  <c:v>17307</c:v>
                </c:pt>
                <c:pt idx="8">
                  <c:v>19682</c:v>
                </c:pt>
                <c:pt idx="9">
                  <c:v>25629</c:v>
                </c:pt>
                <c:pt idx="10">
                  <c:v>29184</c:v>
                </c:pt>
                <c:pt idx="11">
                  <c:v>30829</c:v>
                </c:pt>
              </c:numCache>
            </c:numRef>
          </c:val>
          <c:smooth val="0"/>
        </c:ser>
        <c:ser>
          <c:idx val="2"/>
          <c:order val="2"/>
          <c:tx>
            <c:v>1999/2000 - 2&gt;3 Assessment Packs, 50 Work 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Data'!$AK$31:$AK$42</c:f>
              <c:numCache>
                <c:ptCount val="12"/>
                <c:pt idx="0">
                  <c:v>3715</c:v>
                </c:pt>
                <c:pt idx="1">
                  <c:v>5770</c:v>
                </c:pt>
                <c:pt idx="2">
                  <c:v>10535</c:v>
                </c:pt>
                <c:pt idx="3">
                  <c:v>11580</c:v>
                </c:pt>
                <c:pt idx="4">
                  <c:v>14340</c:v>
                </c:pt>
                <c:pt idx="5">
                  <c:v>15215</c:v>
                </c:pt>
                <c:pt idx="6">
                  <c:v>18720</c:v>
                </c:pt>
                <c:pt idx="7">
                  <c:v>27761</c:v>
                </c:pt>
                <c:pt idx="8">
                  <c:v>35640</c:v>
                </c:pt>
                <c:pt idx="9">
                  <c:v>49600</c:v>
                </c:pt>
                <c:pt idx="10">
                  <c:v>60744</c:v>
                </c:pt>
                <c:pt idx="11">
                  <c:v>62254</c:v>
                </c:pt>
              </c:numCache>
            </c:numRef>
          </c:val>
          <c:smooth val="0"/>
        </c:ser>
        <c:ser>
          <c:idx val="3"/>
          <c:order val="3"/>
          <c:tx>
            <c:v>2000/2001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Data'!$AK$43:$AK$54</c:f>
              <c:numCache>
                <c:ptCount val="12"/>
                <c:pt idx="0">
                  <c:v>4847.68</c:v>
                </c:pt>
                <c:pt idx="1">
                  <c:v>14168.68</c:v>
                </c:pt>
                <c:pt idx="2">
                  <c:v>25589.68</c:v>
                </c:pt>
                <c:pt idx="3">
                  <c:v>29589.68</c:v>
                </c:pt>
                <c:pt idx="4">
                  <c:v>41834.68</c:v>
                </c:pt>
                <c:pt idx="5">
                  <c:v>56387.18</c:v>
                </c:pt>
                <c:pt idx="6">
                  <c:v>73397.18</c:v>
                </c:pt>
                <c:pt idx="7">
                  <c:v>79823.18</c:v>
                </c:pt>
                <c:pt idx="8">
                  <c:v>83033.18</c:v>
                </c:pt>
                <c:pt idx="9">
                  <c:v>95954.18</c:v>
                </c:pt>
                <c:pt idx="10">
                  <c:v>102902.93</c:v>
                </c:pt>
                <c:pt idx="11">
                  <c:v>103457.93</c:v>
                </c:pt>
              </c:numCache>
            </c:numRef>
          </c:val>
          <c:smooth val="0"/>
        </c:ser>
        <c:ser>
          <c:idx val="4"/>
          <c:order val="4"/>
          <c:tx>
            <c:v>2001/2002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Data'!$AK$55:$AK$66</c:f>
              <c:numCache>
                <c:ptCount val="12"/>
                <c:pt idx="0">
                  <c:v>9840</c:v>
                </c:pt>
                <c:pt idx="1">
                  <c:v>21020</c:v>
                </c:pt>
                <c:pt idx="2">
                  <c:v>36632</c:v>
                </c:pt>
                <c:pt idx="3">
                  <c:v>46581.5</c:v>
                </c:pt>
                <c:pt idx="4">
                  <c:v>60908.25</c:v>
                </c:pt>
                <c:pt idx="5">
                  <c:v>95235</c:v>
                </c:pt>
                <c:pt idx="6">
                  <c:v>108862.5</c:v>
                </c:pt>
                <c:pt idx="7">
                  <c:v>122757.15</c:v>
                </c:pt>
                <c:pt idx="8">
                  <c:v>142135.4</c:v>
                </c:pt>
                <c:pt idx="9">
                  <c:v>164525.4</c:v>
                </c:pt>
                <c:pt idx="10">
                  <c:v>199876.64</c:v>
                </c:pt>
                <c:pt idx="11">
                  <c:v>202481.64</c:v>
                </c:pt>
              </c:numCache>
            </c:numRef>
          </c:val>
          <c:smooth val="0"/>
        </c:ser>
        <c:ser>
          <c:idx val="5"/>
          <c:order val="5"/>
          <c:tx>
            <c:v>2002/2003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Data'!$AK$67:$AK$78</c:f>
              <c:numCache>
                <c:ptCount val="12"/>
                <c:pt idx="0">
                  <c:v>18754.75</c:v>
                </c:pt>
                <c:pt idx="1">
                  <c:v>43451.5</c:v>
                </c:pt>
                <c:pt idx="2">
                  <c:v>65393</c:v>
                </c:pt>
                <c:pt idx="3">
                  <c:v>81010.5</c:v>
                </c:pt>
                <c:pt idx="4">
                  <c:v>103975.5</c:v>
                </c:pt>
                <c:pt idx="5">
                  <c:v>136635.05</c:v>
                </c:pt>
                <c:pt idx="6">
                  <c:v>162561.03999999998</c:v>
                </c:pt>
                <c:pt idx="7">
                  <c:v>167146.03999999998</c:v>
                </c:pt>
                <c:pt idx="8">
                  <c:v>187443.03999999998</c:v>
                </c:pt>
                <c:pt idx="9">
                  <c:v>285952.54</c:v>
                </c:pt>
                <c:pt idx="10">
                  <c:v>324849.54</c:v>
                </c:pt>
                <c:pt idx="11">
                  <c:v>328879.54</c:v>
                </c:pt>
              </c:numCache>
            </c:numRef>
          </c:val>
          <c:smooth val="0"/>
        </c:ser>
        <c:ser>
          <c:idx val="6"/>
          <c:order val="6"/>
          <c:tx>
            <c:v>2003/2004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Data'!$AK$79:$AK$90</c:f>
              <c:numCache>
                <c:ptCount val="12"/>
                <c:pt idx="0">
                  <c:v>23078.25</c:v>
                </c:pt>
                <c:pt idx="1">
                  <c:v>47886.130000000005</c:v>
                </c:pt>
                <c:pt idx="2">
                  <c:v>67334.63</c:v>
                </c:pt>
                <c:pt idx="3">
                  <c:v>86783.13</c:v>
                </c:pt>
                <c:pt idx="4">
                  <c:v>113199.13</c:v>
                </c:pt>
                <c:pt idx="5">
                  <c:v>156037.63</c:v>
                </c:pt>
                <c:pt idx="6">
                  <c:v>197712.23</c:v>
                </c:pt>
                <c:pt idx="7">
                  <c:v>203282.73</c:v>
                </c:pt>
                <c:pt idx="8">
                  <c:v>236348.98</c:v>
                </c:pt>
                <c:pt idx="9">
                  <c:v>255310.48</c:v>
                </c:pt>
                <c:pt idx="10">
                  <c:v>302323.48</c:v>
                </c:pt>
                <c:pt idx="11">
                  <c:v>303908.48</c:v>
                </c:pt>
              </c:numCache>
            </c:numRef>
          </c:val>
          <c:smooth val="0"/>
        </c:ser>
        <c:ser>
          <c:idx val="7"/>
          <c:order val="7"/>
          <c:tx>
            <c:v>2004/2005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Data'!$AK$91:$AK$102</c:f>
              <c:numCache>
                <c:ptCount val="12"/>
                <c:pt idx="0">
                  <c:v>8882.5</c:v>
                </c:pt>
                <c:pt idx="1">
                  <c:v>57127.84</c:v>
                </c:pt>
                <c:pt idx="2">
                  <c:v>89779.84</c:v>
                </c:pt>
                <c:pt idx="3">
                  <c:v>117091.84</c:v>
                </c:pt>
                <c:pt idx="4">
                  <c:v>143498.84</c:v>
                </c:pt>
                <c:pt idx="5">
                  <c:v>175887.84</c:v>
                </c:pt>
                <c:pt idx="6">
                  <c:v>230468.24</c:v>
                </c:pt>
                <c:pt idx="7">
                  <c:v>239960.24</c:v>
                </c:pt>
                <c:pt idx="8">
                  <c:v>278428.24</c:v>
                </c:pt>
                <c:pt idx="9">
                  <c:v>325601.69</c:v>
                </c:pt>
                <c:pt idx="10">
                  <c:v>361466.19</c:v>
                </c:pt>
                <c:pt idx="11">
                  <c:v>368497.19</c:v>
                </c:pt>
              </c:numCache>
            </c:numRef>
          </c:val>
          <c:smooth val="0"/>
        </c:ser>
        <c:ser>
          <c:idx val="8"/>
          <c:order val="8"/>
          <c:tx>
            <c:v>2005/2006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Data'!$AK$103:$AK$114</c:f>
              <c:numCache>
                <c:ptCount val="12"/>
                <c:pt idx="0">
                  <c:v>34954.619999999995</c:v>
                </c:pt>
                <c:pt idx="1">
                  <c:v>77779.12</c:v>
                </c:pt>
                <c:pt idx="2">
                  <c:v>107211.12</c:v>
                </c:pt>
                <c:pt idx="3">
                  <c:v>133249.12</c:v>
                </c:pt>
                <c:pt idx="4">
                  <c:v>182012.95</c:v>
                </c:pt>
                <c:pt idx="5">
                  <c:v>214385.45</c:v>
                </c:pt>
                <c:pt idx="6">
                  <c:v>280162.45</c:v>
                </c:pt>
                <c:pt idx="7">
                  <c:v>303930.95</c:v>
                </c:pt>
                <c:pt idx="8">
                  <c:v>344982.45</c:v>
                </c:pt>
                <c:pt idx="9">
                  <c:v>387358.45</c:v>
                </c:pt>
                <c:pt idx="10">
                  <c:v>425558.68</c:v>
                </c:pt>
                <c:pt idx="11">
                  <c:v>430844.68</c:v>
                </c:pt>
              </c:numCache>
            </c:numRef>
          </c:val>
          <c:smooth val="0"/>
        </c:ser>
        <c:ser>
          <c:idx val="9"/>
          <c:order val="9"/>
          <c:tx>
            <c:v>2006/2007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Data'!$AK$115:$AK$126</c:f>
              <c:numCache>
                <c:ptCount val="12"/>
                <c:pt idx="0">
                  <c:v>23834</c:v>
                </c:pt>
                <c:pt idx="1">
                  <c:v>55653.75</c:v>
                </c:pt>
                <c:pt idx="2">
                  <c:v>115459.25</c:v>
                </c:pt>
                <c:pt idx="3">
                  <c:v>159817.69</c:v>
                </c:pt>
                <c:pt idx="4">
                  <c:v>214716.96</c:v>
                </c:pt>
                <c:pt idx="5">
                  <c:v>249844.96</c:v>
                </c:pt>
                <c:pt idx="6">
                  <c:v>280980.45999999996</c:v>
                </c:pt>
                <c:pt idx="7">
                  <c:v>305637.45999999996</c:v>
                </c:pt>
                <c:pt idx="8">
                  <c:v>337405.95999999996</c:v>
                </c:pt>
                <c:pt idx="9">
                  <c:v>367819.45999999996</c:v>
                </c:pt>
                <c:pt idx="10">
                  <c:v>401068.24</c:v>
                </c:pt>
                <c:pt idx="11">
                  <c:v>405501.24</c:v>
                </c:pt>
              </c:numCache>
            </c:numRef>
          </c:val>
          <c:smooth val="0"/>
        </c:ser>
        <c:ser>
          <c:idx val="10"/>
          <c:order val="10"/>
          <c:tx>
            <c:v>2007/2008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Data'!$AK$127:$AK$138</c:f>
              <c:numCache>
                <c:ptCount val="12"/>
                <c:pt idx="0">
                  <c:v>33682.34</c:v>
                </c:pt>
                <c:pt idx="1">
                  <c:v>72437.48</c:v>
                </c:pt>
                <c:pt idx="2">
                  <c:v>112526.73</c:v>
                </c:pt>
                <c:pt idx="3">
                  <c:v>122439.58</c:v>
                </c:pt>
                <c:pt idx="4">
                  <c:v>160435.58000000002</c:v>
                </c:pt>
                <c:pt idx="5">
                  <c:v>247534.07</c:v>
                </c:pt>
                <c:pt idx="6">
                  <c:v>308253.57</c:v>
                </c:pt>
                <c:pt idx="7">
                  <c:v>348296.57</c:v>
                </c:pt>
                <c:pt idx="8">
                  <c:v>415350.57</c:v>
                </c:pt>
                <c:pt idx="9">
                  <c:v>431317.57</c:v>
                </c:pt>
                <c:pt idx="10">
                  <c:v>490406.94</c:v>
                </c:pt>
                <c:pt idx="11">
                  <c:v>494366.94</c:v>
                </c:pt>
              </c:numCache>
            </c:numRef>
          </c:val>
          <c:smooth val="0"/>
        </c:ser>
        <c:ser>
          <c:idx val="11"/>
          <c:order val="11"/>
          <c:tx>
            <c:v>2008/2009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Data'!$AK$139:$AK$150</c:f>
              <c:numCache>
                <c:ptCount val="12"/>
                <c:pt idx="0">
                  <c:v>52888</c:v>
                </c:pt>
                <c:pt idx="1">
                  <c:v>104425.5</c:v>
                </c:pt>
                <c:pt idx="2">
                  <c:v>145676.75</c:v>
                </c:pt>
                <c:pt idx="3">
                  <c:v>190711.25</c:v>
                </c:pt>
                <c:pt idx="4">
                  <c:v>236773.25</c:v>
                </c:pt>
                <c:pt idx="5">
                  <c:v>287263.25</c:v>
                </c:pt>
                <c:pt idx="6">
                  <c:v>371302.75</c:v>
                </c:pt>
                <c:pt idx="7">
                  <c:v>409895.25</c:v>
                </c:pt>
              </c:numCache>
            </c:numRef>
          </c:val>
          <c:smooth val="0"/>
        </c:ser>
        <c:axId val="8080222"/>
        <c:axId val="5613135"/>
      </c:lineChart>
      <c:catAx>
        <c:axId val="808022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13135"/>
        <c:crosses val="autoZero"/>
        <c:auto val="0"/>
        <c:lblOffset val="100"/>
        <c:noMultiLvlLbl val="0"/>
      </c:catAx>
      <c:valAx>
        <c:axId val="5613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08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555"/>
          <c:w val="0.16725"/>
          <c:h val="0.66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School Year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Assessment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Data'!$R$139:$R$150</c:f>
              <c:strCache>
                <c:ptCount val="12"/>
                <c:pt idx="0">
                  <c:v>39712</c:v>
                </c:pt>
                <c:pt idx="1">
                  <c:v>39743</c:v>
                </c:pt>
                <c:pt idx="2">
                  <c:v>39774</c:v>
                </c:pt>
                <c:pt idx="3">
                  <c:v>39805</c:v>
                </c:pt>
                <c:pt idx="4">
                  <c:v>39836</c:v>
                </c:pt>
                <c:pt idx="5">
                  <c:v>39867</c:v>
                </c:pt>
                <c:pt idx="6">
                  <c:v>39898</c:v>
                </c:pt>
                <c:pt idx="7">
                  <c:v>39929</c:v>
                </c:pt>
                <c:pt idx="8">
                  <c:v>39960</c:v>
                </c:pt>
                <c:pt idx="9">
                  <c:v>39991</c:v>
                </c:pt>
                <c:pt idx="10">
                  <c:v>40022</c:v>
                </c:pt>
                <c:pt idx="11">
                  <c:v>40053</c:v>
                </c:pt>
              </c:strCache>
            </c:strRef>
          </c:cat>
          <c:val>
            <c:numRef>
              <c:f>'Weekly Data'!$W$139:$W$150</c:f>
              <c:numCache>
                <c:ptCount val="12"/>
                <c:pt idx="0">
                  <c:v>3680</c:v>
                </c:pt>
                <c:pt idx="1">
                  <c:v>7070</c:v>
                </c:pt>
                <c:pt idx="2">
                  <c:v>10545</c:v>
                </c:pt>
                <c:pt idx="3">
                  <c:v>12665</c:v>
                </c:pt>
                <c:pt idx="4">
                  <c:v>18125</c:v>
                </c:pt>
                <c:pt idx="5">
                  <c:v>22005</c:v>
                </c:pt>
                <c:pt idx="6">
                  <c:v>25165</c:v>
                </c:pt>
                <c:pt idx="7">
                  <c:v>26780</c:v>
                </c:pt>
              </c:numCache>
            </c:numRef>
          </c:val>
          <c:smooth val="0"/>
        </c:ser>
        <c:ser>
          <c:idx val="1"/>
          <c:order val="1"/>
          <c:tx>
            <c:v>Workbooks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Data'!$R$139:$R$150</c:f>
              <c:strCache>
                <c:ptCount val="12"/>
                <c:pt idx="0">
                  <c:v>39712</c:v>
                </c:pt>
                <c:pt idx="1">
                  <c:v>39743</c:v>
                </c:pt>
                <c:pt idx="2">
                  <c:v>39774</c:v>
                </c:pt>
                <c:pt idx="3">
                  <c:v>39805</c:v>
                </c:pt>
                <c:pt idx="4">
                  <c:v>39836</c:v>
                </c:pt>
                <c:pt idx="5">
                  <c:v>39867</c:v>
                </c:pt>
                <c:pt idx="6">
                  <c:v>39898</c:v>
                </c:pt>
                <c:pt idx="7">
                  <c:v>39929</c:v>
                </c:pt>
                <c:pt idx="8">
                  <c:v>39960</c:v>
                </c:pt>
                <c:pt idx="9">
                  <c:v>39991</c:v>
                </c:pt>
                <c:pt idx="10">
                  <c:v>40022</c:v>
                </c:pt>
                <c:pt idx="11">
                  <c:v>40053</c:v>
                </c:pt>
              </c:strCache>
            </c:strRef>
          </c:cat>
          <c:val>
            <c:numRef>
              <c:f>'Weekly Data'!$AB$139:$AB$150</c:f>
              <c:numCache>
                <c:ptCount val="12"/>
                <c:pt idx="0">
                  <c:v>2615.5</c:v>
                </c:pt>
                <c:pt idx="1">
                  <c:v>5555.5</c:v>
                </c:pt>
                <c:pt idx="2">
                  <c:v>7943.5</c:v>
                </c:pt>
                <c:pt idx="3">
                  <c:v>10440.5</c:v>
                </c:pt>
                <c:pt idx="4">
                  <c:v>13283.5</c:v>
                </c:pt>
                <c:pt idx="5">
                  <c:v>16438.5</c:v>
                </c:pt>
                <c:pt idx="6">
                  <c:v>18905</c:v>
                </c:pt>
                <c:pt idx="7">
                  <c:v>19255</c:v>
                </c:pt>
              </c:numCache>
            </c:numRef>
          </c:val>
          <c:smooth val="0"/>
        </c:ser>
        <c:ser>
          <c:idx val="2"/>
          <c:order val="2"/>
          <c:tx>
            <c:v>CD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Data'!$R$139:$R$150</c:f>
              <c:strCache>
                <c:ptCount val="12"/>
                <c:pt idx="0">
                  <c:v>39712</c:v>
                </c:pt>
                <c:pt idx="1">
                  <c:v>39743</c:v>
                </c:pt>
                <c:pt idx="2">
                  <c:v>39774</c:v>
                </c:pt>
                <c:pt idx="3">
                  <c:v>39805</c:v>
                </c:pt>
                <c:pt idx="4">
                  <c:v>39836</c:v>
                </c:pt>
                <c:pt idx="5">
                  <c:v>39867</c:v>
                </c:pt>
                <c:pt idx="6">
                  <c:v>39898</c:v>
                </c:pt>
                <c:pt idx="7">
                  <c:v>39929</c:v>
                </c:pt>
                <c:pt idx="8">
                  <c:v>39960</c:v>
                </c:pt>
                <c:pt idx="9">
                  <c:v>39991</c:v>
                </c:pt>
                <c:pt idx="10">
                  <c:v>40022</c:v>
                </c:pt>
                <c:pt idx="11">
                  <c:v>40053</c:v>
                </c:pt>
              </c:strCache>
            </c:strRef>
          </c:cat>
          <c:val>
            <c:numRef>
              <c:f>'Weekly Data'!$AG$139:$AG$150</c:f>
              <c:numCache>
                <c:ptCount val="12"/>
                <c:pt idx="0">
                  <c:v>46592.5</c:v>
                </c:pt>
                <c:pt idx="1">
                  <c:v>91800</c:v>
                </c:pt>
                <c:pt idx="2">
                  <c:v>126938.25</c:v>
                </c:pt>
                <c:pt idx="3">
                  <c:v>156855.75</c:v>
                </c:pt>
                <c:pt idx="4">
                  <c:v>194614.75</c:v>
                </c:pt>
                <c:pt idx="5">
                  <c:v>237169.75</c:v>
                </c:pt>
                <c:pt idx="6">
                  <c:v>310582.75</c:v>
                </c:pt>
                <c:pt idx="7">
                  <c:v>346910.25</c:v>
                </c:pt>
              </c:numCache>
            </c:numRef>
          </c:val>
          <c:smooth val="0"/>
        </c:ser>
        <c:axId val="50518216"/>
        <c:axId val="52010761"/>
      </c:line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0761"/>
        <c:crosses val="autoZero"/>
        <c:auto val="0"/>
        <c:lblOffset val="100"/>
        <c:noMultiLvlLbl val="0"/>
      </c:catAx>
      <c:valAx>
        <c:axId val="52010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18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Cumulative - Sales of CD Assessment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175"/>
          <c:w val="0.8225"/>
          <c:h val="0.856"/>
        </c:manualLayout>
      </c:layout>
      <c:lineChart>
        <c:grouping val="standard"/>
        <c:varyColors val="0"/>
        <c:ser>
          <c:idx val="3"/>
          <c:order val="0"/>
          <c:tx>
            <c:v>2000/2001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Data'!$AG$43:$AG$54</c:f>
              <c:numCache>
                <c:ptCount val="12"/>
                <c:pt idx="0">
                  <c:v>0</c:v>
                </c:pt>
                <c:pt idx="1">
                  <c:v>2025</c:v>
                </c:pt>
                <c:pt idx="2">
                  <c:v>5860</c:v>
                </c:pt>
                <c:pt idx="3">
                  <c:v>6160</c:v>
                </c:pt>
                <c:pt idx="4">
                  <c:v>8835</c:v>
                </c:pt>
                <c:pt idx="5">
                  <c:v>15727.5</c:v>
                </c:pt>
                <c:pt idx="6">
                  <c:v>19467.5</c:v>
                </c:pt>
                <c:pt idx="7">
                  <c:v>22304.5</c:v>
                </c:pt>
                <c:pt idx="8">
                  <c:v>23754.5</c:v>
                </c:pt>
                <c:pt idx="9">
                  <c:v>28359.5</c:v>
                </c:pt>
                <c:pt idx="10">
                  <c:v>32318.25</c:v>
                </c:pt>
                <c:pt idx="11">
                  <c:v>32318.25</c:v>
                </c:pt>
              </c:numCache>
            </c:numRef>
          </c:val>
          <c:smooth val="0"/>
        </c:ser>
        <c:ser>
          <c:idx val="4"/>
          <c:order val="1"/>
          <c:tx>
            <c:v>2001/2002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Data'!$AG$55:$AG$66</c:f>
              <c:numCache>
                <c:ptCount val="12"/>
                <c:pt idx="0">
                  <c:v>0</c:v>
                </c:pt>
                <c:pt idx="1">
                  <c:v>5385</c:v>
                </c:pt>
                <c:pt idx="2">
                  <c:v>12555</c:v>
                </c:pt>
                <c:pt idx="3">
                  <c:v>18332.5</c:v>
                </c:pt>
                <c:pt idx="4">
                  <c:v>27271.25</c:v>
                </c:pt>
                <c:pt idx="5">
                  <c:v>51024</c:v>
                </c:pt>
                <c:pt idx="6">
                  <c:v>56924</c:v>
                </c:pt>
                <c:pt idx="7">
                  <c:v>64626.5</c:v>
                </c:pt>
                <c:pt idx="8">
                  <c:v>74817.75</c:v>
                </c:pt>
                <c:pt idx="9">
                  <c:v>87902.75</c:v>
                </c:pt>
                <c:pt idx="10">
                  <c:v>106088.99</c:v>
                </c:pt>
                <c:pt idx="11">
                  <c:v>107238.99</c:v>
                </c:pt>
              </c:numCache>
            </c:numRef>
          </c:val>
          <c:smooth val="0"/>
        </c:ser>
        <c:ser>
          <c:idx val="5"/>
          <c:order val="2"/>
          <c:tx>
            <c:v>2002/2003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Data'!$AG$67:$AG$78</c:f>
              <c:numCache>
                <c:ptCount val="12"/>
                <c:pt idx="0">
                  <c:v>9767.5</c:v>
                </c:pt>
                <c:pt idx="1">
                  <c:v>19602</c:v>
                </c:pt>
                <c:pt idx="2">
                  <c:v>33589.5</c:v>
                </c:pt>
                <c:pt idx="3">
                  <c:v>37652</c:v>
                </c:pt>
                <c:pt idx="4">
                  <c:v>51617</c:v>
                </c:pt>
                <c:pt idx="5">
                  <c:v>72329.5</c:v>
                </c:pt>
                <c:pt idx="6">
                  <c:v>87295.74</c:v>
                </c:pt>
                <c:pt idx="7">
                  <c:v>88520.74</c:v>
                </c:pt>
                <c:pt idx="8">
                  <c:v>97875.74</c:v>
                </c:pt>
                <c:pt idx="9">
                  <c:v>116568.74</c:v>
                </c:pt>
                <c:pt idx="10">
                  <c:v>140191.24</c:v>
                </c:pt>
                <c:pt idx="11">
                  <c:v>142641.24</c:v>
                </c:pt>
              </c:numCache>
            </c:numRef>
          </c:val>
          <c:smooth val="0"/>
        </c:ser>
        <c:ser>
          <c:idx val="0"/>
          <c:order val="3"/>
          <c:tx>
            <c:v>2003/2004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Data'!$AG$79:$AG$90</c:f>
              <c:numCache>
                <c:ptCount val="12"/>
                <c:pt idx="0">
                  <c:v>10723.5</c:v>
                </c:pt>
                <c:pt idx="1">
                  <c:v>22780.5</c:v>
                </c:pt>
                <c:pt idx="2">
                  <c:v>33813</c:v>
                </c:pt>
                <c:pt idx="3">
                  <c:v>44845.5</c:v>
                </c:pt>
                <c:pt idx="4">
                  <c:v>62845.5</c:v>
                </c:pt>
                <c:pt idx="5">
                  <c:v>90063</c:v>
                </c:pt>
                <c:pt idx="6">
                  <c:v>119893</c:v>
                </c:pt>
                <c:pt idx="7">
                  <c:v>121605</c:v>
                </c:pt>
                <c:pt idx="8">
                  <c:v>145631.25</c:v>
                </c:pt>
                <c:pt idx="9">
                  <c:v>154691.25</c:v>
                </c:pt>
                <c:pt idx="10">
                  <c:v>193471.25</c:v>
                </c:pt>
                <c:pt idx="11">
                  <c:v>193971.25</c:v>
                </c:pt>
              </c:numCache>
            </c:numRef>
          </c:val>
          <c:smooth val="0"/>
        </c:ser>
        <c:ser>
          <c:idx val="1"/>
          <c:order val="4"/>
          <c:tx>
            <c:v>2004/2005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Data'!$AG$91:$AG$102</c:f>
              <c:numCache>
                <c:ptCount val="12"/>
                <c:pt idx="0">
                  <c:v>2540</c:v>
                </c:pt>
                <c:pt idx="1">
                  <c:v>34012.5</c:v>
                </c:pt>
                <c:pt idx="2">
                  <c:v>53425.5</c:v>
                </c:pt>
                <c:pt idx="3">
                  <c:v>72948.5</c:v>
                </c:pt>
                <c:pt idx="4">
                  <c:v>90483.5</c:v>
                </c:pt>
                <c:pt idx="5">
                  <c:v>113008.5</c:v>
                </c:pt>
                <c:pt idx="6">
                  <c:v>154225</c:v>
                </c:pt>
                <c:pt idx="7">
                  <c:v>158760</c:v>
                </c:pt>
                <c:pt idx="8">
                  <c:v>189137.5</c:v>
                </c:pt>
                <c:pt idx="9">
                  <c:v>223743</c:v>
                </c:pt>
                <c:pt idx="10">
                  <c:v>254481.5</c:v>
                </c:pt>
                <c:pt idx="11">
                  <c:v>257586.5</c:v>
                </c:pt>
              </c:numCache>
            </c:numRef>
          </c:val>
          <c:smooth val="0"/>
        </c:ser>
        <c:ser>
          <c:idx val="2"/>
          <c:order val="5"/>
          <c:tx>
            <c:v>2005/2006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Data'!$AG$103:$AG$114</c:f>
              <c:numCache>
                <c:ptCount val="12"/>
                <c:pt idx="0">
                  <c:v>22284.12</c:v>
                </c:pt>
                <c:pt idx="1">
                  <c:v>46464.119999999995</c:v>
                </c:pt>
                <c:pt idx="2">
                  <c:v>68156.12</c:v>
                </c:pt>
                <c:pt idx="3">
                  <c:v>88036.12</c:v>
                </c:pt>
                <c:pt idx="4">
                  <c:v>119134.75</c:v>
                </c:pt>
                <c:pt idx="5">
                  <c:v>140129.75</c:v>
                </c:pt>
                <c:pt idx="6">
                  <c:v>182556.75</c:v>
                </c:pt>
                <c:pt idx="7">
                  <c:v>201229.25</c:v>
                </c:pt>
                <c:pt idx="8">
                  <c:v>231332.25</c:v>
                </c:pt>
                <c:pt idx="9">
                  <c:v>259112.25</c:v>
                </c:pt>
                <c:pt idx="10">
                  <c:v>286052.75</c:v>
                </c:pt>
                <c:pt idx="11">
                  <c:v>289497.75</c:v>
                </c:pt>
              </c:numCache>
            </c:numRef>
          </c:val>
          <c:smooth val="0"/>
        </c:ser>
        <c:ser>
          <c:idx val="6"/>
          <c:order val="6"/>
          <c:tx>
            <c:v>2006/2007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Data'!$AG$115:$AG$126</c:f>
              <c:numCache>
                <c:ptCount val="12"/>
                <c:pt idx="0">
                  <c:v>12642</c:v>
                </c:pt>
                <c:pt idx="1">
                  <c:v>29409.5</c:v>
                </c:pt>
                <c:pt idx="2">
                  <c:v>75245.5</c:v>
                </c:pt>
                <c:pt idx="3">
                  <c:v>110154.24</c:v>
                </c:pt>
                <c:pt idx="4">
                  <c:v>149490.01</c:v>
                </c:pt>
                <c:pt idx="5">
                  <c:v>173213.01</c:v>
                </c:pt>
                <c:pt idx="6">
                  <c:v>192643.01</c:v>
                </c:pt>
                <c:pt idx="7">
                  <c:v>213587.51</c:v>
                </c:pt>
                <c:pt idx="8">
                  <c:v>236962.01</c:v>
                </c:pt>
                <c:pt idx="9">
                  <c:v>262122.51</c:v>
                </c:pt>
                <c:pt idx="10">
                  <c:v>284626.01</c:v>
                </c:pt>
                <c:pt idx="11">
                  <c:v>286951.01</c:v>
                </c:pt>
              </c:numCache>
            </c:numRef>
          </c:val>
          <c:smooth val="0"/>
        </c:ser>
        <c:ser>
          <c:idx val="7"/>
          <c:order val="7"/>
          <c:tx>
            <c:v>2007/2008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Data'!$AG$127:$AG$138</c:f>
              <c:numCache>
                <c:ptCount val="12"/>
                <c:pt idx="0">
                  <c:v>26287.34</c:v>
                </c:pt>
                <c:pt idx="1">
                  <c:v>55588.479999999996</c:v>
                </c:pt>
                <c:pt idx="2">
                  <c:v>88753.48</c:v>
                </c:pt>
                <c:pt idx="3">
                  <c:v>91667.62999999999</c:v>
                </c:pt>
                <c:pt idx="4">
                  <c:v>121301.62999999999</c:v>
                </c:pt>
                <c:pt idx="5">
                  <c:v>201847.13</c:v>
                </c:pt>
                <c:pt idx="6">
                  <c:v>252730.63</c:v>
                </c:pt>
                <c:pt idx="7">
                  <c:v>284546.63</c:v>
                </c:pt>
                <c:pt idx="8">
                  <c:v>342889.13</c:v>
                </c:pt>
                <c:pt idx="9">
                  <c:v>355146.63</c:v>
                </c:pt>
                <c:pt idx="10">
                  <c:v>399640.88</c:v>
                </c:pt>
                <c:pt idx="11">
                  <c:v>402250.88</c:v>
                </c:pt>
              </c:numCache>
            </c:numRef>
          </c:val>
          <c:smooth val="0"/>
        </c:ser>
        <c:ser>
          <c:idx val="8"/>
          <c:order val="8"/>
          <c:tx>
            <c:v>2008/2009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Data'!$AG$139:$AG$150</c:f>
              <c:numCache>
                <c:ptCount val="12"/>
                <c:pt idx="0">
                  <c:v>46592.5</c:v>
                </c:pt>
                <c:pt idx="1">
                  <c:v>91800</c:v>
                </c:pt>
                <c:pt idx="2">
                  <c:v>126938.25</c:v>
                </c:pt>
                <c:pt idx="3">
                  <c:v>156855.75</c:v>
                </c:pt>
                <c:pt idx="4">
                  <c:v>194614.75</c:v>
                </c:pt>
                <c:pt idx="5">
                  <c:v>237169.75</c:v>
                </c:pt>
                <c:pt idx="6">
                  <c:v>310582.75</c:v>
                </c:pt>
                <c:pt idx="7">
                  <c:v>346910.25</c:v>
                </c:pt>
              </c:numCache>
            </c:numRef>
          </c:val>
          <c:smooth val="0"/>
        </c:ser>
        <c:axId val="65443666"/>
        <c:axId val="52122083"/>
      </c:lineChart>
      <c:catAx>
        <c:axId val="654436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 val="autoZero"/>
        <c:auto val="0"/>
        <c:lblOffset val="100"/>
        <c:noMultiLvlLbl val="0"/>
      </c:catAx>
      <c:valAx>
        <c:axId val="52122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8275"/>
          <c:w val="0.097"/>
          <c:h val="0.22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Cumulative - Assessment sales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25"/>
          <c:w val="0.8045"/>
          <c:h val="0.8295"/>
        </c:manualLayout>
      </c:layout>
      <c:lineChart>
        <c:grouping val="standard"/>
        <c:varyColors val="0"/>
        <c:ser>
          <c:idx val="0"/>
          <c:order val="0"/>
          <c:tx>
            <c:v>1997/1998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Data'!$W$7:$W$18</c:f>
              <c:numCache>
                <c:ptCount val="12"/>
                <c:pt idx="0">
                  <c:v>250</c:v>
                </c:pt>
                <c:pt idx="1">
                  <c:v>1050</c:v>
                </c:pt>
                <c:pt idx="2">
                  <c:v>2400</c:v>
                </c:pt>
                <c:pt idx="3">
                  <c:v>4200</c:v>
                </c:pt>
                <c:pt idx="4">
                  <c:v>6050</c:v>
                </c:pt>
                <c:pt idx="5">
                  <c:v>7150</c:v>
                </c:pt>
                <c:pt idx="6">
                  <c:v>9050</c:v>
                </c:pt>
                <c:pt idx="7">
                  <c:v>9650</c:v>
                </c:pt>
                <c:pt idx="8">
                  <c:v>11400</c:v>
                </c:pt>
                <c:pt idx="9">
                  <c:v>13950</c:v>
                </c:pt>
                <c:pt idx="10">
                  <c:v>15300</c:v>
                </c:pt>
                <c:pt idx="11">
                  <c:v>15900</c:v>
                </c:pt>
              </c:numCache>
            </c:numRef>
          </c:val>
          <c:smooth val="0"/>
        </c:ser>
        <c:ser>
          <c:idx val="1"/>
          <c:order val="1"/>
          <c:tx>
            <c:v>1998/1999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Data'!$W$19:$W$30</c:f>
              <c:numCache>
                <c:ptCount val="12"/>
                <c:pt idx="0">
                  <c:v>2000</c:v>
                </c:pt>
                <c:pt idx="1">
                  <c:v>3550</c:v>
                </c:pt>
                <c:pt idx="2">
                  <c:v>4900</c:v>
                </c:pt>
                <c:pt idx="3">
                  <c:v>5450</c:v>
                </c:pt>
                <c:pt idx="4">
                  <c:v>6900</c:v>
                </c:pt>
                <c:pt idx="5">
                  <c:v>7550</c:v>
                </c:pt>
                <c:pt idx="6">
                  <c:v>8450</c:v>
                </c:pt>
                <c:pt idx="7">
                  <c:v>8850</c:v>
                </c:pt>
                <c:pt idx="8">
                  <c:v>10250</c:v>
                </c:pt>
                <c:pt idx="9">
                  <c:v>12900</c:v>
                </c:pt>
                <c:pt idx="10">
                  <c:v>13950</c:v>
                </c:pt>
                <c:pt idx="11">
                  <c:v>14500</c:v>
                </c:pt>
              </c:numCache>
            </c:numRef>
          </c:val>
          <c:smooth val="0"/>
        </c:ser>
        <c:ser>
          <c:idx val="2"/>
          <c:order val="2"/>
          <c:tx>
            <c:v>1999/2000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Data'!$W$31:$W$42</c:f>
              <c:numCache>
                <c:ptCount val="12"/>
                <c:pt idx="0">
                  <c:v>1675</c:v>
                </c:pt>
                <c:pt idx="1">
                  <c:v>2575</c:v>
                </c:pt>
                <c:pt idx="2">
                  <c:v>4400</c:v>
                </c:pt>
                <c:pt idx="3">
                  <c:v>4925</c:v>
                </c:pt>
                <c:pt idx="4">
                  <c:v>5675</c:v>
                </c:pt>
                <c:pt idx="5">
                  <c:v>5875</c:v>
                </c:pt>
                <c:pt idx="6">
                  <c:v>8480</c:v>
                </c:pt>
                <c:pt idx="7">
                  <c:v>14425</c:v>
                </c:pt>
                <c:pt idx="8">
                  <c:v>20999</c:v>
                </c:pt>
                <c:pt idx="9">
                  <c:v>33114</c:v>
                </c:pt>
                <c:pt idx="10">
                  <c:v>41543</c:v>
                </c:pt>
                <c:pt idx="11">
                  <c:v>42528</c:v>
                </c:pt>
              </c:numCache>
            </c:numRef>
          </c:val>
          <c:smooth val="0"/>
        </c:ser>
        <c:ser>
          <c:idx val="3"/>
          <c:order val="3"/>
          <c:tx>
            <c:v>2000/2001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Data'!$S$7:$S$18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'Weekly Data'!$W$43:$W$54</c:f>
              <c:numCache>
                <c:ptCount val="12"/>
                <c:pt idx="0">
                  <c:v>4067.68</c:v>
                </c:pt>
                <c:pt idx="1">
                  <c:v>8372.68</c:v>
                </c:pt>
                <c:pt idx="2">
                  <c:v>11972.68</c:v>
                </c:pt>
                <c:pt idx="3">
                  <c:v>14247.68</c:v>
                </c:pt>
                <c:pt idx="4">
                  <c:v>18912.68</c:v>
                </c:pt>
                <c:pt idx="5">
                  <c:v>22777.68</c:v>
                </c:pt>
                <c:pt idx="6">
                  <c:v>30182.68</c:v>
                </c:pt>
                <c:pt idx="7">
                  <c:v>32286.68</c:v>
                </c:pt>
                <c:pt idx="8">
                  <c:v>33506.68</c:v>
                </c:pt>
                <c:pt idx="9">
                  <c:v>35381.68</c:v>
                </c:pt>
                <c:pt idx="10">
                  <c:v>36406.68</c:v>
                </c:pt>
                <c:pt idx="11">
                  <c:v>36466.68</c:v>
                </c:pt>
              </c:numCache>
            </c:numRef>
          </c:val>
          <c:smooth val="0"/>
        </c:ser>
        <c:ser>
          <c:idx val="4"/>
          <c:order val="4"/>
          <c:tx>
            <c:v>2001/2002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Data'!$W$55:$W$66</c:f>
              <c:numCache>
                <c:ptCount val="12"/>
                <c:pt idx="0">
                  <c:v>8790</c:v>
                </c:pt>
                <c:pt idx="1">
                  <c:v>12950</c:v>
                </c:pt>
                <c:pt idx="2">
                  <c:v>17675</c:v>
                </c:pt>
                <c:pt idx="3">
                  <c:v>20445</c:v>
                </c:pt>
                <c:pt idx="4">
                  <c:v>22630</c:v>
                </c:pt>
                <c:pt idx="5">
                  <c:v>29600</c:v>
                </c:pt>
                <c:pt idx="6">
                  <c:v>35347.5</c:v>
                </c:pt>
                <c:pt idx="7">
                  <c:v>37962.5</c:v>
                </c:pt>
                <c:pt idx="8">
                  <c:v>43252.5</c:v>
                </c:pt>
                <c:pt idx="9">
                  <c:v>47002.5</c:v>
                </c:pt>
                <c:pt idx="10">
                  <c:v>62642.5</c:v>
                </c:pt>
                <c:pt idx="11">
                  <c:v>63132.5</c:v>
                </c:pt>
              </c:numCache>
            </c:numRef>
          </c:val>
          <c:smooth val="0"/>
        </c:ser>
        <c:ser>
          <c:idx val="5"/>
          <c:order val="5"/>
          <c:tx>
            <c:v>2002/2003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Data'!$W$67:$W$78</c:f>
              <c:numCache>
                <c:ptCount val="12"/>
                <c:pt idx="0">
                  <c:v>4859</c:v>
                </c:pt>
                <c:pt idx="1">
                  <c:v>10599.5</c:v>
                </c:pt>
                <c:pt idx="2">
                  <c:v>14624.5</c:v>
                </c:pt>
                <c:pt idx="3">
                  <c:v>20990.5</c:v>
                </c:pt>
                <c:pt idx="4">
                  <c:v>27185.5</c:v>
                </c:pt>
                <c:pt idx="5">
                  <c:v>36060.5</c:v>
                </c:pt>
                <c:pt idx="6">
                  <c:v>43020.5</c:v>
                </c:pt>
                <c:pt idx="7">
                  <c:v>45565.5</c:v>
                </c:pt>
                <c:pt idx="8">
                  <c:v>53515.5</c:v>
                </c:pt>
                <c:pt idx="9">
                  <c:v>131263</c:v>
                </c:pt>
                <c:pt idx="10">
                  <c:v>140908</c:v>
                </c:pt>
                <c:pt idx="11">
                  <c:v>141433</c:v>
                </c:pt>
              </c:numCache>
            </c:numRef>
          </c:val>
          <c:smooth val="0"/>
        </c:ser>
        <c:ser>
          <c:idx val="6"/>
          <c:order val="6"/>
          <c:tx>
            <c:v>2003/2004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Data'!$W$79:$W$90</c:f>
              <c:numCache>
                <c:ptCount val="12"/>
                <c:pt idx="0">
                  <c:v>8500</c:v>
                </c:pt>
                <c:pt idx="1">
                  <c:v>18310</c:v>
                </c:pt>
                <c:pt idx="2">
                  <c:v>24450</c:v>
                </c:pt>
                <c:pt idx="3">
                  <c:v>30590</c:v>
                </c:pt>
                <c:pt idx="4">
                  <c:v>36730</c:v>
                </c:pt>
                <c:pt idx="5">
                  <c:v>48355</c:v>
                </c:pt>
                <c:pt idx="6">
                  <c:v>53347</c:v>
                </c:pt>
                <c:pt idx="7">
                  <c:v>55512.5</c:v>
                </c:pt>
                <c:pt idx="8">
                  <c:v>60552.5</c:v>
                </c:pt>
                <c:pt idx="9">
                  <c:v>66980</c:v>
                </c:pt>
                <c:pt idx="10">
                  <c:v>71522</c:v>
                </c:pt>
                <c:pt idx="11">
                  <c:v>71722</c:v>
                </c:pt>
              </c:numCache>
            </c:numRef>
          </c:val>
          <c:smooth val="0"/>
        </c:ser>
        <c:ser>
          <c:idx val="7"/>
          <c:order val="7"/>
          <c:tx>
            <c:v>2004/2005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Data'!$W$91:$W$102</c:f>
              <c:numCache>
                <c:ptCount val="12"/>
                <c:pt idx="0">
                  <c:v>3662.5</c:v>
                </c:pt>
                <c:pt idx="1">
                  <c:v>13816.5</c:v>
                </c:pt>
                <c:pt idx="2">
                  <c:v>21560.5</c:v>
                </c:pt>
                <c:pt idx="3">
                  <c:v>25954.5</c:v>
                </c:pt>
                <c:pt idx="4">
                  <c:v>30938.5</c:v>
                </c:pt>
                <c:pt idx="5">
                  <c:v>36661.5</c:v>
                </c:pt>
                <c:pt idx="6">
                  <c:v>42960.4</c:v>
                </c:pt>
                <c:pt idx="7">
                  <c:v>47111.4</c:v>
                </c:pt>
                <c:pt idx="8">
                  <c:v>50536.4</c:v>
                </c:pt>
                <c:pt idx="9">
                  <c:v>56859.9</c:v>
                </c:pt>
                <c:pt idx="10">
                  <c:v>59619.9</c:v>
                </c:pt>
                <c:pt idx="11">
                  <c:v>60569.9</c:v>
                </c:pt>
              </c:numCache>
            </c:numRef>
          </c:val>
          <c:smooth val="0"/>
        </c:ser>
        <c:ser>
          <c:idx val="8"/>
          <c:order val="8"/>
          <c:tx>
            <c:v>2005/2006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Data'!$W$103:$W$114</c:f>
              <c:numCache>
                <c:ptCount val="12"/>
                <c:pt idx="0">
                  <c:v>7210</c:v>
                </c:pt>
                <c:pt idx="1">
                  <c:v>15670</c:v>
                </c:pt>
                <c:pt idx="2">
                  <c:v>20403</c:v>
                </c:pt>
                <c:pt idx="3">
                  <c:v>23013</c:v>
                </c:pt>
                <c:pt idx="4">
                  <c:v>35536</c:v>
                </c:pt>
                <c:pt idx="5">
                  <c:v>41553.5</c:v>
                </c:pt>
                <c:pt idx="6">
                  <c:v>58623.5</c:v>
                </c:pt>
                <c:pt idx="7">
                  <c:v>62023.5</c:v>
                </c:pt>
                <c:pt idx="8">
                  <c:v>68867.5</c:v>
                </c:pt>
                <c:pt idx="9">
                  <c:v>76347.5</c:v>
                </c:pt>
                <c:pt idx="10">
                  <c:v>80860</c:v>
                </c:pt>
                <c:pt idx="11">
                  <c:v>82080</c:v>
                </c:pt>
              </c:numCache>
            </c:numRef>
          </c:val>
          <c:smooth val="0"/>
        </c:ser>
        <c:ser>
          <c:idx val="9"/>
          <c:order val="9"/>
          <c:tx>
            <c:v>2006/2007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Data'!$W$115:$W$126</c:f>
              <c:numCache>
                <c:ptCount val="12"/>
                <c:pt idx="0">
                  <c:v>6810</c:v>
                </c:pt>
                <c:pt idx="1">
                  <c:v>17113</c:v>
                </c:pt>
                <c:pt idx="2">
                  <c:v>23003</c:v>
                </c:pt>
                <c:pt idx="3">
                  <c:v>26932</c:v>
                </c:pt>
                <c:pt idx="4">
                  <c:v>34639</c:v>
                </c:pt>
                <c:pt idx="5">
                  <c:v>39249</c:v>
                </c:pt>
                <c:pt idx="6">
                  <c:v>44545</c:v>
                </c:pt>
                <c:pt idx="7">
                  <c:v>46878</c:v>
                </c:pt>
                <c:pt idx="8">
                  <c:v>50907</c:v>
                </c:pt>
                <c:pt idx="9">
                  <c:v>53940</c:v>
                </c:pt>
                <c:pt idx="10">
                  <c:v>59269</c:v>
                </c:pt>
                <c:pt idx="11">
                  <c:v>60239</c:v>
                </c:pt>
              </c:numCache>
            </c:numRef>
          </c:val>
          <c:smooth val="0"/>
        </c:ser>
        <c:ser>
          <c:idx val="10"/>
          <c:order val="10"/>
          <c:tx>
            <c:v>2007/2008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Data'!$W$127:$W$138</c:f>
              <c:numCache>
                <c:ptCount val="12"/>
                <c:pt idx="0">
                  <c:v>3453</c:v>
                </c:pt>
                <c:pt idx="1">
                  <c:v>10656</c:v>
                </c:pt>
                <c:pt idx="2">
                  <c:v>13311</c:v>
                </c:pt>
                <c:pt idx="3">
                  <c:v>15561</c:v>
                </c:pt>
                <c:pt idx="4">
                  <c:v>21221</c:v>
                </c:pt>
                <c:pt idx="5">
                  <c:v>25381</c:v>
                </c:pt>
                <c:pt idx="6">
                  <c:v>31466</c:v>
                </c:pt>
                <c:pt idx="7">
                  <c:v>35866</c:v>
                </c:pt>
                <c:pt idx="8">
                  <c:v>40391</c:v>
                </c:pt>
                <c:pt idx="9">
                  <c:v>42971</c:v>
                </c:pt>
                <c:pt idx="10">
                  <c:v>49851</c:v>
                </c:pt>
                <c:pt idx="11">
                  <c:v>51201</c:v>
                </c:pt>
              </c:numCache>
            </c:numRef>
          </c:val>
          <c:smooth val="0"/>
        </c:ser>
        <c:ser>
          <c:idx val="11"/>
          <c:order val="11"/>
          <c:tx>
            <c:v>2008/2009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'Weekly Data'!$W$139:$W$150</c:f>
              <c:numCache>
                <c:ptCount val="12"/>
                <c:pt idx="0">
                  <c:v>3680</c:v>
                </c:pt>
                <c:pt idx="1">
                  <c:v>7070</c:v>
                </c:pt>
                <c:pt idx="2">
                  <c:v>10545</c:v>
                </c:pt>
                <c:pt idx="3">
                  <c:v>12665</c:v>
                </c:pt>
                <c:pt idx="4">
                  <c:v>18125</c:v>
                </c:pt>
                <c:pt idx="5">
                  <c:v>22005</c:v>
                </c:pt>
                <c:pt idx="6">
                  <c:v>25165</c:v>
                </c:pt>
                <c:pt idx="7">
                  <c:v>26780</c:v>
                </c:pt>
              </c:numCache>
            </c:numRef>
          </c:val>
          <c:smooth val="0"/>
        </c:ser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auto val="0"/>
        <c:lblOffset val="100"/>
        <c:noMultiLvlLbl val="0"/>
      </c:catAx>
      <c:valAx>
        <c:axId val="61139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28375"/>
          <c:w val="0.15075"/>
          <c:h val="0.62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&amp;C&amp;"Arial,Bold"&amp;12&amp;A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11</xdr:col>
      <xdr:colOff>495300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0" y="114300"/>
        <a:ext cx="7200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15</xdr:col>
      <xdr:colOff>9525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0" y="152400"/>
        <a:ext cx="83915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58175"/>
    <xdr:graphicFrame>
      <xdr:nvGraphicFramePr>
        <xdr:cNvPr id="1" name="Shape 1025"/>
        <xdr:cNvGraphicFramePr/>
      </xdr:nvGraphicFramePr>
      <xdr:xfrm>
        <a:off x="0" y="0"/>
        <a:ext cx="121539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16</xdr:col>
      <xdr:colOff>28575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7250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58175"/>
    <xdr:graphicFrame>
      <xdr:nvGraphicFramePr>
        <xdr:cNvPr id="1" name="Shape 1025"/>
        <xdr:cNvGraphicFramePr/>
      </xdr:nvGraphicFramePr>
      <xdr:xfrm>
        <a:off x="0" y="0"/>
        <a:ext cx="121539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13</xdr:col>
      <xdr:colOff>571500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114300"/>
        <a:ext cx="8496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104775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91916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17</xdr:col>
      <xdr:colOff>485775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57150" y="47625"/>
        <a:ext cx="107918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14</xdr:col>
      <xdr:colOff>457200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47625"/>
        <a:ext cx="89344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43" sqref="C43"/>
    </sheetView>
  </sheetViews>
  <sheetFormatPr defaultColWidth="9.140625" defaultRowHeight="12.75"/>
  <sheetData/>
  <printOptions/>
  <pageMargins left="0.7874015748031497" right="0.1968503937007874" top="0.984251968503937" bottom="0.984251968503937" header="0.5118110236220472" footer="0.5118110236220472"/>
  <pageSetup fitToHeight="1" fitToWidth="1" horizontalDpi="355" verticalDpi="355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F28" sqref="F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L26" sqref="L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0" sqref="J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D43" sqref="D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09"/>
  <sheetViews>
    <sheetView zoomScale="90" zoomScaleNormal="90" workbookViewId="0" topLeftCell="R1">
      <pane xSplit="2" ySplit="2" topLeftCell="U107" activePane="bottomRight" state="frozen"/>
      <selection pane="topLeft" activeCell="R1" sqref="R1"/>
      <selection pane="topRight" activeCell="T1" sqref="T1"/>
      <selection pane="bottomLeft" activeCell="R3" sqref="R3"/>
      <selection pane="bottomRight" activeCell="AF146" sqref="AF146"/>
    </sheetView>
  </sheetViews>
  <sheetFormatPr defaultColWidth="9.140625" defaultRowHeight="12.75"/>
  <cols>
    <col min="1" max="1" width="9.7109375" style="0" customWidth="1"/>
    <col min="2" max="2" width="9.28125" style="0" bestFit="1" customWidth="1"/>
    <col min="13" max="13" width="11.28125" style="0" customWidth="1"/>
    <col min="14" max="14" width="7.421875" style="0" customWidth="1"/>
    <col min="15" max="16" width="11.28125" style="0" customWidth="1"/>
    <col min="17" max="17" width="8.421875" style="0" customWidth="1"/>
    <col min="18" max="18" width="7.28125" style="14" customWidth="1"/>
    <col min="19" max="19" width="6.28125" style="40" customWidth="1"/>
    <col min="20" max="21" width="10.57421875" style="0" customWidth="1"/>
    <col min="22" max="22" width="11.7109375" style="67" customWidth="1"/>
    <col min="23" max="23" width="11.28125" style="0" customWidth="1"/>
    <col min="24" max="24" width="10.57421875" style="0" customWidth="1"/>
    <col min="25" max="26" width="11.00390625" style="0" customWidth="1"/>
    <col min="27" max="27" width="11.7109375" style="67" customWidth="1"/>
    <col min="28" max="28" width="11.8515625" style="0" customWidth="1"/>
    <col min="29" max="29" width="11.00390625" style="0" customWidth="1"/>
    <col min="30" max="30" width="14.140625" style="0" bestFit="1" customWidth="1"/>
    <col min="31" max="31" width="10.421875" style="0" customWidth="1"/>
    <col min="32" max="32" width="11.00390625" style="67" customWidth="1"/>
    <col min="33" max="34" width="11.00390625" style="0" customWidth="1"/>
    <col min="35" max="35" width="11.00390625" style="61" customWidth="1"/>
    <col min="36" max="36" width="9.00390625" style="59" customWidth="1"/>
    <col min="37" max="37" width="11.28125" style="0" customWidth="1"/>
    <col min="39" max="40" width="14.140625" style="0" customWidth="1"/>
    <col min="41" max="41" width="8.7109375" style="0" bestFit="1" customWidth="1"/>
    <col min="42" max="42" width="11.8515625" style="0" bestFit="1" customWidth="1"/>
    <col min="43" max="43" width="8.140625" style="0" bestFit="1" customWidth="1"/>
    <col min="44" max="44" width="11.8515625" style="0" bestFit="1" customWidth="1"/>
    <col min="45" max="45" width="9.7109375" style="0" bestFit="1" customWidth="1"/>
  </cols>
  <sheetData>
    <row r="1" spans="1:46" ht="12.75">
      <c r="A1" s="6" t="s">
        <v>0</v>
      </c>
      <c r="B1" s="6" t="s">
        <v>0</v>
      </c>
      <c r="C1" s="6" t="s">
        <v>1</v>
      </c>
      <c r="D1" s="6" t="s">
        <v>1</v>
      </c>
      <c r="E1" s="6" t="s">
        <v>42</v>
      </c>
      <c r="F1" s="6" t="s">
        <v>42</v>
      </c>
      <c r="G1" s="6" t="s">
        <v>43</v>
      </c>
      <c r="H1" s="6" t="s">
        <v>43</v>
      </c>
      <c r="I1" s="6" t="s">
        <v>2</v>
      </c>
      <c r="J1" s="6" t="s">
        <v>2</v>
      </c>
      <c r="K1" s="6" t="s">
        <v>45</v>
      </c>
      <c r="L1" s="6" t="s">
        <v>45</v>
      </c>
      <c r="M1" s="6" t="s">
        <v>3</v>
      </c>
      <c r="N1" s="6" t="s">
        <v>4</v>
      </c>
      <c r="O1" s="6" t="s">
        <v>3</v>
      </c>
      <c r="P1" s="6" t="s">
        <v>14</v>
      </c>
      <c r="Q1" s="6" t="s">
        <v>5</v>
      </c>
      <c r="R1" s="12" t="s">
        <v>6</v>
      </c>
      <c r="S1" s="6" t="s">
        <v>22</v>
      </c>
      <c r="T1" s="6" t="s">
        <v>39</v>
      </c>
      <c r="U1" s="6" t="s">
        <v>39</v>
      </c>
      <c r="V1" s="66" t="s">
        <v>50</v>
      </c>
      <c r="W1" s="6" t="s">
        <v>39</v>
      </c>
      <c r="X1" s="6" t="s">
        <v>39</v>
      </c>
      <c r="Y1" s="6" t="s">
        <v>41</v>
      </c>
      <c r="Z1" s="6" t="s">
        <v>41</v>
      </c>
      <c r="AA1" s="66" t="s">
        <v>41</v>
      </c>
      <c r="AB1" s="6" t="s">
        <v>41</v>
      </c>
      <c r="AC1" s="6" t="s">
        <v>41</v>
      </c>
      <c r="AD1" s="6" t="s">
        <v>37</v>
      </c>
      <c r="AE1" s="6" t="s">
        <v>45</v>
      </c>
      <c r="AF1" s="66" t="s">
        <v>45</v>
      </c>
      <c r="AG1" s="6" t="s">
        <v>45</v>
      </c>
      <c r="AH1" s="6" t="s">
        <v>45</v>
      </c>
      <c r="AI1" s="6" t="s">
        <v>49</v>
      </c>
      <c r="AJ1" s="55" t="s">
        <v>4</v>
      </c>
      <c r="AK1" s="6" t="s">
        <v>3</v>
      </c>
      <c r="AL1" s="6" t="s">
        <v>5</v>
      </c>
      <c r="AM1" s="6" t="s">
        <v>37</v>
      </c>
      <c r="AN1" s="6" t="s">
        <v>44</v>
      </c>
      <c r="AO1" s="6" t="s">
        <v>17</v>
      </c>
      <c r="AP1" s="6" t="s">
        <v>18</v>
      </c>
      <c r="AQ1" s="6" t="s">
        <v>19</v>
      </c>
      <c r="AR1" s="6" t="s">
        <v>18</v>
      </c>
      <c r="AS1" s="6" t="s">
        <v>21</v>
      </c>
      <c r="AT1" s="6" t="s">
        <v>23</v>
      </c>
    </row>
    <row r="2" spans="2:46" ht="12.75">
      <c r="B2" s="6" t="s">
        <v>13</v>
      </c>
      <c r="C2" s="6" t="s">
        <v>7</v>
      </c>
      <c r="D2" s="6" t="s">
        <v>7</v>
      </c>
      <c r="E2" s="6" t="s">
        <v>7</v>
      </c>
      <c r="F2" s="6" t="s">
        <v>7</v>
      </c>
      <c r="G2" s="6"/>
      <c r="H2" s="6"/>
      <c r="I2" s="6" t="s">
        <v>8</v>
      </c>
      <c r="J2" s="6" t="s">
        <v>8</v>
      </c>
      <c r="K2" s="6" t="s">
        <v>46</v>
      </c>
      <c r="L2" s="6" t="s">
        <v>47</v>
      </c>
      <c r="M2" s="6" t="s">
        <v>9</v>
      </c>
      <c r="N2" s="6" t="s">
        <v>10</v>
      </c>
      <c r="O2" s="6" t="s">
        <v>10</v>
      </c>
      <c r="P2" s="6" t="s">
        <v>15</v>
      </c>
      <c r="Q2" s="6" t="s">
        <v>11</v>
      </c>
      <c r="R2" s="12"/>
      <c r="S2" s="6" t="s">
        <v>13</v>
      </c>
      <c r="T2" s="6" t="s">
        <v>13</v>
      </c>
      <c r="U2" s="6" t="s">
        <v>10</v>
      </c>
      <c r="V2" s="66" t="s">
        <v>51</v>
      </c>
      <c r="W2" s="6" t="s">
        <v>40</v>
      </c>
      <c r="X2" s="6" t="s">
        <v>48</v>
      </c>
      <c r="Y2" s="6" t="s">
        <v>13</v>
      </c>
      <c r="Z2" s="6" t="s">
        <v>10</v>
      </c>
      <c r="AA2" s="66" t="s">
        <v>51</v>
      </c>
      <c r="AB2" s="6" t="s">
        <v>40</v>
      </c>
      <c r="AC2" s="6" t="s">
        <v>48</v>
      </c>
      <c r="AD2" s="6" t="s">
        <v>38</v>
      </c>
      <c r="AE2" s="6" t="s">
        <v>10</v>
      </c>
      <c r="AF2" s="66" t="s">
        <v>51</v>
      </c>
      <c r="AG2" s="6" t="s">
        <v>40</v>
      </c>
      <c r="AH2" s="6" t="s">
        <v>48</v>
      </c>
      <c r="AI2" s="6"/>
      <c r="AJ2" s="55" t="s">
        <v>10</v>
      </c>
      <c r="AK2" s="6" t="s">
        <v>10</v>
      </c>
      <c r="AL2" s="6" t="s">
        <v>11</v>
      </c>
      <c r="AM2" s="6" t="s">
        <v>38</v>
      </c>
      <c r="AN2" s="6" t="s">
        <v>40</v>
      </c>
      <c r="AO2" s="6" t="s">
        <v>16</v>
      </c>
      <c r="AP2" s="6" t="s">
        <v>16</v>
      </c>
      <c r="AQ2" s="6" t="s">
        <v>20</v>
      </c>
      <c r="AR2" s="6" t="s">
        <v>20</v>
      </c>
      <c r="AS2" s="6" t="s">
        <v>20</v>
      </c>
      <c r="AT2" s="6" t="s">
        <v>24</v>
      </c>
    </row>
    <row r="3" spans="2:46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4">
        <f>R4-30</f>
        <v>35552</v>
      </c>
      <c r="S3" s="6"/>
      <c r="T3" s="6"/>
      <c r="U3" s="6"/>
      <c r="V3" s="66"/>
      <c r="W3" s="6"/>
      <c r="X3" s="6"/>
      <c r="Y3" s="6"/>
      <c r="Z3" s="6"/>
      <c r="AA3" s="66"/>
      <c r="AB3" s="6"/>
      <c r="AC3" s="6"/>
      <c r="AD3" s="6"/>
      <c r="AE3" s="6"/>
      <c r="AF3" s="66"/>
      <c r="AG3" s="6"/>
      <c r="AH3" s="6"/>
      <c r="AI3" s="60"/>
      <c r="AJ3" s="55"/>
      <c r="AK3" s="6"/>
      <c r="AL3" s="6"/>
      <c r="AM3" s="6"/>
      <c r="AN3" s="6">
        <v>0</v>
      </c>
      <c r="AO3" s="6"/>
      <c r="AP3" s="6"/>
      <c r="AQ3" s="6"/>
      <c r="AR3" s="6"/>
      <c r="AS3" s="6"/>
      <c r="AT3" s="6"/>
    </row>
    <row r="4" spans="2:46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4">
        <f>R5-30</f>
        <v>35582</v>
      </c>
      <c r="S4" s="6"/>
      <c r="T4" s="6"/>
      <c r="U4" s="6"/>
      <c r="V4" s="66"/>
      <c r="W4" s="6"/>
      <c r="X4" s="6"/>
      <c r="Y4" s="6"/>
      <c r="Z4" s="6"/>
      <c r="AA4" s="66"/>
      <c r="AB4" s="6"/>
      <c r="AC4" s="6"/>
      <c r="AD4" s="6"/>
      <c r="AE4" s="6"/>
      <c r="AF4" s="66"/>
      <c r="AG4" s="6"/>
      <c r="AH4" s="6"/>
      <c r="AI4" s="60"/>
      <c r="AJ4" s="55"/>
      <c r="AK4" s="6"/>
      <c r="AL4" s="6"/>
      <c r="AM4" s="6"/>
      <c r="AN4" s="6">
        <v>0</v>
      </c>
      <c r="AO4" s="6"/>
      <c r="AP4" s="6"/>
      <c r="AQ4" s="6"/>
      <c r="AR4" s="6"/>
      <c r="AS4" s="6"/>
      <c r="AT4" s="6"/>
    </row>
    <row r="5" spans="2:46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54">
        <f>R6-31</f>
        <v>35612</v>
      </c>
      <c r="S5" s="6"/>
      <c r="T5" s="6"/>
      <c r="U5" s="6"/>
      <c r="V5" s="66"/>
      <c r="W5" s="6"/>
      <c r="X5" s="6"/>
      <c r="Y5" s="6"/>
      <c r="Z5" s="6"/>
      <c r="AA5" s="66"/>
      <c r="AB5" s="6"/>
      <c r="AC5" s="6"/>
      <c r="AD5" s="6"/>
      <c r="AE5" s="6"/>
      <c r="AF5" s="66"/>
      <c r="AG5" s="6"/>
      <c r="AH5" s="6"/>
      <c r="AI5" s="60"/>
      <c r="AJ5" s="55"/>
      <c r="AK5" s="6"/>
      <c r="AL5" s="6"/>
      <c r="AM5" s="6"/>
      <c r="AN5" s="6">
        <v>0</v>
      </c>
      <c r="AO5" s="6"/>
      <c r="AP5" s="6"/>
      <c r="AQ5" s="6"/>
      <c r="AR5" s="6"/>
      <c r="AS5" s="6"/>
      <c r="AT5" s="6"/>
    </row>
    <row r="6" spans="2:46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54">
        <f>R7-31</f>
        <v>35643</v>
      </c>
      <c r="S6" s="6"/>
      <c r="T6" s="6"/>
      <c r="U6" s="6"/>
      <c r="V6" s="66"/>
      <c r="W6" s="6"/>
      <c r="X6" s="6"/>
      <c r="Y6" s="6"/>
      <c r="Z6" s="6"/>
      <c r="AA6" s="66"/>
      <c r="AB6" s="6"/>
      <c r="AC6" s="6"/>
      <c r="AD6" s="6"/>
      <c r="AE6" s="6"/>
      <c r="AF6" s="66"/>
      <c r="AG6" s="6"/>
      <c r="AH6" s="6"/>
      <c r="AI6" s="60"/>
      <c r="AJ6" s="55"/>
      <c r="AK6" s="6"/>
      <c r="AL6" s="6"/>
      <c r="AM6" s="6"/>
      <c r="AN6" s="6">
        <v>0</v>
      </c>
      <c r="AO6" s="6"/>
      <c r="AP6" s="6"/>
      <c r="AQ6" s="6"/>
      <c r="AR6" s="6"/>
      <c r="AS6" s="6"/>
      <c r="AT6" s="6"/>
    </row>
    <row r="7" spans="1:47" ht="12.75">
      <c r="A7" s="7">
        <v>35695</v>
      </c>
      <c r="B7" s="15">
        <v>1</v>
      </c>
      <c r="C7" s="10">
        <v>1</v>
      </c>
      <c r="D7" s="8">
        <f>C7*50</f>
        <v>50</v>
      </c>
      <c r="E7" s="8"/>
      <c r="F7" s="8"/>
      <c r="G7" s="8"/>
      <c r="H7" s="8"/>
      <c r="I7" s="2"/>
      <c r="J7" s="2"/>
      <c r="K7" s="2"/>
      <c r="L7" s="2"/>
      <c r="M7">
        <f>C7</f>
        <v>1</v>
      </c>
      <c r="N7" s="4">
        <v>50</v>
      </c>
      <c r="O7" s="4">
        <f>N7</f>
        <v>50</v>
      </c>
      <c r="P7" s="16">
        <f>O7/B7</f>
        <v>50</v>
      </c>
      <c r="R7" s="13">
        <v>35674</v>
      </c>
      <c r="S7" s="27" t="s">
        <v>25</v>
      </c>
      <c r="T7" s="24">
        <f>SUM(C7:C8)</f>
        <v>5</v>
      </c>
      <c r="U7" s="9">
        <f>T7*50</f>
        <v>250</v>
      </c>
      <c r="W7" s="9">
        <f>U7</f>
        <v>250</v>
      </c>
      <c r="X7" s="9"/>
      <c r="Y7" s="24">
        <f>SUM(I7:I8)</f>
        <v>0</v>
      </c>
      <c r="AB7" s="9">
        <f>Z7</f>
        <v>0</v>
      </c>
      <c r="AC7" s="9"/>
      <c r="AJ7" s="56">
        <f aca="true" t="shared" si="0" ref="AJ7:AJ12">U7+Z7</f>
        <v>250</v>
      </c>
      <c r="AK7" s="4">
        <f>SUM(N7:N8)</f>
        <v>250</v>
      </c>
      <c r="AN7" s="9">
        <f>AJ7</f>
        <v>250</v>
      </c>
      <c r="AU7" s="21"/>
    </row>
    <row r="8" spans="1:47" ht="12.75">
      <c r="A8" s="7">
        <f>A7+7</f>
        <v>35702</v>
      </c>
      <c r="B8" s="15">
        <f>B7+1</f>
        <v>2</v>
      </c>
      <c r="C8" s="10">
        <v>4</v>
      </c>
      <c r="D8" s="8">
        <f aca="true" t="shared" si="1" ref="D8:D72">C8*50</f>
        <v>200</v>
      </c>
      <c r="E8" s="8"/>
      <c r="F8" s="8"/>
      <c r="G8" s="8"/>
      <c r="H8" s="8"/>
      <c r="I8" s="2"/>
      <c r="J8" s="2"/>
      <c r="K8" s="2"/>
      <c r="L8" s="2"/>
      <c r="M8" s="3">
        <f>C8+M7</f>
        <v>5</v>
      </c>
      <c r="N8" s="4">
        <v>200</v>
      </c>
      <c r="O8" s="4">
        <f>O7+N8</f>
        <v>250</v>
      </c>
      <c r="P8" s="16">
        <f aca="true" t="shared" si="2" ref="P8:P44">O8/B8</f>
        <v>125</v>
      </c>
      <c r="Q8" s="5">
        <f>(N8/N7)-1</f>
        <v>3</v>
      </c>
      <c r="R8" s="13">
        <v>35704</v>
      </c>
      <c r="S8" s="15" t="s">
        <v>26</v>
      </c>
      <c r="T8" s="24">
        <f>SUM(C9:C12)</f>
        <v>16</v>
      </c>
      <c r="U8" s="9">
        <f>T8*50</f>
        <v>800</v>
      </c>
      <c r="W8" s="9">
        <f>W7+U8</f>
        <v>1050</v>
      </c>
      <c r="X8" s="9"/>
      <c r="Y8" s="24">
        <f>SUM(I9:I12)</f>
        <v>0</v>
      </c>
      <c r="AB8" s="9">
        <f aca="true" t="shared" si="3" ref="AB8:AB18">AB7+Z8</f>
        <v>0</v>
      </c>
      <c r="AC8" s="9"/>
      <c r="AJ8" s="56">
        <f t="shared" si="0"/>
        <v>800</v>
      </c>
      <c r="AK8" s="4">
        <f>SUM(N9:N12)+AK7</f>
        <v>1050</v>
      </c>
      <c r="AL8" s="5">
        <f aca="true" t="shared" si="4" ref="AL8:AL14">(AJ8/AJ7)-1</f>
        <v>2.2</v>
      </c>
      <c r="AN8" s="9">
        <f>AN7+AJ8</f>
        <v>1050</v>
      </c>
      <c r="AO8" s="18">
        <v>3389.85</v>
      </c>
      <c r="AP8" s="18">
        <f>AO8</f>
        <v>3389.85</v>
      </c>
      <c r="AQ8" s="9">
        <f aca="true" t="shared" si="5" ref="AQ8:AQ15">AJ8-AO8</f>
        <v>-2589.85</v>
      </c>
      <c r="AR8" s="9">
        <f>AQ8</f>
        <v>-2589.85</v>
      </c>
      <c r="AS8" s="19" t="e">
        <f aca="true" t="shared" si="6" ref="AS8:AS15">AR8/S8</f>
        <v>#VALUE!</v>
      </c>
      <c r="AT8" s="20">
        <f aca="true" t="shared" si="7" ref="AT8:AT15">AR8/AK8</f>
        <v>-2.4665238095238093</v>
      </c>
      <c r="AU8" s="21"/>
    </row>
    <row r="9" spans="1:47" ht="12.75">
      <c r="A9" s="7">
        <f aca="true" t="shared" si="8" ref="A9:A24">A8+7</f>
        <v>35709</v>
      </c>
      <c r="B9" s="15">
        <f aca="true" t="shared" si="9" ref="B9:B56">B8+1</f>
        <v>3</v>
      </c>
      <c r="C9" s="10">
        <v>3</v>
      </c>
      <c r="D9" s="8">
        <f t="shared" si="1"/>
        <v>150</v>
      </c>
      <c r="E9" s="8"/>
      <c r="F9" s="8"/>
      <c r="G9" s="8"/>
      <c r="H9" s="8"/>
      <c r="I9" s="2"/>
      <c r="J9" s="2"/>
      <c r="K9" s="2"/>
      <c r="L9" s="2"/>
      <c r="M9" s="3">
        <f aca="true" t="shared" si="10" ref="M9:M25">C9+M8</f>
        <v>8</v>
      </c>
      <c r="N9" s="4">
        <v>150</v>
      </c>
      <c r="O9" s="4">
        <f aca="true" t="shared" si="11" ref="O9:O25">O8+N9</f>
        <v>400</v>
      </c>
      <c r="P9" s="16">
        <f t="shared" si="2"/>
        <v>133.33333333333334</v>
      </c>
      <c r="Q9" s="5">
        <f aca="true" t="shared" si="12" ref="Q9:Q26">(N9/N8)-1</f>
        <v>-0.25</v>
      </c>
      <c r="R9" s="13">
        <v>35735</v>
      </c>
      <c r="S9" s="15" t="s">
        <v>27</v>
      </c>
      <c r="T9" s="25">
        <f>SUM(C13:C16)</f>
        <v>27</v>
      </c>
      <c r="U9" s="9">
        <f>T9*50</f>
        <v>1350</v>
      </c>
      <c r="W9" s="9">
        <f aca="true" t="shared" si="13" ref="W9:W30">W8+U9</f>
        <v>2400</v>
      </c>
      <c r="X9" s="9"/>
      <c r="Y9" s="25">
        <f>SUM(I13:I16)</f>
        <v>14</v>
      </c>
      <c r="Z9" s="9">
        <f>Y9*15</f>
        <v>210</v>
      </c>
      <c r="AB9" s="9">
        <f t="shared" si="3"/>
        <v>210</v>
      </c>
      <c r="AC9" s="9"/>
      <c r="AD9" s="9"/>
      <c r="AE9" s="9"/>
      <c r="AG9" s="9"/>
      <c r="AH9" s="9"/>
      <c r="AI9" s="62"/>
      <c r="AJ9" s="56">
        <f t="shared" si="0"/>
        <v>1560</v>
      </c>
      <c r="AK9" s="4">
        <f>SUM(N13:N16)+AK8</f>
        <v>2710</v>
      </c>
      <c r="AL9" s="5">
        <f t="shared" si="4"/>
        <v>0.95</v>
      </c>
      <c r="AM9" s="9"/>
      <c r="AN9" s="9">
        <f aca="true" t="shared" si="14" ref="AN9:AN41">AN8+AJ9</f>
        <v>2610</v>
      </c>
      <c r="AO9" s="18">
        <v>1269.69</v>
      </c>
      <c r="AP9" s="18">
        <f>AP8+AO9</f>
        <v>4659.54</v>
      </c>
      <c r="AQ9" s="9">
        <f t="shared" si="5"/>
        <v>290.30999999999995</v>
      </c>
      <c r="AR9" s="9">
        <f>AR8+AQ9</f>
        <v>-2299.54</v>
      </c>
      <c r="AS9" s="19" t="e">
        <f t="shared" si="6"/>
        <v>#VALUE!</v>
      </c>
      <c r="AT9" s="20">
        <f t="shared" si="7"/>
        <v>-0.8485387453874539</v>
      </c>
      <c r="AU9" s="21"/>
    </row>
    <row r="10" spans="1:47" ht="12.75">
      <c r="A10" s="7">
        <f t="shared" si="8"/>
        <v>35716</v>
      </c>
      <c r="B10" s="15">
        <f t="shared" si="9"/>
        <v>4</v>
      </c>
      <c r="C10" s="10">
        <v>4</v>
      </c>
      <c r="D10" s="8">
        <f t="shared" si="1"/>
        <v>200</v>
      </c>
      <c r="E10" s="8"/>
      <c r="F10" s="8"/>
      <c r="G10" s="8"/>
      <c r="H10" s="8"/>
      <c r="I10" s="2"/>
      <c r="J10" s="2"/>
      <c r="K10" s="2"/>
      <c r="L10" s="2"/>
      <c r="M10" s="3">
        <f t="shared" si="10"/>
        <v>12</v>
      </c>
      <c r="N10" s="4">
        <v>200</v>
      </c>
      <c r="O10" s="4">
        <f t="shared" si="11"/>
        <v>600</v>
      </c>
      <c r="P10" s="16">
        <f t="shared" si="2"/>
        <v>150</v>
      </c>
      <c r="Q10" s="5">
        <f t="shared" si="12"/>
        <v>0.33333333333333326</v>
      </c>
      <c r="R10" s="13">
        <v>35765</v>
      </c>
      <c r="S10" s="15" t="s">
        <v>28</v>
      </c>
      <c r="T10" s="25">
        <f>SUM(C17:C21)</f>
        <v>36</v>
      </c>
      <c r="U10" s="9">
        <f>T10*50</f>
        <v>1800</v>
      </c>
      <c r="W10" s="9">
        <f t="shared" si="13"/>
        <v>4200</v>
      </c>
      <c r="X10" s="9"/>
      <c r="Y10" s="25">
        <f>SUM(I17:I21)</f>
        <v>27</v>
      </c>
      <c r="Z10" s="9">
        <f>Y10*15</f>
        <v>405</v>
      </c>
      <c r="AB10" s="9">
        <f t="shared" si="3"/>
        <v>615</v>
      </c>
      <c r="AC10" s="9"/>
      <c r="AD10" s="9"/>
      <c r="AE10" s="9"/>
      <c r="AG10" s="9"/>
      <c r="AH10" s="9"/>
      <c r="AI10" s="62"/>
      <c r="AJ10" s="56">
        <f t="shared" si="0"/>
        <v>2205</v>
      </c>
      <c r="AK10" s="4">
        <f>SUM(N17:N21)+AK9</f>
        <v>4915</v>
      </c>
      <c r="AL10" s="5">
        <f t="shared" si="4"/>
        <v>0.41346153846153855</v>
      </c>
      <c r="AM10" s="9"/>
      <c r="AN10" s="9">
        <f t="shared" si="14"/>
        <v>4815</v>
      </c>
      <c r="AO10" s="18">
        <v>614.09</v>
      </c>
      <c r="AP10" s="18">
        <f aca="true" t="shared" si="15" ref="AP10:AP15">AP9+AO10</f>
        <v>5273.63</v>
      </c>
      <c r="AQ10" s="9">
        <f t="shared" si="5"/>
        <v>1590.9099999999999</v>
      </c>
      <c r="AR10" s="9">
        <f aca="true" t="shared" si="16" ref="AR10:AR15">AR9+AQ10</f>
        <v>-708.6300000000001</v>
      </c>
      <c r="AS10" s="19" t="e">
        <f t="shared" si="6"/>
        <v>#VALUE!</v>
      </c>
      <c r="AT10" s="20">
        <f t="shared" si="7"/>
        <v>-0.144177009155646</v>
      </c>
      <c r="AU10" s="21"/>
    </row>
    <row r="11" spans="1:47" ht="12.75">
      <c r="A11" s="7">
        <f t="shared" si="8"/>
        <v>35723</v>
      </c>
      <c r="B11" s="15">
        <f t="shared" si="9"/>
        <v>5</v>
      </c>
      <c r="C11" s="10">
        <v>7</v>
      </c>
      <c r="D11" s="8">
        <f t="shared" si="1"/>
        <v>350</v>
      </c>
      <c r="E11" s="8"/>
      <c r="F11" s="8"/>
      <c r="G11" s="8"/>
      <c r="H11" s="8"/>
      <c r="I11" s="2"/>
      <c r="J11" s="2"/>
      <c r="K11" s="2"/>
      <c r="L11" s="2"/>
      <c r="M11" s="3">
        <f t="shared" si="10"/>
        <v>19</v>
      </c>
      <c r="N11" s="4">
        <v>350</v>
      </c>
      <c r="O11" s="4">
        <f t="shared" si="11"/>
        <v>950</v>
      </c>
      <c r="P11" s="16">
        <f t="shared" si="2"/>
        <v>190</v>
      </c>
      <c r="Q11" s="5">
        <f t="shared" si="12"/>
        <v>0.75</v>
      </c>
      <c r="R11" s="13">
        <v>35796</v>
      </c>
      <c r="S11" s="40" t="s">
        <v>29</v>
      </c>
      <c r="T11" s="25">
        <f>SUM(C22:C25)</f>
        <v>37</v>
      </c>
      <c r="U11" s="9">
        <f>T11*50</f>
        <v>1850</v>
      </c>
      <c r="W11" s="9">
        <f t="shared" si="13"/>
        <v>6050</v>
      </c>
      <c r="X11" s="9"/>
      <c r="Y11" s="25">
        <f>SUM(I22:I25)</f>
        <v>74</v>
      </c>
      <c r="Z11" s="9">
        <f>Y11*15</f>
        <v>1110</v>
      </c>
      <c r="AB11" s="9">
        <f t="shared" si="3"/>
        <v>1725</v>
      </c>
      <c r="AC11" s="9"/>
      <c r="AD11" s="9"/>
      <c r="AE11" s="9"/>
      <c r="AG11" s="9"/>
      <c r="AH11" s="9"/>
      <c r="AI11" s="62"/>
      <c r="AJ11" s="56">
        <f t="shared" si="0"/>
        <v>2960</v>
      </c>
      <c r="AK11" s="4">
        <f>SUM(N22:N25)+AK10</f>
        <v>7875</v>
      </c>
      <c r="AL11" s="5">
        <f t="shared" si="4"/>
        <v>0.3424036281179139</v>
      </c>
      <c r="AM11" s="9"/>
      <c r="AN11" s="9">
        <f t="shared" si="14"/>
        <v>7775</v>
      </c>
      <c r="AO11" s="18">
        <v>962.1</v>
      </c>
      <c r="AP11" s="18">
        <f t="shared" si="15"/>
        <v>6235.7300000000005</v>
      </c>
      <c r="AQ11" s="9">
        <f t="shared" si="5"/>
        <v>1997.9</v>
      </c>
      <c r="AR11" s="9">
        <f t="shared" si="16"/>
        <v>1289.27</v>
      </c>
      <c r="AS11" s="19" t="e">
        <f t="shared" si="6"/>
        <v>#VALUE!</v>
      </c>
      <c r="AT11" s="20">
        <f t="shared" si="7"/>
        <v>0.1637168253968254</v>
      </c>
      <c r="AU11" s="21"/>
    </row>
    <row r="12" spans="1:47" ht="12.75">
      <c r="A12" s="7">
        <f t="shared" si="8"/>
        <v>35730</v>
      </c>
      <c r="B12" s="15">
        <f t="shared" si="9"/>
        <v>6</v>
      </c>
      <c r="C12" s="10">
        <v>2</v>
      </c>
      <c r="D12" s="8">
        <f t="shared" si="1"/>
        <v>100</v>
      </c>
      <c r="E12" s="8"/>
      <c r="F12" s="8"/>
      <c r="G12" s="8"/>
      <c r="H12" s="8"/>
      <c r="I12" s="2"/>
      <c r="J12" s="2"/>
      <c r="K12" s="2"/>
      <c r="L12" s="2"/>
      <c r="M12" s="3">
        <f t="shared" si="10"/>
        <v>21</v>
      </c>
      <c r="N12" s="4">
        <v>100</v>
      </c>
      <c r="O12" s="4">
        <f t="shared" si="11"/>
        <v>1050</v>
      </c>
      <c r="P12" s="16">
        <f t="shared" si="2"/>
        <v>175</v>
      </c>
      <c r="Q12" s="5">
        <f t="shared" si="12"/>
        <v>-0.7142857142857143</v>
      </c>
      <c r="R12" s="13">
        <f>R11+31</f>
        <v>35827</v>
      </c>
      <c r="S12" s="40" t="s">
        <v>30</v>
      </c>
      <c r="T12" s="25">
        <f>SUM(C26:C29)</f>
        <v>22</v>
      </c>
      <c r="U12" s="9">
        <f>SUM(D26:D29)</f>
        <v>1100</v>
      </c>
      <c r="W12" s="9">
        <f t="shared" si="13"/>
        <v>7150</v>
      </c>
      <c r="X12" s="9"/>
      <c r="Y12" s="24">
        <f>SUM(I26:I29)</f>
        <v>27</v>
      </c>
      <c r="Z12" s="9">
        <f>SUM(J26:J29)</f>
        <v>405</v>
      </c>
      <c r="AB12" s="9">
        <f t="shared" si="3"/>
        <v>2130</v>
      </c>
      <c r="AC12" s="9"/>
      <c r="AD12" s="9"/>
      <c r="AE12" s="9"/>
      <c r="AG12" s="9"/>
      <c r="AH12" s="9"/>
      <c r="AI12" s="62"/>
      <c r="AJ12" s="56">
        <f t="shared" si="0"/>
        <v>1505</v>
      </c>
      <c r="AK12" s="4">
        <f>SUM(N26:N29)+AK11</f>
        <v>9380</v>
      </c>
      <c r="AL12" s="5">
        <f t="shared" si="4"/>
        <v>-0.49155405405405406</v>
      </c>
      <c r="AM12" s="9"/>
      <c r="AN12" s="9">
        <f t="shared" si="14"/>
        <v>9280</v>
      </c>
      <c r="AO12" s="18">
        <v>890.92</v>
      </c>
      <c r="AP12" s="18">
        <f t="shared" si="15"/>
        <v>7126.650000000001</v>
      </c>
      <c r="AQ12" s="9">
        <f t="shared" si="5"/>
        <v>614.08</v>
      </c>
      <c r="AR12" s="9">
        <f t="shared" si="16"/>
        <v>1903.35</v>
      </c>
      <c r="AS12" s="19" t="e">
        <f t="shared" si="6"/>
        <v>#VALUE!</v>
      </c>
      <c r="AT12" s="20">
        <f t="shared" si="7"/>
        <v>0.20291577825159915</v>
      </c>
      <c r="AU12" s="21"/>
    </row>
    <row r="13" spans="1:47" ht="12.75">
      <c r="A13" s="7">
        <f t="shared" si="8"/>
        <v>35737</v>
      </c>
      <c r="B13" s="15">
        <f t="shared" si="9"/>
        <v>7</v>
      </c>
      <c r="C13" s="10">
        <v>0</v>
      </c>
      <c r="D13" s="8">
        <f t="shared" si="1"/>
        <v>0</v>
      </c>
      <c r="E13" s="8"/>
      <c r="F13" s="8"/>
      <c r="G13" s="8"/>
      <c r="H13" s="8"/>
      <c r="I13" s="2"/>
      <c r="J13" s="2"/>
      <c r="K13" s="2"/>
      <c r="L13" s="2"/>
      <c r="M13" s="3">
        <f t="shared" si="10"/>
        <v>21</v>
      </c>
      <c r="N13" s="4">
        <v>0</v>
      </c>
      <c r="O13" s="4">
        <f t="shared" si="11"/>
        <v>1050</v>
      </c>
      <c r="P13" s="16">
        <f t="shared" si="2"/>
        <v>150</v>
      </c>
      <c r="Q13" s="5">
        <f t="shared" si="12"/>
        <v>-1</v>
      </c>
      <c r="R13" s="13">
        <f aca="true" t="shared" si="17" ref="R13:R66">R12+31</f>
        <v>35858</v>
      </c>
      <c r="S13" s="40" t="s">
        <v>31</v>
      </c>
      <c r="T13" s="25">
        <f>SUM(C30:C34)</f>
        <v>38</v>
      </c>
      <c r="U13" s="9">
        <f>SUM(D30:D34)</f>
        <v>1900</v>
      </c>
      <c r="W13" s="9">
        <f t="shared" si="13"/>
        <v>9050</v>
      </c>
      <c r="X13" s="9"/>
      <c r="Y13" s="25">
        <f>SUM(I30:I34)</f>
        <v>29</v>
      </c>
      <c r="Z13" s="9">
        <f>SUM(J30:J34)</f>
        <v>435</v>
      </c>
      <c r="AB13" s="9">
        <f t="shared" si="3"/>
        <v>2565</v>
      </c>
      <c r="AC13" s="9"/>
      <c r="AD13" s="9"/>
      <c r="AE13" s="9"/>
      <c r="AG13" s="9"/>
      <c r="AH13" s="9"/>
      <c r="AI13" s="62"/>
      <c r="AJ13" s="56">
        <f aca="true" t="shared" si="18" ref="AJ13:AJ18">U13+Z13</f>
        <v>2335</v>
      </c>
      <c r="AK13" s="4">
        <f>SUM(N30:N34)+AK12</f>
        <v>11715</v>
      </c>
      <c r="AL13" s="5">
        <f t="shared" si="4"/>
        <v>0.5514950166112957</v>
      </c>
      <c r="AM13" s="9"/>
      <c r="AN13" s="9">
        <f t="shared" si="14"/>
        <v>11615</v>
      </c>
      <c r="AO13" s="18">
        <v>1176.63</v>
      </c>
      <c r="AP13" s="18">
        <f t="shared" si="15"/>
        <v>8303.28</v>
      </c>
      <c r="AQ13" s="9">
        <f t="shared" si="5"/>
        <v>1158.37</v>
      </c>
      <c r="AR13" s="9">
        <f t="shared" si="16"/>
        <v>3061.72</v>
      </c>
      <c r="AS13" s="19" t="e">
        <f t="shared" si="6"/>
        <v>#VALUE!</v>
      </c>
      <c r="AT13" s="20">
        <f t="shared" si="7"/>
        <v>0.2613504054630815</v>
      </c>
      <c r="AU13" s="21"/>
    </row>
    <row r="14" spans="1:47" ht="12.75">
      <c r="A14" s="7">
        <f t="shared" si="8"/>
        <v>35744</v>
      </c>
      <c r="B14" s="15">
        <f t="shared" si="9"/>
        <v>8</v>
      </c>
      <c r="C14" s="10">
        <v>13</v>
      </c>
      <c r="D14" s="8">
        <f t="shared" si="1"/>
        <v>650</v>
      </c>
      <c r="E14" s="8"/>
      <c r="F14" s="8"/>
      <c r="G14" s="8"/>
      <c r="H14" s="8"/>
      <c r="I14" s="2"/>
      <c r="J14" s="2"/>
      <c r="K14" s="2"/>
      <c r="L14" s="2"/>
      <c r="M14" s="3">
        <f t="shared" si="10"/>
        <v>34</v>
      </c>
      <c r="N14" s="4">
        <v>750</v>
      </c>
      <c r="O14" s="4">
        <f t="shared" si="11"/>
        <v>1800</v>
      </c>
      <c r="P14" s="16">
        <f t="shared" si="2"/>
        <v>225</v>
      </c>
      <c r="Q14" s="5" t="s">
        <v>12</v>
      </c>
      <c r="R14" s="13">
        <f t="shared" si="17"/>
        <v>35889</v>
      </c>
      <c r="S14" s="40" t="s">
        <v>32</v>
      </c>
      <c r="T14" s="25">
        <f>SUM(C35:C38)</f>
        <v>12</v>
      </c>
      <c r="U14" s="9">
        <f>SUM(D35:D38)</f>
        <v>600</v>
      </c>
      <c r="W14" s="9">
        <f t="shared" si="13"/>
        <v>9650</v>
      </c>
      <c r="X14" s="9"/>
      <c r="Y14" s="25">
        <f>SUM(I35:I38)</f>
        <v>25</v>
      </c>
      <c r="Z14" s="9">
        <f>SUM(J35:J38)</f>
        <v>375</v>
      </c>
      <c r="AB14" s="9">
        <f t="shared" si="3"/>
        <v>2940</v>
      </c>
      <c r="AC14" s="9"/>
      <c r="AD14" s="9"/>
      <c r="AE14" s="9"/>
      <c r="AG14" s="9"/>
      <c r="AH14" s="9"/>
      <c r="AI14" s="62"/>
      <c r="AJ14" s="56">
        <f t="shared" si="18"/>
        <v>975</v>
      </c>
      <c r="AK14" s="4">
        <f>SUM(N35:N38)+AK13</f>
        <v>12690</v>
      </c>
      <c r="AL14" s="5">
        <f t="shared" si="4"/>
        <v>-0.582441113490364</v>
      </c>
      <c r="AM14" s="9"/>
      <c r="AN14" s="9">
        <f t="shared" si="14"/>
        <v>12590</v>
      </c>
      <c r="AO14" s="18">
        <f>347.8+128.76+234.99+685+33.6+27.65+395.45</f>
        <v>1853.25</v>
      </c>
      <c r="AP14" s="18">
        <f t="shared" si="15"/>
        <v>10156.53</v>
      </c>
      <c r="AQ14" s="9">
        <f t="shared" si="5"/>
        <v>-878.25</v>
      </c>
      <c r="AR14" s="9">
        <f t="shared" si="16"/>
        <v>2183.47</v>
      </c>
      <c r="AS14" s="19" t="e">
        <f t="shared" si="6"/>
        <v>#VALUE!</v>
      </c>
      <c r="AT14" s="20">
        <f t="shared" si="7"/>
        <v>0.1720622537431048</v>
      </c>
      <c r="AU14" s="21"/>
    </row>
    <row r="15" spans="1:47" ht="12.75">
      <c r="A15" s="7">
        <f t="shared" si="8"/>
        <v>35751</v>
      </c>
      <c r="B15" s="15">
        <f t="shared" si="9"/>
        <v>9</v>
      </c>
      <c r="C15" s="3">
        <v>6</v>
      </c>
      <c r="D15" s="8">
        <f t="shared" si="1"/>
        <v>300</v>
      </c>
      <c r="E15" s="8"/>
      <c r="F15" s="8"/>
      <c r="G15" s="8"/>
      <c r="H15" s="8"/>
      <c r="I15">
        <v>9</v>
      </c>
      <c r="J15" s="11">
        <f>I15*15</f>
        <v>135</v>
      </c>
      <c r="K15" s="11"/>
      <c r="L15" s="11"/>
      <c r="M15" s="3">
        <f t="shared" si="10"/>
        <v>40</v>
      </c>
      <c r="N15" s="4">
        <v>435</v>
      </c>
      <c r="O15" s="4">
        <f t="shared" si="11"/>
        <v>2235</v>
      </c>
      <c r="P15" s="16">
        <f t="shared" si="2"/>
        <v>248.33333333333334</v>
      </c>
      <c r="Q15" s="5">
        <f t="shared" si="12"/>
        <v>-0.42000000000000004</v>
      </c>
      <c r="R15" s="13">
        <f t="shared" si="17"/>
        <v>35920</v>
      </c>
      <c r="S15" s="40" t="s">
        <v>33</v>
      </c>
      <c r="T15" s="25">
        <f>SUM(C39:C42)</f>
        <v>35</v>
      </c>
      <c r="U15" s="9">
        <f>SUM(D39:D42)</f>
        <v>1750</v>
      </c>
      <c r="W15" s="9">
        <f t="shared" si="13"/>
        <v>11400</v>
      </c>
      <c r="X15" s="9"/>
      <c r="Y15" s="25">
        <f>SUM(I39:I42)</f>
        <v>39</v>
      </c>
      <c r="Z15" s="9">
        <f>SUM(J39:J42)</f>
        <v>585</v>
      </c>
      <c r="AB15" s="9">
        <f t="shared" si="3"/>
        <v>3525</v>
      </c>
      <c r="AC15" s="9"/>
      <c r="AD15" s="9"/>
      <c r="AE15" s="9"/>
      <c r="AG15" s="9"/>
      <c r="AH15" s="9"/>
      <c r="AI15" s="62"/>
      <c r="AJ15" s="56">
        <f t="shared" si="18"/>
        <v>2335</v>
      </c>
      <c r="AK15" s="4">
        <f>SUM(N39:N42)+AK14</f>
        <v>15025</v>
      </c>
      <c r="AL15" s="5">
        <f aca="true" t="shared" si="19" ref="AL15:AL20">(AJ15/AJ14)-1</f>
        <v>1.3948717948717948</v>
      </c>
      <c r="AM15" s="9"/>
      <c r="AN15" s="9">
        <f t="shared" si="14"/>
        <v>14925</v>
      </c>
      <c r="AO15" s="18">
        <v>243.52</v>
      </c>
      <c r="AP15" s="18">
        <f t="shared" si="15"/>
        <v>10400.050000000001</v>
      </c>
      <c r="AQ15" s="9">
        <f t="shared" si="5"/>
        <v>2091.48</v>
      </c>
      <c r="AR15" s="9">
        <f t="shared" si="16"/>
        <v>4274.95</v>
      </c>
      <c r="AS15" s="19" t="e">
        <f t="shared" si="6"/>
        <v>#VALUE!</v>
      </c>
      <c r="AT15" s="20">
        <f t="shared" si="7"/>
        <v>0.284522462562396</v>
      </c>
      <c r="AU15" s="21"/>
    </row>
    <row r="16" spans="1:47" ht="12.75">
      <c r="A16" s="7">
        <f t="shared" si="8"/>
        <v>35758</v>
      </c>
      <c r="B16" s="15">
        <f t="shared" si="9"/>
        <v>10</v>
      </c>
      <c r="C16" s="3">
        <v>8</v>
      </c>
      <c r="D16" s="8">
        <f t="shared" si="1"/>
        <v>400</v>
      </c>
      <c r="E16" s="8"/>
      <c r="F16" s="8"/>
      <c r="G16" s="8"/>
      <c r="H16" s="8"/>
      <c r="I16">
        <v>5</v>
      </c>
      <c r="J16" s="11">
        <f aca="true" t="shared" si="20" ref="J16:J80">I16*15</f>
        <v>75</v>
      </c>
      <c r="K16" s="11"/>
      <c r="L16" s="11"/>
      <c r="M16" s="3">
        <f t="shared" si="10"/>
        <v>48</v>
      </c>
      <c r="N16" s="4">
        <v>475</v>
      </c>
      <c r="O16" s="4">
        <f t="shared" si="11"/>
        <v>2710</v>
      </c>
      <c r="P16" s="16">
        <f t="shared" si="2"/>
        <v>271</v>
      </c>
      <c r="Q16" s="5">
        <f t="shared" si="12"/>
        <v>0.09195402298850586</v>
      </c>
      <c r="R16" s="13">
        <f t="shared" si="17"/>
        <v>35951</v>
      </c>
      <c r="S16" s="40" t="s">
        <v>34</v>
      </c>
      <c r="T16" s="25">
        <f>SUM(C43:C47)</f>
        <v>51</v>
      </c>
      <c r="U16" s="9">
        <f>SUM(D43:D47)</f>
        <v>2550</v>
      </c>
      <c r="W16" s="9">
        <f t="shared" si="13"/>
        <v>13950</v>
      </c>
      <c r="X16" s="9"/>
      <c r="Y16" s="25">
        <f>SUM(I43:I47)</f>
        <v>116</v>
      </c>
      <c r="Z16" s="9">
        <f>SUM(J43:J47)</f>
        <v>1740</v>
      </c>
      <c r="AB16" s="9">
        <f t="shared" si="3"/>
        <v>5265</v>
      </c>
      <c r="AC16" s="9"/>
      <c r="AD16" s="9"/>
      <c r="AE16" s="9"/>
      <c r="AG16" s="9"/>
      <c r="AH16" s="9"/>
      <c r="AI16" s="62"/>
      <c r="AJ16" s="56">
        <f t="shared" si="18"/>
        <v>4290</v>
      </c>
      <c r="AK16" s="4">
        <f>SUM(N43:N47)+AK15</f>
        <v>19315</v>
      </c>
      <c r="AL16" s="5">
        <f t="shared" si="19"/>
        <v>0.8372591006423984</v>
      </c>
      <c r="AM16" s="9"/>
      <c r="AN16" s="9">
        <f>AJ16</f>
        <v>4290</v>
      </c>
      <c r="AU16" s="21"/>
    </row>
    <row r="17" spans="1:47" ht="12.75">
      <c r="A17" s="7">
        <f t="shared" si="8"/>
        <v>35765</v>
      </c>
      <c r="B17" s="15">
        <f t="shared" si="9"/>
        <v>11</v>
      </c>
      <c r="C17" s="3">
        <v>7</v>
      </c>
      <c r="D17" s="8">
        <f t="shared" si="1"/>
        <v>350</v>
      </c>
      <c r="E17" s="8"/>
      <c r="F17" s="8"/>
      <c r="G17" s="8"/>
      <c r="H17" s="8"/>
      <c r="I17">
        <v>0</v>
      </c>
      <c r="J17" s="11">
        <f t="shared" si="20"/>
        <v>0</v>
      </c>
      <c r="K17" s="11"/>
      <c r="L17" s="11"/>
      <c r="M17" s="3">
        <f t="shared" si="10"/>
        <v>55</v>
      </c>
      <c r="N17" s="4">
        <v>350</v>
      </c>
      <c r="O17" s="4">
        <f t="shared" si="11"/>
        <v>3060</v>
      </c>
      <c r="P17" s="16">
        <f t="shared" si="2"/>
        <v>278.1818181818182</v>
      </c>
      <c r="Q17" s="5">
        <f t="shared" si="12"/>
        <v>-0.26315789473684215</v>
      </c>
      <c r="R17" s="13">
        <f t="shared" si="17"/>
        <v>35982</v>
      </c>
      <c r="S17" s="40" t="s">
        <v>35</v>
      </c>
      <c r="T17" s="25">
        <f>SUM(C48:C51)</f>
        <v>27</v>
      </c>
      <c r="U17" s="9">
        <f>SUM(D48:D51)</f>
        <v>1350</v>
      </c>
      <c r="W17" s="9">
        <f t="shared" si="13"/>
        <v>15300</v>
      </c>
      <c r="X17" s="9"/>
      <c r="Y17" s="25">
        <f>SUM(I48:I51)</f>
        <v>44</v>
      </c>
      <c r="Z17" s="9">
        <f>SUM(J48:J51)</f>
        <v>660</v>
      </c>
      <c r="AB17" s="9">
        <f t="shared" si="3"/>
        <v>5925</v>
      </c>
      <c r="AC17" s="9"/>
      <c r="AD17" s="9"/>
      <c r="AE17" s="9"/>
      <c r="AG17" s="9"/>
      <c r="AH17" s="9"/>
      <c r="AI17" s="62"/>
      <c r="AJ17" s="56">
        <f t="shared" si="18"/>
        <v>2010</v>
      </c>
      <c r="AK17" s="4">
        <f>SUM(N48:N51)+AK16</f>
        <v>21325</v>
      </c>
      <c r="AL17" s="5">
        <f t="shared" si="19"/>
        <v>-0.5314685314685315</v>
      </c>
      <c r="AM17" s="9"/>
      <c r="AN17" s="9">
        <f t="shared" si="14"/>
        <v>6300</v>
      </c>
      <c r="AU17" s="21"/>
    </row>
    <row r="18" spans="1:47" ht="12.75">
      <c r="A18" s="7">
        <f t="shared" si="8"/>
        <v>35772</v>
      </c>
      <c r="B18" s="15">
        <f t="shared" si="9"/>
        <v>12</v>
      </c>
      <c r="C18" s="3">
        <v>12</v>
      </c>
      <c r="D18" s="8">
        <f t="shared" si="1"/>
        <v>600</v>
      </c>
      <c r="E18" s="8"/>
      <c r="F18" s="8"/>
      <c r="G18" s="8"/>
      <c r="H18" s="8"/>
      <c r="I18">
        <v>14</v>
      </c>
      <c r="J18" s="11">
        <f t="shared" si="20"/>
        <v>210</v>
      </c>
      <c r="K18" s="11"/>
      <c r="L18" s="11"/>
      <c r="M18" s="3">
        <f t="shared" si="10"/>
        <v>67</v>
      </c>
      <c r="N18" s="4">
        <v>810</v>
      </c>
      <c r="O18" s="4">
        <f t="shared" si="11"/>
        <v>3870</v>
      </c>
      <c r="P18" s="16">
        <f t="shared" si="2"/>
        <v>322.5</v>
      </c>
      <c r="Q18" s="5">
        <f t="shared" si="12"/>
        <v>1.3142857142857145</v>
      </c>
      <c r="R18" s="13">
        <f t="shared" si="17"/>
        <v>36013</v>
      </c>
      <c r="S18" s="40" t="s">
        <v>36</v>
      </c>
      <c r="T18" s="25">
        <f>SUM(C52:C56)</f>
        <v>12</v>
      </c>
      <c r="U18" s="9">
        <f>SUM(D52:D56)</f>
        <v>600</v>
      </c>
      <c r="W18" s="9">
        <f t="shared" si="13"/>
        <v>15900</v>
      </c>
      <c r="X18" s="9"/>
      <c r="Y18" s="25">
        <f>SUM(I52:I56)</f>
        <v>25</v>
      </c>
      <c r="Z18" s="9">
        <f>SUM(J52:J56)</f>
        <v>375</v>
      </c>
      <c r="AB18" s="9">
        <f t="shared" si="3"/>
        <v>6300</v>
      </c>
      <c r="AC18" s="9"/>
      <c r="AD18" s="9"/>
      <c r="AE18" s="9"/>
      <c r="AG18" s="9"/>
      <c r="AH18" s="9"/>
      <c r="AI18" s="62"/>
      <c r="AJ18" s="56">
        <f t="shared" si="18"/>
        <v>975</v>
      </c>
      <c r="AK18" s="4">
        <f>SUM(N52:N56)+AK17</f>
        <v>22300</v>
      </c>
      <c r="AL18" s="5">
        <f t="shared" si="19"/>
        <v>-0.5149253731343284</v>
      </c>
      <c r="AM18" s="9"/>
      <c r="AN18" s="42">
        <f t="shared" si="14"/>
        <v>7275</v>
      </c>
      <c r="AU18" s="21"/>
    </row>
    <row r="19" spans="1:46" ht="12.75">
      <c r="A19" s="7">
        <f t="shared" si="8"/>
        <v>35779</v>
      </c>
      <c r="B19" s="15">
        <f t="shared" si="9"/>
        <v>13</v>
      </c>
      <c r="C19" s="3">
        <v>8</v>
      </c>
      <c r="D19" s="8">
        <f t="shared" si="1"/>
        <v>400</v>
      </c>
      <c r="E19" s="8"/>
      <c r="F19" s="8"/>
      <c r="G19" s="8"/>
      <c r="H19" s="8"/>
      <c r="I19">
        <v>3</v>
      </c>
      <c r="J19" s="11">
        <f t="shared" si="20"/>
        <v>45</v>
      </c>
      <c r="K19" s="11"/>
      <c r="L19" s="11"/>
      <c r="M19" s="3">
        <f t="shared" si="10"/>
        <v>75</v>
      </c>
      <c r="N19" s="4">
        <v>445</v>
      </c>
      <c r="O19" s="4">
        <f t="shared" si="11"/>
        <v>4315</v>
      </c>
      <c r="P19" s="16">
        <f t="shared" si="2"/>
        <v>331.9230769230769</v>
      </c>
      <c r="Q19" s="5">
        <f t="shared" si="12"/>
        <v>-0.4506172839506173</v>
      </c>
      <c r="R19" s="26">
        <f t="shared" si="17"/>
        <v>36044</v>
      </c>
      <c r="S19" s="27" t="s">
        <v>25</v>
      </c>
      <c r="T19" s="28">
        <f>SUM(C57:C60)</f>
        <v>40</v>
      </c>
      <c r="U19" s="29">
        <f>SUM(D57:D60)</f>
        <v>2000</v>
      </c>
      <c r="V19" s="68"/>
      <c r="W19" s="29">
        <f>U19</f>
        <v>2000</v>
      </c>
      <c r="X19" s="29"/>
      <c r="Y19" s="28">
        <f>SUM(I57:I60)</f>
        <v>127</v>
      </c>
      <c r="Z19" s="29">
        <f>SUM(J57:J60)</f>
        <v>1905</v>
      </c>
      <c r="AA19" s="68"/>
      <c r="AB19" s="29">
        <f>Z19</f>
        <v>1905</v>
      </c>
      <c r="AC19" s="29"/>
      <c r="AD19" s="29"/>
      <c r="AE19" s="29"/>
      <c r="AF19" s="68"/>
      <c r="AG19" s="29"/>
      <c r="AH19" s="29"/>
      <c r="AI19" s="63"/>
      <c r="AJ19" s="57">
        <f aca="true" t="shared" si="21" ref="AJ19:AJ24">U19+Z19</f>
        <v>3905</v>
      </c>
      <c r="AK19" s="31">
        <f>SUM(N57:N60)</f>
        <v>3905</v>
      </c>
      <c r="AL19" s="32">
        <f t="shared" si="19"/>
        <v>3.005128205128205</v>
      </c>
      <c r="AM19" s="29"/>
      <c r="AN19" s="9">
        <f t="shared" si="14"/>
        <v>11180</v>
      </c>
      <c r="AO19" s="33"/>
      <c r="AP19" s="33"/>
      <c r="AQ19" s="33"/>
      <c r="AR19" s="33"/>
      <c r="AS19" s="33"/>
      <c r="AT19" s="33"/>
    </row>
    <row r="20" spans="1:40" ht="12.75">
      <c r="A20" s="7">
        <f t="shared" si="8"/>
        <v>35786</v>
      </c>
      <c r="B20" s="15">
        <f t="shared" si="9"/>
        <v>14</v>
      </c>
      <c r="C20" s="3">
        <v>0</v>
      </c>
      <c r="D20" s="8">
        <f t="shared" si="1"/>
        <v>0</v>
      </c>
      <c r="E20" s="8"/>
      <c r="F20" s="8"/>
      <c r="G20" s="8"/>
      <c r="H20" s="8"/>
      <c r="I20">
        <v>10</v>
      </c>
      <c r="J20" s="11">
        <f t="shared" si="20"/>
        <v>150</v>
      </c>
      <c r="K20" s="11"/>
      <c r="L20" s="11"/>
      <c r="M20" s="3">
        <f t="shared" si="10"/>
        <v>75</v>
      </c>
      <c r="N20" s="4">
        <v>0</v>
      </c>
      <c r="O20" s="4">
        <f t="shared" si="11"/>
        <v>4315</v>
      </c>
      <c r="P20" s="16">
        <f t="shared" si="2"/>
        <v>308.2142857142857</v>
      </c>
      <c r="Q20" s="5">
        <f t="shared" si="12"/>
        <v>-1</v>
      </c>
      <c r="R20" s="13">
        <f t="shared" si="17"/>
        <v>36075</v>
      </c>
      <c r="S20" s="15" t="s">
        <v>26</v>
      </c>
      <c r="T20" s="25">
        <f>SUM(C61:C64)</f>
        <v>31</v>
      </c>
      <c r="U20" s="9">
        <f>SUM(D61:D64)</f>
        <v>1550</v>
      </c>
      <c r="W20" s="9">
        <f t="shared" si="13"/>
        <v>3550</v>
      </c>
      <c r="X20" s="9"/>
      <c r="Y20" s="25">
        <f>SUM(I61:I64)</f>
        <v>64</v>
      </c>
      <c r="Z20" s="9">
        <f>SUM(J61:J64)</f>
        <v>960</v>
      </c>
      <c r="AB20" s="9">
        <f aca="true" t="shared" si="22" ref="AB20:AB30">AB19+Z20</f>
        <v>2865</v>
      </c>
      <c r="AC20" s="9"/>
      <c r="AD20" s="9"/>
      <c r="AE20" s="9"/>
      <c r="AG20" s="9"/>
      <c r="AH20" s="9"/>
      <c r="AI20" s="62"/>
      <c r="AJ20" s="56">
        <f t="shared" si="21"/>
        <v>2510</v>
      </c>
      <c r="AK20" s="4">
        <f>SUM(N61:N64)+AK19</f>
        <v>6415</v>
      </c>
      <c r="AL20" s="5">
        <f t="shared" si="19"/>
        <v>-0.35723431498079383</v>
      </c>
      <c r="AM20" s="9"/>
      <c r="AN20" s="9">
        <f t="shared" si="14"/>
        <v>13690</v>
      </c>
    </row>
    <row r="21" spans="1:40" ht="12.75">
      <c r="A21" s="7">
        <f t="shared" si="8"/>
        <v>35793</v>
      </c>
      <c r="B21" s="15">
        <f t="shared" si="9"/>
        <v>15</v>
      </c>
      <c r="C21" s="3">
        <v>9</v>
      </c>
      <c r="D21" s="8">
        <f t="shared" si="1"/>
        <v>450</v>
      </c>
      <c r="E21" s="8"/>
      <c r="F21" s="8"/>
      <c r="G21" s="8"/>
      <c r="H21" s="8"/>
      <c r="I21">
        <v>0</v>
      </c>
      <c r="J21" s="11">
        <f t="shared" si="20"/>
        <v>0</v>
      </c>
      <c r="K21" s="11"/>
      <c r="L21" s="11"/>
      <c r="M21" s="3">
        <f t="shared" si="10"/>
        <v>84</v>
      </c>
      <c r="N21" s="4">
        <v>600</v>
      </c>
      <c r="O21" s="4">
        <f t="shared" si="11"/>
        <v>4915</v>
      </c>
      <c r="P21" s="16">
        <f t="shared" si="2"/>
        <v>327.6666666666667</v>
      </c>
      <c r="Q21" s="5"/>
      <c r="R21" s="13">
        <f t="shared" si="17"/>
        <v>36106</v>
      </c>
      <c r="S21" s="15" t="s">
        <v>27</v>
      </c>
      <c r="T21" s="25">
        <f>SUM(C65:C69)</f>
        <v>27</v>
      </c>
      <c r="U21" s="9">
        <f>SUM(D65:D69)</f>
        <v>1350</v>
      </c>
      <c r="W21" s="9">
        <f t="shared" si="13"/>
        <v>4900</v>
      </c>
      <c r="X21" s="9"/>
      <c r="Y21" s="25">
        <f>SUM(I65:I69)</f>
        <v>103</v>
      </c>
      <c r="Z21" s="9">
        <f>SUM(J65:J69)</f>
        <v>1542</v>
      </c>
      <c r="AB21" s="9">
        <f t="shared" si="22"/>
        <v>4407</v>
      </c>
      <c r="AC21" s="9"/>
      <c r="AD21" s="23">
        <f>(Z21/Z9)-1</f>
        <v>6.3428571428571425</v>
      </c>
      <c r="AE21" s="23"/>
      <c r="AF21" s="69"/>
      <c r="AG21" s="23"/>
      <c r="AH21" s="23"/>
      <c r="AI21" s="64"/>
      <c r="AJ21" s="56">
        <f t="shared" si="21"/>
        <v>2892</v>
      </c>
      <c r="AK21" s="4">
        <f>SUM(N65:N69)+AK20</f>
        <v>9307</v>
      </c>
      <c r="AL21" s="5">
        <f aca="true" t="shared" si="23" ref="AL21:AL27">(AJ21/AJ20)-1</f>
        <v>0.15219123505976095</v>
      </c>
      <c r="AM21" s="23">
        <f>(AK21/AK9)-1</f>
        <v>2.4343173431734315</v>
      </c>
      <c r="AN21" s="9">
        <f t="shared" si="14"/>
        <v>16582</v>
      </c>
    </row>
    <row r="22" spans="1:40" ht="12.75">
      <c r="A22" s="7">
        <f t="shared" si="8"/>
        <v>35800</v>
      </c>
      <c r="B22" s="15">
        <f t="shared" si="9"/>
        <v>16</v>
      </c>
      <c r="C22" s="3">
        <v>5</v>
      </c>
      <c r="D22" s="8">
        <f t="shared" si="1"/>
        <v>250</v>
      </c>
      <c r="E22" s="8"/>
      <c r="F22" s="8"/>
      <c r="G22" s="8"/>
      <c r="H22" s="8"/>
      <c r="I22">
        <v>12</v>
      </c>
      <c r="J22" s="11">
        <f t="shared" si="20"/>
        <v>180</v>
      </c>
      <c r="K22" s="11"/>
      <c r="L22" s="11"/>
      <c r="M22" s="3">
        <f t="shared" si="10"/>
        <v>89</v>
      </c>
      <c r="N22" s="4">
        <v>430</v>
      </c>
      <c r="O22" s="4">
        <f t="shared" si="11"/>
        <v>5345</v>
      </c>
      <c r="P22" s="16">
        <f t="shared" si="2"/>
        <v>334.0625</v>
      </c>
      <c r="Q22" s="5">
        <f t="shared" si="12"/>
        <v>-0.2833333333333333</v>
      </c>
      <c r="R22" s="13">
        <f t="shared" si="17"/>
        <v>36137</v>
      </c>
      <c r="S22" s="15" t="s">
        <v>28</v>
      </c>
      <c r="T22" s="25">
        <f>SUM(C70:C73)</f>
        <v>11</v>
      </c>
      <c r="U22" s="9">
        <f>SUM(D70:D73)</f>
        <v>550</v>
      </c>
      <c r="W22" s="9">
        <f t="shared" si="13"/>
        <v>5450</v>
      </c>
      <c r="X22" s="9"/>
      <c r="Y22" s="25">
        <f>SUM(I70:I73)</f>
        <v>46</v>
      </c>
      <c r="Z22" s="9">
        <f>SUM(J70:J73)</f>
        <v>690</v>
      </c>
      <c r="AB22" s="9">
        <f t="shared" si="22"/>
        <v>5097</v>
      </c>
      <c r="AC22" s="9"/>
      <c r="AD22" s="23">
        <f aca="true" t="shared" si="24" ref="AD22:AD30">(Z22/Z10)-1</f>
        <v>0.7037037037037037</v>
      </c>
      <c r="AE22" s="23"/>
      <c r="AF22" s="69"/>
      <c r="AG22" s="23"/>
      <c r="AH22" s="23"/>
      <c r="AI22" s="64"/>
      <c r="AJ22" s="56">
        <f t="shared" si="21"/>
        <v>1240</v>
      </c>
      <c r="AK22" s="4">
        <f>SUM(N70:N73)+AK21</f>
        <v>10547</v>
      </c>
      <c r="AL22" s="5">
        <f t="shared" si="23"/>
        <v>-0.5712309820193637</v>
      </c>
      <c r="AM22" s="23">
        <f aca="true" t="shared" si="25" ref="AM22:AM30">(AK22/AK10)-1</f>
        <v>1.1458799593082403</v>
      </c>
      <c r="AN22" s="9">
        <f t="shared" si="14"/>
        <v>17822</v>
      </c>
    </row>
    <row r="23" spans="1:40" ht="12.75">
      <c r="A23" s="7">
        <f t="shared" si="8"/>
        <v>35807</v>
      </c>
      <c r="B23" s="15">
        <f t="shared" si="9"/>
        <v>17</v>
      </c>
      <c r="C23" s="3">
        <v>9</v>
      </c>
      <c r="D23" s="8">
        <f t="shared" si="1"/>
        <v>450</v>
      </c>
      <c r="E23" s="8"/>
      <c r="F23" s="8"/>
      <c r="G23" s="8"/>
      <c r="H23" s="8"/>
      <c r="I23">
        <v>13</v>
      </c>
      <c r="J23" s="11">
        <f t="shared" si="20"/>
        <v>195</v>
      </c>
      <c r="K23" s="11"/>
      <c r="L23" s="11"/>
      <c r="M23" s="3">
        <f t="shared" si="10"/>
        <v>98</v>
      </c>
      <c r="N23" s="4">
        <f>450+195</f>
        <v>645</v>
      </c>
      <c r="O23" s="4">
        <f t="shared" si="11"/>
        <v>5990</v>
      </c>
      <c r="P23" s="16">
        <f t="shared" si="2"/>
        <v>352.3529411764706</v>
      </c>
      <c r="Q23" s="5">
        <f t="shared" si="12"/>
        <v>0.5</v>
      </c>
      <c r="R23" s="13">
        <f t="shared" si="17"/>
        <v>36168</v>
      </c>
      <c r="S23" s="40" t="s">
        <v>29</v>
      </c>
      <c r="T23" s="25">
        <f>SUM(C74:C77)</f>
        <v>29</v>
      </c>
      <c r="U23" s="9">
        <f>SUM(D74:D77)</f>
        <v>1450</v>
      </c>
      <c r="W23" s="9">
        <f t="shared" si="13"/>
        <v>6900</v>
      </c>
      <c r="X23" s="9"/>
      <c r="Y23" s="25">
        <f>SUM(I74:I77)</f>
        <v>89</v>
      </c>
      <c r="Z23" s="9">
        <f>SUM(J74:J77)</f>
        <v>1335</v>
      </c>
      <c r="AB23" s="9">
        <f t="shared" si="22"/>
        <v>6432</v>
      </c>
      <c r="AC23" s="9"/>
      <c r="AD23" s="23">
        <f t="shared" si="24"/>
        <v>0.20270270270270263</v>
      </c>
      <c r="AE23" s="23"/>
      <c r="AF23" s="69"/>
      <c r="AG23" s="23"/>
      <c r="AH23" s="23"/>
      <c r="AI23" s="64"/>
      <c r="AJ23" s="56">
        <f t="shared" si="21"/>
        <v>2785</v>
      </c>
      <c r="AK23" s="4">
        <f>SUM(N74:N77)+AK22</f>
        <v>13332</v>
      </c>
      <c r="AL23" s="5">
        <f t="shared" si="23"/>
        <v>1.245967741935484</v>
      </c>
      <c r="AM23" s="23">
        <f t="shared" si="25"/>
        <v>0.692952380952381</v>
      </c>
      <c r="AN23" s="9">
        <f t="shared" si="14"/>
        <v>20607</v>
      </c>
    </row>
    <row r="24" spans="1:40" ht="12.75">
      <c r="A24" s="7">
        <f t="shared" si="8"/>
        <v>35814</v>
      </c>
      <c r="B24" s="15">
        <f t="shared" si="9"/>
        <v>18</v>
      </c>
      <c r="C24" s="3">
        <v>12</v>
      </c>
      <c r="D24" s="8">
        <f t="shared" si="1"/>
        <v>600</v>
      </c>
      <c r="E24" s="8"/>
      <c r="F24" s="8"/>
      <c r="G24" s="8"/>
      <c r="H24" s="8"/>
      <c r="I24">
        <v>18</v>
      </c>
      <c r="J24" s="11">
        <f t="shared" si="20"/>
        <v>270</v>
      </c>
      <c r="K24" s="11"/>
      <c r="L24" s="11"/>
      <c r="M24" s="3">
        <f t="shared" si="10"/>
        <v>110</v>
      </c>
      <c r="N24" s="4">
        <v>870</v>
      </c>
      <c r="O24" s="4">
        <f t="shared" si="11"/>
        <v>6860</v>
      </c>
      <c r="P24" s="16">
        <f t="shared" si="2"/>
        <v>381.1111111111111</v>
      </c>
      <c r="Q24" s="5">
        <f t="shared" si="12"/>
        <v>0.34883720930232553</v>
      </c>
      <c r="R24" s="13">
        <f t="shared" si="17"/>
        <v>36199</v>
      </c>
      <c r="S24" s="40" t="s">
        <v>30</v>
      </c>
      <c r="T24" s="25">
        <f>SUM(C78:C81)</f>
        <v>13</v>
      </c>
      <c r="U24" s="9">
        <f>SUM(D78:D81)</f>
        <v>650</v>
      </c>
      <c r="W24" s="9">
        <f t="shared" si="13"/>
        <v>7550</v>
      </c>
      <c r="X24" s="9"/>
      <c r="Y24" s="25">
        <f>SUM(I78:I81)</f>
        <v>74</v>
      </c>
      <c r="Z24" s="9">
        <f>SUM(J78:J81)</f>
        <v>1110</v>
      </c>
      <c r="AB24" s="9">
        <f t="shared" si="22"/>
        <v>7542</v>
      </c>
      <c r="AC24" s="9"/>
      <c r="AD24" s="23">
        <f t="shared" si="24"/>
        <v>1.740740740740741</v>
      </c>
      <c r="AE24" s="23"/>
      <c r="AF24" s="69"/>
      <c r="AG24" s="23"/>
      <c r="AH24" s="23"/>
      <c r="AI24" s="64"/>
      <c r="AJ24" s="56">
        <f t="shared" si="21"/>
        <v>1760</v>
      </c>
      <c r="AK24" s="4">
        <f>SUM(N78:N81)+AK23</f>
        <v>15092</v>
      </c>
      <c r="AL24" s="5">
        <f t="shared" si="23"/>
        <v>-0.3680430879712747</v>
      </c>
      <c r="AM24" s="23">
        <f t="shared" si="25"/>
        <v>0.6089552238805971</v>
      </c>
      <c r="AN24" s="9">
        <f t="shared" si="14"/>
        <v>22367</v>
      </c>
    </row>
    <row r="25" spans="1:40" ht="12.75">
      <c r="A25" s="7">
        <f aca="true" t="shared" si="26" ref="A25:A40">A24+7</f>
        <v>35821</v>
      </c>
      <c r="B25" s="15">
        <f t="shared" si="9"/>
        <v>19</v>
      </c>
      <c r="C25" s="3">
        <v>11</v>
      </c>
      <c r="D25" s="8">
        <f t="shared" si="1"/>
        <v>550</v>
      </c>
      <c r="E25" s="8"/>
      <c r="F25" s="8"/>
      <c r="G25" s="8"/>
      <c r="H25" s="8"/>
      <c r="I25">
        <v>31</v>
      </c>
      <c r="J25" s="11">
        <f t="shared" si="20"/>
        <v>465</v>
      </c>
      <c r="K25" s="11"/>
      <c r="L25" s="11"/>
      <c r="M25" s="3">
        <f t="shared" si="10"/>
        <v>121</v>
      </c>
      <c r="N25" s="4">
        <f aca="true" t="shared" si="27" ref="N25:N30">D25+J25</f>
        <v>1015</v>
      </c>
      <c r="O25" s="4">
        <f t="shared" si="11"/>
        <v>7875</v>
      </c>
      <c r="P25" s="16">
        <f t="shared" si="2"/>
        <v>414.4736842105263</v>
      </c>
      <c r="Q25" s="5">
        <f t="shared" si="12"/>
        <v>0.16666666666666674</v>
      </c>
      <c r="R25" s="13">
        <f t="shared" si="17"/>
        <v>36230</v>
      </c>
      <c r="S25" s="40" t="s">
        <v>31</v>
      </c>
      <c r="T25" s="25">
        <f>SUM(C82:C86)</f>
        <v>18</v>
      </c>
      <c r="U25" s="9">
        <f>SUM(D82:D86)</f>
        <v>900</v>
      </c>
      <c r="W25" s="9">
        <f t="shared" si="13"/>
        <v>8450</v>
      </c>
      <c r="X25" s="9"/>
      <c r="Y25" s="25">
        <f>SUM(I82:I86)</f>
        <v>51</v>
      </c>
      <c r="Z25" s="9">
        <f>SUM(J82:J86)</f>
        <v>765</v>
      </c>
      <c r="AB25" s="9">
        <f t="shared" si="22"/>
        <v>8307</v>
      </c>
      <c r="AC25" s="9"/>
      <c r="AD25" s="23">
        <f t="shared" si="24"/>
        <v>0.7586206896551724</v>
      </c>
      <c r="AE25" s="23"/>
      <c r="AF25" s="69"/>
      <c r="AG25" s="23"/>
      <c r="AH25" s="23"/>
      <c r="AI25" s="64"/>
      <c r="AJ25" s="56">
        <f aca="true" t="shared" si="28" ref="AJ25:AJ30">U25+Z25</f>
        <v>1665</v>
      </c>
      <c r="AK25" s="4">
        <f>SUM(N82:N86)+AK24</f>
        <v>16757</v>
      </c>
      <c r="AL25" s="5">
        <f t="shared" si="23"/>
        <v>-0.05397727272727271</v>
      </c>
      <c r="AM25" s="23">
        <f t="shared" si="25"/>
        <v>0.43038839095177117</v>
      </c>
      <c r="AN25" s="9">
        <f t="shared" si="14"/>
        <v>24032</v>
      </c>
    </row>
    <row r="26" spans="1:40" ht="12.75">
      <c r="A26" s="7">
        <f t="shared" si="26"/>
        <v>35828</v>
      </c>
      <c r="B26" s="15">
        <f t="shared" si="9"/>
        <v>20</v>
      </c>
      <c r="C26" s="3">
        <v>7</v>
      </c>
      <c r="D26" s="8">
        <f t="shared" si="1"/>
        <v>350</v>
      </c>
      <c r="E26" s="8"/>
      <c r="F26" s="8"/>
      <c r="G26" s="8"/>
      <c r="H26" s="8"/>
      <c r="I26">
        <v>8</v>
      </c>
      <c r="J26" s="11">
        <f t="shared" si="20"/>
        <v>120</v>
      </c>
      <c r="K26" s="11"/>
      <c r="L26" s="11"/>
      <c r="M26" s="3">
        <f aca="true" t="shared" si="29" ref="M26:M32">C26+M25</f>
        <v>128</v>
      </c>
      <c r="N26" s="4">
        <f t="shared" si="27"/>
        <v>470</v>
      </c>
      <c r="O26" s="4">
        <f aca="true" t="shared" si="30" ref="O26:O32">O25+N26</f>
        <v>8345</v>
      </c>
      <c r="P26" s="16">
        <f t="shared" si="2"/>
        <v>417.25</v>
      </c>
      <c r="Q26" s="5">
        <f t="shared" si="12"/>
        <v>-0.5369458128078818</v>
      </c>
      <c r="R26" s="13">
        <f t="shared" si="17"/>
        <v>36261</v>
      </c>
      <c r="S26" s="40" t="s">
        <v>32</v>
      </c>
      <c r="T26" s="25">
        <f>SUM(C87:C90)</f>
        <v>8</v>
      </c>
      <c r="U26" s="9">
        <f>SUM(D87:D90)</f>
        <v>400</v>
      </c>
      <c r="W26" s="9">
        <f t="shared" si="13"/>
        <v>8850</v>
      </c>
      <c r="X26" s="9"/>
      <c r="Y26" s="25">
        <f>SUM(I87:I90)</f>
        <v>10</v>
      </c>
      <c r="Z26" s="9">
        <f>SUM(J87:J90)</f>
        <v>150</v>
      </c>
      <c r="AB26" s="9">
        <f t="shared" si="22"/>
        <v>8457</v>
      </c>
      <c r="AC26" s="9"/>
      <c r="AD26" s="23">
        <f t="shared" si="24"/>
        <v>-0.6</v>
      </c>
      <c r="AE26" s="23"/>
      <c r="AF26" s="69"/>
      <c r="AG26" s="23"/>
      <c r="AH26" s="23"/>
      <c r="AI26" s="64"/>
      <c r="AJ26" s="56">
        <f t="shared" si="28"/>
        <v>550</v>
      </c>
      <c r="AK26" s="4">
        <f>SUM(N87:N90)+AK25</f>
        <v>17307</v>
      </c>
      <c r="AL26" s="5">
        <f t="shared" si="23"/>
        <v>-0.6696696696696697</v>
      </c>
      <c r="AM26" s="23">
        <f t="shared" si="25"/>
        <v>0.3638297872340426</v>
      </c>
      <c r="AN26" s="9">
        <f t="shared" si="14"/>
        <v>24582</v>
      </c>
    </row>
    <row r="27" spans="1:40" ht="12.75">
      <c r="A27" s="7">
        <f t="shared" si="26"/>
        <v>35835</v>
      </c>
      <c r="B27" s="15">
        <f t="shared" si="9"/>
        <v>21</v>
      </c>
      <c r="C27" s="3">
        <v>10</v>
      </c>
      <c r="D27" s="8">
        <f t="shared" si="1"/>
        <v>500</v>
      </c>
      <c r="E27" s="8"/>
      <c r="F27" s="8"/>
      <c r="G27" s="8"/>
      <c r="H27" s="8"/>
      <c r="I27">
        <v>8</v>
      </c>
      <c r="J27" s="11">
        <f t="shared" si="20"/>
        <v>120</v>
      </c>
      <c r="K27" s="11"/>
      <c r="L27" s="11"/>
      <c r="M27" s="3">
        <f t="shared" si="29"/>
        <v>138</v>
      </c>
      <c r="N27" s="4">
        <f t="shared" si="27"/>
        <v>620</v>
      </c>
      <c r="O27" s="4">
        <f t="shared" si="30"/>
        <v>8965</v>
      </c>
      <c r="P27" s="16">
        <f t="shared" si="2"/>
        <v>426.9047619047619</v>
      </c>
      <c r="Q27" s="5">
        <f aca="true" t="shared" si="31" ref="Q27:Q32">(N27/N26)-1</f>
        <v>0.31914893617021267</v>
      </c>
      <c r="R27" s="13">
        <f t="shared" si="17"/>
        <v>36292</v>
      </c>
      <c r="S27" s="40" t="s">
        <v>33</v>
      </c>
      <c r="T27" s="25">
        <f>SUM(C91:C95)</f>
        <v>28</v>
      </c>
      <c r="U27" s="9">
        <f>SUM(D91:D95)</f>
        <v>1400</v>
      </c>
      <c r="W27" s="9">
        <f t="shared" si="13"/>
        <v>10250</v>
      </c>
      <c r="X27" s="9"/>
      <c r="Y27" s="25">
        <f>SUM(I91:I95)</f>
        <v>65</v>
      </c>
      <c r="Z27" s="9">
        <f>SUM(J91:J95)</f>
        <v>975</v>
      </c>
      <c r="AB27" s="9">
        <f t="shared" si="22"/>
        <v>9432</v>
      </c>
      <c r="AC27" s="9"/>
      <c r="AD27" s="23">
        <f t="shared" si="24"/>
        <v>0.6666666666666667</v>
      </c>
      <c r="AE27" s="23"/>
      <c r="AF27" s="69"/>
      <c r="AG27" s="23"/>
      <c r="AH27" s="23"/>
      <c r="AI27" s="64"/>
      <c r="AJ27" s="56">
        <f t="shared" si="28"/>
        <v>2375</v>
      </c>
      <c r="AK27" s="4">
        <f>SUM(N91:N95)+AK26</f>
        <v>19682</v>
      </c>
      <c r="AL27" s="5">
        <f t="shared" si="23"/>
        <v>3.3181818181818183</v>
      </c>
      <c r="AM27" s="23">
        <f t="shared" si="25"/>
        <v>0.30995008319467554</v>
      </c>
      <c r="AN27" s="9">
        <f t="shared" si="14"/>
        <v>26957</v>
      </c>
    </row>
    <row r="28" spans="1:40" ht="12.75">
      <c r="A28" s="7">
        <f t="shared" si="26"/>
        <v>35842</v>
      </c>
      <c r="B28" s="15">
        <f t="shared" si="9"/>
        <v>22</v>
      </c>
      <c r="C28" s="3">
        <v>4</v>
      </c>
      <c r="D28" s="8">
        <f t="shared" si="1"/>
        <v>200</v>
      </c>
      <c r="E28" s="8"/>
      <c r="F28" s="8"/>
      <c r="G28" s="8"/>
      <c r="H28" s="8"/>
      <c r="I28">
        <v>9</v>
      </c>
      <c r="J28" s="11">
        <f t="shared" si="20"/>
        <v>135</v>
      </c>
      <c r="K28" s="11"/>
      <c r="L28" s="11"/>
      <c r="M28" s="3">
        <f t="shared" si="29"/>
        <v>142</v>
      </c>
      <c r="N28" s="4">
        <f t="shared" si="27"/>
        <v>335</v>
      </c>
      <c r="O28" s="4">
        <f t="shared" si="30"/>
        <v>9300</v>
      </c>
      <c r="P28" s="16">
        <f t="shared" si="2"/>
        <v>422.72727272727275</v>
      </c>
      <c r="Q28" s="5">
        <f t="shared" si="31"/>
        <v>-0.45967741935483875</v>
      </c>
      <c r="R28" s="13">
        <f t="shared" si="17"/>
        <v>36323</v>
      </c>
      <c r="S28" s="40" t="s">
        <v>34</v>
      </c>
      <c r="T28" s="25">
        <f>SUM(C96:C99)</f>
        <v>53</v>
      </c>
      <c r="U28" s="9">
        <f>SUM(D96:D99)</f>
        <v>2650</v>
      </c>
      <c r="W28" s="9">
        <f t="shared" si="13"/>
        <v>12900</v>
      </c>
      <c r="X28" s="9"/>
      <c r="Y28" s="25">
        <f>SUM(I96:I99)</f>
        <v>224</v>
      </c>
      <c r="Z28" s="9">
        <f>SUM(J96:J99)</f>
        <v>3360</v>
      </c>
      <c r="AB28" s="9">
        <f t="shared" si="22"/>
        <v>12792</v>
      </c>
      <c r="AC28" s="9"/>
      <c r="AD28" s="23">
        <f t="shared" si="24"/>
        <v>0.9310344827586208</v>
      </c>
      <c r="AE28" s="23"/>
      <c r="AF28" s="69"/>
      <c r="AG28" s="23"/>
      <c r="AH28" s="23"/>
      <c r="AI28" s="64"/>
      <c r="AJ28" s="56">
        <f t="shared" si="28"/>
        <v>6010</v>
      </c>
      <c r="AK28" s="4">
        <f>SUM(N96:N99)+AK27</f>
        <v>25629</v>
      </c>
      <c r="AL28" s="5">
        <f aca="true" t="shared" si="32" ref="AL28:AL33">(AJ28/AJ27)-1</f>
        <v>1.5305263157894737</v>
      </c>
      <c r="AM28" s="23">
        <f t="shared" si="25"/>
        <v>0.326896194667357</v>
      </c>
      <c r="AN28" s="9">
        <f>AJ28</f>
        <v>6010</v>
      </c>
    </row>
    <row r="29" spans="1:40" ht="12.75">
      <c r="A29" s="7">
        <f t="shared" si="26"/>
        <v>35849</v>
      </c>
      <c r="B29" s="15">
        <f t="shared" si="9"/>
        <v>23</v>
      </c>
      <c r="C29" s="3">
        <v>1</v>
      </c>
      <c r="D29" s="8">
        <f t="shared" si="1"/>
        <v>50</v>
      </c>
      <c r="E29" s="8"/>
      <c r="F29" s="8"/>
      <c r="G29" s="8"/>
      <c r="H29" s="8"/>
      <c r="I29">
        <v>2</v>
      </c>
      <c r="J29" s="11">
        <f t="shared" si="20"/>
        <v>30</v>
      </c>
      <c r="K29" s="11"/>
      <c r="L29" s="11"/>
      <c r="M29" s="3">
        <f t="shared" si="29"/>
        <v>143</v>
      </c>
      <c r="N29" s="4">
        <f t="shared" si="27"/>
        <v>80</v>
      </c>
      <c r="O29" s="4">
        <f t="shared" si="30"/>
        <v>9380</v>
      </c>
      <c r="P29" s="16">
        <f t="shared" si="2"/>
        <v>407.82608695652175</v>
      </c>
      <c r="Q29" s="5">
        <f t="shared" si="31"/>
        <v>-0.7611940298507462</v>
      </c>
      <c r="R29" s="13">
        <f t="shared" si="17"/>
        <v>36354</v>
      </c>
      <c r="S29" s="40" t="s">
        <v>35</v>
      </c>
      <c r="T29" s="25">
        <f>SUM(C100:C103)</f>
        <v>21</v>
      </c>
      <c r="U29" s="9">
        <f>SUM(D100:D103)</f>
        <v>1050</v>
      </c>
      <c r="W29" s="9">
        <f t="shared" si="13"/>
        <v>13950</v>
      </c>
      <c r="X29" s="9"/>
      <c r="Y29" s="25">
        <f>SUM(I100:I103)</f>
        <v>167</v>
      </c>
      <c r="Z29" s="9">
        <f>SUM(J100:J103)</f>
        <v>2505</v>
      </c>
      <c r="AB29" s="9">
        <f t="shared" si="22"/>
        <v>15297</v>
      </c>
      <c r="AC29" s="9"/>
      <c r="AD29" s="23">
        <f t="shared" si="24"/>
        <v>2.7954545454545454</v>
      </c>
      <c r="AE29" s="23"/>
      <c r="AF29" s="69"/>
      <c r="AG29" s="23"/>
      <c r="AH29" s="23"/>
      <c r="AI29" s="64"/>
      <c r="AJ29" s="56">
        <f t="shared" si="28"/>
        <v>3555</v>
      </c>
      <c r="AK29" s="4">
        <f>SUM(N100:N103)+AK28</f>
        <v>29184</v>
      </c>
      <c r="AL29" s="5">
        <f t="shared" si="32"/>
        <v>-0.40848585690515804</v>
      </c>
      <c r="AM29" s="23">
        <f t="shared" si="25"/>
        <v>0.3685345838218055</v>
      </c>
      <c r="AN29" s="9">
        <f t="shared" si="14"/>
        <v>9565</v>
      </c>
    </row>
    <row r="30" spans="1:40" ht="12.75">
      <c r="A30" s="7">
        <f t="shared" si="26"/>
        <v>35856</v>
      </c>
      <c r="B30" s="15">
        <f t="shared" si="9"/>
        <v>24</v>
      </c>
      <c r="C30" s="3">
        <v>10</v>
      </c>
      <c r="D30" s="8">
        <f t="shared" si="1"/>
        <v>500</v>
      </c>
      <c r="E30" s="8"/>
      <c r="F30" s="8"/>
      <c r="G30" s="8"/>
      <c r="H30" s="8"/>
      <c r="I30">
        <v>6</v>
      </c>
      <c r="J30" s="11">
        <f t="shared" si="20"/>
        <v>90</v>
      </c>
      <c r="K30" s="11"/>
      <c r="L30" s="11"/>
      <c r="M30" s="3">
        <f t="shared" si="29"/>
        <v>153</v>
      </c>
      <c r="N30" s="4">
        <f t="shared" si="27"/>
        <v>590</v>
      </c>
      <c r="O30" s="4">
        <f t="shared" si="30"/>
        <v>9970</v>
      </c>
      <c r="P30" s="16">
        <f t="shared" si="2"/>
        <v>415.4166666666667</v>
      </c>
      <c r="Q30" s="5">
        <f t="shared" si="31"/>
        <v>6.375</v>
      </c>
      <c r="R30" s="13">
        <f t="shared" si="17"/>
        <v>36385</v>
      </c>
      <c r="S30" s="40" t="s">
        <v>36</v>
      </c>
      <c r="T30" s="41">
        <f>SUM(C104:C108)</f>
        <v>11</v>
      </c>
      <c r="U30" s="42">
        <f>SUM(D104:D108)</f>
        <v>550</v>
      </c>
      <c r="V30" s="71"/>
      <c r="W30" s="42">
        <f t="shared" si="13"/>
        <v>14500</v>
      </c>
      <c r="X30" s="42"/>
      <c r="Y30" s="41">
        <f>SUM(I104:I108)</f>
        <v>73</v>
      </c>
      <c r="Z30" s="42">
        <f>SUM(J104:J108)</f>
        <v>1095</v>
      </c>
      <c r="AA30" s="71"/>
      <c r="AB30" s="42">
        <f t="shared" si="22"/>
        <v>16392</v>
      </c>
      <c r="AC30" s="42"/>
      <c r="AD30" s="43">
        <f t="shared" si="24"/>
        <v>1.92</v>
      </c>
      <c r="AE30" s="43"/>
      <c r="AF30" s="70"/>
      <c r="AG30" s="43"/>
      <c r="AH30" s="43"/>
      <c r="AI30" s="65"/>
      <c r="AJ30" s="58">
        <f t="shared" si="28"/>
        <v>1645</v>
      </c>
      <c r="AK30" s="44">
        <f>SUM(N104:N108)+AK29</f>
        <v>30829</v>
      </c>
      <c r="AL30" s="45">
        <f t="shared" si="32"/>
        <v>-0.5372714486638537</v>
      </c>
      <c r="AM30" s="43">
        <f t="shared" si="25"/>
        <v>0.38246636771300446</v>
      </c>
      <c r="AN30" s="42">
        <f t="shared" si="14"/>
        <v>11210</v>
      </c>
    </row>
    <row r="31" spans="1:46" ht="12.75">
      <c r="A31" s="7">
        <f t="shared" si="26"/>
        <v>35863</v>
      </c>
      <c r="B31" s="15">
        <f t="shared" si="9"/>
        <v>25</v>
      </c>
      <c r="C31" s="3">
        <v>4</v>
      </c>
      <c r="D31" s="8">
        <f t="shared" si="1"/>
        <v>200</v>
      </c>
      <c r="E31" s="8"/>
      <c r="F31" s="8"/>
      <c r="G31" s="8"/>
      <c r="H31" s="8"/>
      <c r="I31">
        <v>3</v>
      </c>
      <c r="J31" s="11">
        <f t="shared" si="20"/>
        <v>45</v>
      </c>
      <c r="K31" s="11"/>
      <c r="L31" s="11"/>
      <c r="M31" s="3">
        <f t="shared" si="29"/>
        <v>157</v>
      </c>
      <c r="N31" s="4">
        <f aca="true" t="shared" si="33" ref="N31:N40">D31+J31</f>
        <v>245</v>
      </c>
      <c r="O31" s="4">
        <f t="shared" si="30"/>
        <v>10215</v>
      </c>
      <c r="P31" s="16">
        <f t="shared" si="2"/>
        <v>408.6</v>
      </c>
      <c r="Q31" s="5">
        <f t="shared" si="31"/>
        <v>-0.5847457627118644</v>
      </c>
      <c r="R31" s="26">
        <f t="shared" si="17"/>
        <v>36416</v>
      </c>
      <c r="S31" s="27" t="s">
        <v>25</v>
      </c>
      <c r="T31" s="25">
        <f>SUM(C109:C112)+SUM(E109:E112)+SUM(G109:G112)</f>
        <v>37</v>
      </c>
      <c r="U31" s="53">
        <f>SUM(D109:D112)+SUM(F109:F112)+SUM(H109:H112)</f>
        <v>1675</v>
      </c>
      <c r="V31" s="72"/>
      <c r="W31" s="9">
        <f>U31</f>
        <v>1675</v>
      </c>
      <c r="X31" s="9"/>
      <c r="Y31" s="25">
        <f>SUM(I109:I112)</f>
        <v>136</v>
      </c>
      <c r="Z31" s="9">
        <f>SUM(J109:J112)</f>
        <v>2040</v>
      </c>
      <c r="AB31" s="9">
        <f>Z31</f>
        <v>2040</v>
      </c>
      <c r="AC31" s="9"/>
      <c r="AD31" s="23">
        <f aca="true" t="shared" si="34" ref="AD31:AD36">(Z31/Z19)-1</f>
        <v>0.07086614173228356</v>
      </c>
      <c r="AE31" s="23"/>
      <c r="AF31" s="69"/>
      <c r="AG31" s="23"/>
      <c r="AH31" s="23"/>
      <c r="AI31" s="64"/>
      <c r="AJ31" s="56">
        <f aca="true" t="shared" si="35" ref="AJ31:AJ36">U31+Z31</f>
        <v>3715</v>
      </c>
      <c r="AK31" s="4">
        <f>AJ31</f>
        <v>3715</v>
      </c>
      <c r="AL31" s="5">
        <f t="shared" si="32"/>
        <v>1.2583586626139818</v>
      </c>
      <c r="AM31" s="23">
        <f aca="true" t="shared" si="36" ref="AM31:AM36">(AK31/AK19)-1</f>
        <v>-0.04865556978233032</v>
      </c>
      <c r="AN31" s="9">
        <f t="shared" si="14"/>
        <v>14925</v>
      </c>
      <c r="AO31" s="33"/>
      <c r="AP31" s="33"/>
      <c r="AQ31" s="33"/>
      <c r="AR31" s="33"/>
      <c r="AS31" s="33"/>
      <c r="AT31" s="33"/>
    </row>
    <row r="32" spans="1:40" ht="12.75">
      <c r="A32" s="7">
        <f t="shared" si="26"/>
        <v>35870</v>
      </c>
      <c r="B32" s="15">
        <f t="shared" si="9"/>
        <v>26</v>
      </c>
      <c r="C32" s="3">
        <v>7</v>
      </c>
      <c r="D32" s="8">
        <f t="shared" si="1"/>
        <v>350</v>
      </c>
      <c r="E32" s="8"/>
      <c r="F32" s="8"/>
      <c r="G32" s="8"/>
      <c r="H32" s="8"/>
      <c r="I32">
        <v>12</v>
      </c>
      <c r="J32" s="11">
        <f t="shared" si="20"/>
        <v>180</v>
      </c>
      <c r="K32" s="11"/>
      <c r="L32" s="11"/>
      <c r="M32" s="3">
        <f t="shared" si="29"/>
        <v>164</v>
      </c>
      <c r="N32" s="4">
        <f t="shared" si="33"/>
        <v>530</v>
      </c>
      <c r="O32" s="4">
        <f t="shared" si="30"/>
        <v>10745</v>
      </c>
      <c r="P32" s="16">
        <f t="shared" si="2"/>
        <v>413.2692307692308</v>
      </c>
      <c r="Q32" s="5">
        <f t="shared" si="31"/>
        <v>1.1632653061224492</v>
      </c>
      <c r="R32" s="13">
        <f t="shared" si="17"/>
        <v>36447</v>
      </c>
      <c r="S32" s="15" t="s">
        <v>26</v>
      </c>
      <c r="T32" s="25">
        <f>SUM(C113:C116)+SUM(E113:E116)+SUM(G113:G116)</f>
        <v>22</v>
      </c>
      <c r="U32" s="53">
        <f>SUM(D113:D116)+SUM(F113:F116)+SUM(H113:H116)</f>
        <v>900</v>
      </c>
      <c r="V32" s="72"/>
      <c r="W32" s="9">
        <f aca="true" t="shared" si="37" ref="W32:W37">W31+U32</f>
        <v>2575</v>
      </c>
      <c r="X32" s="9"/>
      <c r="Y32" s="25">
        <f>SUM(I113:I116)</f>
        <v>77</v>
      </c>
      <c r="Z32" s="9">
        <f>SUM(J113:J116)</f>
        <v>1155</v>
      </c>
      <c r="AB32" s="9">
        <f aca="true" t="shared" si="38" ref="AB32:AB42">AB31+Z32</f>
        <v>3195</v>
      </c>
      <c r="AC32" s="9"/>
      <c r="AD32" s="23">
        <f t="shared" si="34"/>
        <v>0.203125</v>
      </c>
      <c r="AE32" s="23"/>
      <c r="AF32" s="69"/>
      <c r="AG32" s="23"/>
      <c r="AH32" s="23"/>
      <c r="AI32" s="64"/>
      <c r="AJ32" s="56">
        <f t="shared" si="35"/>
        <v>2055</v>
      </c>
      <c r="AK32" s="4">
        <f aca="true" t="shared" si="39" ref="AK32:AK37">AJ32+AK31</f>
        <v>5770</v>
      </c>
      <c r="AL32" s="5">
        <f t="shared" si="32"/>
        <v>-0.44683714670255725</v>
      </c>
      <c r="AM32" s="23">
        <f t="shared" si="36"/>
        <v>-0.10054559625876847</v>
      </c>
      <c r="AN32" s="9">
        <f t="shared" si="14"/>
        <v>16980</v>
      </c>
    </row>
    <row r="33" spans="1:40" ht="12.75">
      <c r="A33" s="7">
        <f t="shared" si="26"/>
        <v>35877</v>
      </c>
      <c r="B33" s="15">
        <f t="shared" si="9"/>
        <v>27</v>
      </c>
      <c r="C33" s="3">
        <v>5</v>
      </c>
      <c r="D33" s="8">
        <f t="shared" si="1"/>
        <v>250</v>
      </c>
      <c r="E33" s="8"/>
      <c r="F33" s="8"/>
      <c r="G33" s="8"/>
      <c r="H33" s="8"/>
      <c r="I33">
        <v>0</v>
      </c>
      <c r="J33" s="11">
        <f t="shared" si="20"/>
        <v>0</v>
      </c>
      <c r="K33" s="11"/>
      <c r="L33" s="11"/>
      <c r="M33" s="3">
        <f aca="true" t="shared" si="40" ref="M33:M40">C33+M32</f>
        <v>169</v>
      </c>
      <c r="N33" s="4">
        <f t="shared" si="33"/>
        <v>250</v>
      </c>
      <c r="O33" s="4">
        <f aca="true" t="shared" si="41" ref="O33:O40">O32+N33</f>
        <v>10995</v>
      </c>
      <c r="P33" s="16">
        <f t="shared" si="2"/>
        <v>407.22222222222223</v>
      </c>
      <c r="Q33" s="5">
        <f>(N33/N32)-1</f>
        <v>-0.5283018867924528</v>
      </c>
      <c r="R33" s="13">
        <f t="shared" si="17"/>
        <v>36478</v>
      </c>
      <c r="S33" s="15" t="s">
        <v>27</v>
      </c>
      <c r="T33" s="25">
        <f>SUM(C117:C121)+SUM(E117:E121)+SUM(G117:G121)</f>
        <v>48</v>
      </c>
      <c r="U33" s="53">
        <f>SUM(D117:D121)+SUM(F117:F121)+SUM(H117:H121)</f>
        <v>1825</v>
      </c>
      <c r="V33" s="72"/>
      <c r="W33" s="9">
        <f t="shared" si="37"/>
        <v>4400</v>
      </c>
      <c r="X33" s="9"/>
      <c r="Y33" s="25">
        <f>SUM(I117:I121)</f>
        <v>196</v>
      </c>
      <c r="Z33" s="9">
        <f>SUM(J117:J121)</f>
        <v>2940</v>
      </c>
      <c r="AB33" s="9">
        <f t="shared" si="38"/>
        <v>6135</v>
      </c>
      <c r="AC33" s="9"/>
      <c r="AD33" s="23">
        <f t="shared" si="34"/>
        <v>0.906614785992218</v>
      </c>
      <c r="AE33" s="23"/>
      <c r="AF33" s="69"/>
      <c r="AG33" s="23"/>
      <c r="AH33" s="23"/>
      <c r="AI33" s="64"/>
      <c r="AJ33" s="56">
        <f t="shared" si="35"/>
        <v>4765</v>
      </c>
      <c r="AK33" s="4">
        <f t="shared" si="39"/>
        <v>10535</v>
      </c>
      <c r="AL33" s="5">
        <f t="shared" si="32"/>
        <v>1.3187347931873479</v>
      </c>
      <c r="AM33" s="23">
        <f t="shared" si="36"/>
        <v>0.13194369829160846</v>
      </c>
      <c r="AN33" s="9">
        <f t="shared" si="14"/>
        <v>21745</v>
      </c>
    </row>
    <row r="34" spans="1:40" ht="12.75">
      <c r="A34" s="7">
        <f t="shared" si="26"/>
        <v>35884</v>
      </c>
      <c r="B34" s="15">
        <f t="shared" si="9"/>
        <v>28</v>
      </c>
      <c r="C34" s="3">
        <v>12</v>
      </c>
      <c r="D34" s="8">
        <f t="shared" si="1"/>
        <v>600</v>
      </c>
      <c r="E34" s="8"/>
      <c r="F34" s="8"/>
      <c r="G34" s="8"/>
      <c r="H34" s="8"/>
      <c r="I34">
        <v>8</v>
      </c>
      <c r="J34" s="11">
        <f t="shared" si="20"/>
        <v>120</v>
      </c>
      <c r="K34" s="11"/>
      <c r="L34" s="11"/>
      <c r="M34" s="3">
        <f t="shared" si="40"/>
        <v>181</v>
      </c>
      <c r="N34" s="4">
        <f t="shared" si="33"/>
        <v>720</v>
      </c>
      <c r="O34" s="4">
        <f t="shared" si="41"/>
        <v>11715</v>
      </c>
      <c r="P34" s="16">
        <f t="shared" si="2"/>
        <v>418.39285714285717</v>
      </c>
      <c r="Q34" s="5">
        <f>(N34/N33)-1</f>
        <v>1.88</v>
      </c>
      <c r="R34" s="13">
        <f t="shared" si="17"/>
        <v>36509</v>
      </c>
      <c r="S34" s="15" t="s">
        <v>28</v>
      </c>
      <c r="T34" s="25">
        <f>SUM(C122:C125)+SUM(E122:E125)+SUM(G122:G125)</f>
        <v>13</v>
      </c>
      <c r="U34" s="53">
        <f>SUM(D122:D125)+SUM(F122:F125)+SUM(H122:H125)</f>
        <v>525</v>
      </c>
      <c r="V34" s="72"/>
      <c r="W34" s="9">
        <f t="shared" si="37"/>
        <v>4925</v>
      </c>
      <c r="X34" s="9"/>
      <c r="Y34" s="25">
        <f>SUM(I122:I125)</f>
        <v>36</v>
      </c>
      <c r="Z34" s="9">
        <f>SUM(J122:J125)</f>
        <v>520</v>
      </c>
      <c r="AB34" s="9">
        <f t="shared" si="38"/>
        <v>6655</v>
      </c>
      <c r="AC34" s="9"/>
      <c r="AD34" s="23">
        <f t="shared" si="34"/>
        <v>-0.24637681159420288</v>
      </c>
      <c r="AE34" s="23"/>
      <c r="AF34" s="69"/>
      <c r="AG34" s="23"/>
      <c r="AH34" s="23"/>
      <c r="AI34" s="64"/>
      <c r="AJ34" s="56">
        <f t="shared" si="35"/>
        <v>1045</v>
      </c>
      <c r="AK34" s="4">
        <f t="shared" si="39"/>
        <v>11580</v>
      </c>
      <c r="AL34" s="5">
        <f aca="true" t="shared" si="42" ref="AL34:AL39">(AJ34/AJ33)-1</f>
        <v>-0.7806925498426023</v>
      </c>
      <c r="AM34" s="23">
        <f t="shared" si="36"/>
        <v>0.09794254290319526</v>
      </c>
      <c r="AN34" s="9">
        <f t="shared" si="14"/>
        <v>22790</v>
      </c>
    </row>
    <row r="35" spans="1:40" ht="12.75">
      <c r="A35" s="7">
        <f t="shared" si="26"/>
        <v>35891</v>
      </c>
      <c r="B35" s="15">
        <f t="shared" si="9"/>
        <v>29</v>
      </c>
      <c r="C35" s="3">
        <v>3</v>
      </c>
      <c r="D35" s="8">
        <f t="shared" si="1"/>
        <v>150</v>
      </c>
      <c r="E35" s="8"/>
      <c r="F35" s="8"/>
      <c r="G35" s="8"/>
      <c r="H35" s="8"/>
      <c r="I35">
        <v>16</v>
      </c>
      <c r="J35" s="11">
        <f t="shared" si="20"/>
        <v>240</v>
      </c>
      <c r="K35" s="11"/>
      <c r="L35" s="11"/>
      <c r="M35" s="3">
        <f t="shared" si="40"/>
        <v>184</v>
      </c>
      <c r="N35" s="4">
        <f t="shared" si="33"/>
        <v>390</v>
      </c>
      <c r="O35" s="4">
        <f t="shared" si="41"/>
        <v>12105</v>
      </c>
      <c r="P35" s="16">
        <f t="shared" si="2"/>
        <v>417.41379310344826</v>
      </c>
      <c r="Q35" s="5">
        <f>(N35/N34)-1</f>
        <v>-0.45833333333333337</v>
      </c>
      <c r="R35" s="13">
        <f t="shared" si="17"/>
        <v>36540</v>
      </c>
      <c r="S35" s="40" t="s">
        <v>29</v>
      </c>
      <c r="T35" s="25">
        <f>SUM(C126:C130)+SUM(E126:E130)+SUM(G126:G130)</f>
        <v>19</v>
      </c>
      <c r="U35" s="53">
        <f>SUM(D126:D130)+SUM(F126:F130)+SUM(H126:H130)</f>
        <v>750</v>
      </c>
      <c r="V35" s="72"/>
      <c r="W35" s="9">
        <f t="shared" si="37"/>
        <v>5675</v>
      </c>
      <c r="X35" s="9"/>
      <c r="Y35" s="25">
        <f>SUM(I126:I130)</f>
        <v>134</v>
      </c>
      <c r="Z35" s="9">
        <f>SUM(J126:J130)</f>
        <v>2010</v>
      </c>
      <c r="AB35" s="9">
        <f t="shared" si="38"/>
        <v>8665</v>
      </c>
      <c r="AC35" s="9"/>
      <c r="AD35" s="23">
        <f t="shared" si="34"/>
        <v>0.5056179775280898</v>
      </c>
      <c r="AE35" s="23"/>
      <c r="AF35" s="69"/>
      <c r="AG35" s="23"/>
      <c r="AH35" s="23"/>
      <c r="AI35" s="64"/>
      <c r="AJ35" s="56">
        <f t="shared" si="35"/>
        <v>2760</v>
      </c>
      <c r="AK35" s="4">
        <f t="shared" si="39"/>
        <v>14340</v>
      </c>
      <c r="AL35" s="5">
        <f t="shared" si="42"/>
        <v>1.6411483253588517</v>
      </c>
      <c r="AM35" s="23">
        <f t="shared" si="36"/>
        <v>0.07560756075607555</v>
      </c>
      <c r="AN35" s="9">
        <f t="shared" si="14"/>
        <v>25550</v>
      </c>
    </row>
    <row r="36" spans="1:40" ht="12.75">
      <c r="A36" s="7">
        <f t="shared" si="26"/>
        <v>35898</v>
      </c>
      <c r="B36" s="15">
        <f t="shared" si="9"/>
        <v>30</v>
      </c>
      <c r="C36" s="3">
        <v>3</v>
      </c>
      <c r="D36" s="8">
        <f t="shared" si="1"/>
        <v>150</v>
      </c>
      <c r="E36" s="8"/>
      <c r="F36" s="8"/>
      <c r="G36" s="8"/>
      <c r="H36" s="8"/>
      <c r="I36">
        <v>2</v>
      </c>
      <c r="J36" s="11">
        <f t="shared" si="20"/>
        <v>30</v>
      </c>
      <c r="K36" s="11"/>
      <c r="L36" s="11"/>
      <c r="M36" s="3">
        <f t="shared" si="40"/>
        <v>187</v>
      </c>
      <c r="N36" s="4">
        <f t="shared" si="33"/>
        <v>180</v>
      </c>
      <c r="O36" s="4">
        <f t="shared" si="41"/>
        <v>12285</v>
      </c>
      <c r="P36" s="16">
        <f t="shared" si="2"/>
        <v>409.5</v>
      </c>
      <c r="Q36" s="5">
        <f>(N36/N35)-1</f>
        <v>-0.5384615384615384</v>
      </c>
      <c r="R36" s="13">
        <f t="shared" si="17"/>
        <v>36571</v>
      </c>
      <c r="S36" s="40" t="s">
        <v>30</v>
      </c>
      <c r="T36" s="25">
        <f>SUM(C131:C134)+SUM(E131:E134)+SUM(G131:G134)</f>
        <v>5</v>
      </c>
      <c r="U36" s="53">
        <f>SUM(D131:D134)+SUM(F131:F134)+SUM(H131:H134)</f>
        <v>200</v>
      </c>
      <c r="V36" s="72"/>
      <c r="W36" s="9">
        <f t="shared" si="37"/>
        <v>5875</v>
      </c>
      <c r="X36" s="9"/>
      <c r="Y36" s="25">
        <f>SUM(I131:I134)</f>
        <v>45</v>
      </c>
      <c r="Z36" s="9">
        <f>SUM(J131:J134)</f>
        <v>675</v>
      </c>
      <c r="AB36" s="9">
        <f t="shared" si="38"/>
        <v>9340</v>
      </c>
      <c r="AC36" s="9"/>
      <c r="AD36" s="23">
        <f t="shared" si="34"/>
        <v>-0.3918918918918919</v>
      </c>
      <c r="AE36" s="23"/>
      <c r="AF36" s="69"/>
      <c r="AG36" s="23"/>
      <c r="AH36" s="23"/>
      <c r="AI36" s="64"/>
      <c r="AJ36" s="56">
        <f t="shared" si="35"/>
        <v>875</v>
      </c>
      <c r="AK36" s="4">
        <f t="shared" si="39"/>
        <v>15215</v>
      </c>
      <c r="AL36" s="5">
        <f t="shared" si="42"/>
        <v>-0.6829710144927537</v>
      </c>
      <c r="AM36" s="23">
        <f t="shared" si="36"/>
        <v>0.008150013252054</v>
      </c>
      <c r="AN36" s="9">
        <f t="shared" si="14"/>
        <v>26425</v>
      </c>
    </row>
    <row r="37" spans="1:40" ht="12.75">
      <c r="A37" s="7">
        <f t="shared" si="26"/>
        <v>35905</v>
      </c>
      <c r="B37" s="15">
        <f t="shared" si="9"/>
        <v>31</v>
      </c>
      <c r="C37" s="3">
        <v>0</v>
      </c>
      <c r="D37" s="8">
        <f t="shared" si="1"/>
        <v>0</v>
      </c>
      <c r="E37" s="8"/>
      <c r="F37" s="8"/>
      <c r="G37" s="8"/>
      <c r="H37" s="8"/>
      <c r="I37">
        <v>0</v>
      </c>
      <c r="J37" s="11">
        <f t="shared" si="20"/>
        <v>0</v>
      </c>
      <c r="K37" s="11"/>
      <c r="L37" s="11"/>
      <c r="M37" s="3">
        <f t="shared" si="40"/>
        <v>187</v>
      </c>
      <c r="N37" s="4">
        <f t="shared" si="33"/>
        <v>0</v>
      </c>
      <c r="O37" s="4">
        <f t="shared" si="41"/>
        <v>12285</v>
      </c>
      <c r="P37" s="16">
        <f t="shared" si="2"/>
        <v>396.2903225806452</v>
      </c>
      <c r="Q37" s="5">
        <f>(N37/N36)-1</f>
        <v>-1</v>
      </c>
      <c r="R37" s="13">
        <f t="shared" si="17"/>
        <v>36602</v>
      </c>
      <c r="S37" s="40" t="s">
        <v>31</v>
      </c>
      <c r="T37" s="25">
        <f>SUM(C135:C138)+SUM(E135:E138)+SUM(G135:G138)</f>
        <v>18</v>
      </c>
      <c r="U37" s="53">
        <f>SUM(D135:D138)+SUM(F135:F138)+SUM(H135:H138)</f>
        <v>2605</v>
      </c>
      <c r="V37" s="72"/>
      <c r="W37" s="9">
        <f t="shared" si="37"/>
        <v>8480</v>
      </c>
      <c r="X37" s="9"/>
      <c r="Y37" s="25">
        <f>SUM(I135:I138)</f>
        <v>60</v>
      </c>
      <c r="Z37" s="9">
        <f>SUM(J135:J138)</f>
        <v>900</v>
      </c>
      <c r="AB37" s="9">
        <f t="shared" si="38"/>
        <v>10240</v>
      </c>
      <c r="AC37" s="9"/>
      <c r="AD37" s="23">
        <f aca="true" t="shared" si="43" ref="AD37:AD42">(Z37/Z25)-1</f>
        <v>0.17647058823529416</v>
      </c>
      <c r="AE37" s="23"/>
      <c r="AF37" s="69"/>
      <c r="AG37" s="23"/>
      <c r="AH37" s="23"/>
      <c r="AI37" s="64"/>
      <c r="AJ37" s="56">
        <f aca="true" t="shared" si="44" ref="AJ37:AJ42">U37+Z37</f>
        <v>3505</v>
      </c>
      <c r="AK37" s="4">
        <f t="shared" si="39"/>
        <v>18720</v>
      </c>
      <c r="AL37" s="5">
        <f t="shared" si="42"/>
        <v>3.0057142857142853</v>
      </c>
      <c r="AM37" s="23">
        <f aca="true" t="shared" si="45" ref="AM37:AM42">(AK37/AK25)-1</f>
        <v>0.11714507370054306</v>
      </c>
      <c r="AN37" s="9">
        <f t="shared" si="14"/>
        <v>29930</v>
      </c>
    </row>
    <row r="38" spans="1:40" ht="12.75">
      <c r="A38" s="7">
        <f t="shared" si="26"/>
        <v>35912</v>
      </c>
      <c r="B38" s="15">
        <f t="shared" si="9"/>
        <v>32</v>
      </c>
      <c r="C38" s="3">
        <v>6</v>
      </c>
      <c r="D38" s="8">
        <f t="shared" si="1"/>
        <v>300</v>
      </c>
      <c r="E38" s="8"/>
      <c r="F38" s="8"/>
      <c r="G38" s="8"/>
      <c r="H38" s="8"/>
      <c r="I38">
        <v>7</v>
      </c>
      <c r="J38" s="11">
        <f t="shared" si="20"/>
        <v>105</v>
      </c>
      <c r="K38" s="11"/>
      <c r="L38" s="11"/>
      <c r="M38" s="3">
        <f t="shared" si="40"/>
        <v>193</v>
      </c>
      <c r="N38" s="4">
        <f t="shared" si="33"/>
        <v>405</v>
      </c>
      <c r="O38" s="4">
        <f t="shared" si="41"/>
        <v>12690</v>
      </c>
      <c r="P38" s="16">
        <f t="shared" si="2"/>
        <v>396.5625</v>
      </c>
      <c r="Q38" s="5">
        <v>0</v>
      </c>
      <c r="R38" s="13">
        <f t="shared" si="17"/>
        <v>36633</v>
      </c>
      <c r="S38" s="40" t="s">
        <v>32</v>
      </c>
      <c r="T38" s="25">
        <f>SUM(C139:C142)+SUM(E139:E142)+SUM(G139:G142)</f>
        <v>0</v>
      </c>
      <c r="U38" s="53">
        <f>SUM(D139:D142)+SUM(F139:F142)+SUM(H139:H142)</f>
        <v>5945</v>
      </c>
      <c r="V38" s="72"/>
      <c r="W38" s="9">
        <f>W37+U38</f>
        <v>14425</v>
      </c>
      <c r="X38" s="9"/>
      <c r="Y38" s="25">
        <f>SUM(I139:I142)</f>
        <v>79</v>
      </c>
      <c r="Z38" s="9">
        <f>SUM(J139:J142)</f>
        <v>3096</v>
      </c>
      <c r="AB38" s="9">
        <f t="shared" si="38"/>
        <v>13336</v>
      </c>
      <c r="AC38" s="9"/>
      <c r="AD38" s="23">
        <f t="shared" si="43"/>
        <v>19.64</v>
      </c>
      <c r="AE38" s="23"/>
      <c r="AF38" s="69"/>
      <c r="AG38" s="23"/>
      <c r="AH38" s="23"/>
      <c r="AI38" s="64"/>
      <c r="AJ38" s="56">
        <f t="shared" si="44"/>
        <v>9041</v>
      </c>
      <c r="AK38" s="4">
        <f>AJ38+AK37</f>
        <v>27761</v>
      </c>
      <c r="AL38" s="5">
        <f t="shared" si="42"/>
        <v>1.5794579172610557</v>
      </c>
      <c r="AM38" s="23">
        <f t="shared" si="45"/>
        <v>0.6040330502108973</v>
      </c>
      <c r="AN38" s="9">
        <f t="shared" si="14"/>
        <v>38971</v>
      </c>
    </row>
    <row r="39" spans="1:40" ht="12.75">
      <c r="A39" s="7">
        <f t="shared" si="26"/>
        <v>35919</v>
      </c>
      <c r="B39" s="15">
        <f t="shared" si="9"/>
        <v>33</v>
      </c>
      <c r="C39" s="3">
        <v>10</v>
      </c>
      <c r="D39" s="8">
        <f t="shared" si="1"/>
        <v>500</v>
      </c>
      <c r="E39" s="8"/>
      <c r="F39" s="8"/>
      <c r="G39" s="8"/>
      <c r="H39" s="8"/>
      <c r="I39">
        <v>3</v>
      </c>
      <c r="J39" s="11">
        <f t="shared" si="20"/>
        <v>45</v>
      </c>
      <c r="K39" s="11"/>
      <c r="L39" s="11"/>
      <c r="M39" s="3">
        <f t="shared" si="40"/>
        <v>203</v>
      </c>
      <c r="N39" s="4">
        <f t="shared" si="33"/>
        <v>545</v>
      </c>
      <c r="O39" s="4">
        <f t="shared" si="41"/>
        <v>13235</v>
      </c>
      <c r="P39" s="16">
        <f t="shared" si="2"/>
        <v>401.06060606060606</v>
      </c>
      <c r="Q39" s="5">
        <f aca="true" t="shared" si="46" ref="Q39:Q44">(N39/N38)-1</f>
        <v>0.345679012345679</v>
      </c>
      <c r="R39" s="13">
        <f t="shared" si="17"/>
        <v>36664</v>
      </c>
      <c r="S39" s="40" t="s">
        <v>33</v>
      </c>
      <c r="T39" s="25">
        <f>SUM(C140:C143)+SUM(E140:E143)+SUM(G140:G143)</f>
        <v>0</v>
      </c>
      <c r="U39" s="53">
        <f>SUM(D143:D147)+SUM(F143:F147)+SUM(H143:H147)</f>
        <v>6574</v>
      </c>
      <c r="V39" s="72"/>
      <c r="W39" s="9">
        <f>W38+U39</f>
        <v>20999</v>
      </c>
      <c r="X39" s="9"/>
      <c r="Y39" s="25">
        <f>SUM(I143:I147)</f>
        <v>109</v>
      </c>
      <c r="Z39" s="9">
        <f>SUM(J143:J147)</f>
        <v>1305</v>
      </c>
      <c r="AB39" s="9">
        <f t="shared" si="38"/>
        <v>14641</v>
      </c>
      <c r="AC39" s="9"/>
      <c r="AD39" s="23">
        <f t="shared" si="43"/>
        <v>0.33846153846153837</v>
      </c>
      <c r="AE39" s="23"/>
      <c r="AF39" s="69"/>
      <c r="AG39" s="23"/>
      <c r="AH39" s="23"/>
      <c r="AI39" s="64"/>
      <c r="AJ39" s="56">
        <f t="shared" si="44"/>
        <v>7879</v>
      </c>
      <c r="AK39" s="4">
        <f>AJ39+AK38</f>
        <v>35640</v>
      </c>
      <c r="AL39" s="5">
        <f t="shared" si="42"/>
        <v>-0.12852560557460457</v>
      </c>
      <c r="AM39" s="23">
        <f t="shared" si="45"/>
        <v>0.8107915862209125</v>
      </c>
      <c r="AN39" s="9">
        <f t="shared" si="14"/>
        <v>46850</v>
      </c>
    </row>
    <row r="40" spans="1:40" ht="12.75">
      <c r="A40" s="7">
        <f t="shared" si="26"/>
        <v>35926</v>
      </c>
      <c r="B40" s="15">
        <f t="shared" si="9"/>
        <v>34</v>
      </c>
      <c r="C40" s="3">
        <v>10</v>
      </c>
      <c r="D40" s="8">
        <f t="shared" si="1"/>
        <v>500</v>
      </c>
      <c r="E40" s="8"/>
      <c r="F40" s="8"/>
      <c r="G40" s="8"/>
      <c r="H40" s="8"/>
      <c r="I40">
        <v>9</v>
      </c>
      <c r="J40" s="11">
        <f t="shared" si="20"/>
        <v>135</v>
      </c>
      <c r="K40" s="11"/>
      <c r="L40" s="11"/>
      <c r="M40" s="3">
        <f t="shared" si="40"/>
        <v>213</v>
      </c>
      <c r="N40" s="4">
        <f t="shared" si="33"/>
        <v>635</v>
      </c>
      <c r="O40" s="4">
        <f t="shared" si="41"/>
        <v>13870</v>
      </c>
      <c r="P40" s="16">
        <f t="shared" si="2"/>
        <v>407.94117647058823</v>
      </c>
      <c r="Q40" s="5">
        <f t="shared" si="46"/>
        <v>0.16513761467889898</v>
      </c>
      <c r="R40" s="13">
        <f t="shared" si="17"/>
        <v>36695</v>
      </c>
      <c r="S40" s="40" t="s">
        <v>34</v>
      </c>
      <c r="T40" s="25">
        <f>SUM(C148:C151)+SUM(E148:E151)+SUM(G148:G151)</f>
        <v>0</v>
      </c>
      <c r="U40" s="53">
        <f>SUM(D148:D151)+SUM(F148:F151)+SUM(H148:H151)</f>
        <v>12115</v>
      </c>
      <c r="V40" s="72"/>
      <c r="W40" s="9">
        <f>W39+U40</f>
        <v>33114</v>
      </c>
      <c r="X40" s="9">
        <f>U40</f>
        <v>12115</v>
      </c>
      <c r="Y40" s="25">
        <f>SUM(I148:I151)</f>
        <v>123</v>
      </c>
      <c r="Z40" s="9">
        <f>SUM(J148:J151)</f>
        <v>1845</v>
      </c>
      <c r="AB40" s="9">
        <f t="shared" si="38"/>
        <v>16486</v>
      </c>
      <c r="AC40" s="9">
        <f>Z40</f>
        <v>1845</v>
      </c>
      <c r="AD40" s="23">
        <f t="shared" si="43"/>
        <v>-0.4508928571428571</v>
      </c>
      <c r="AE40" s="23"/>
      <c r="AF40" s="69"/>
      <c r="AG40" s="23"/>
      <c r="AH40" s="9">
        <f>AE40</f>
        <v>0</v>
      </c>
      <c r="AI40" s="62"/>
      <c r="AJ40" s="56">
        <f t="shared" si="44"/>
        <v>13960</v>
      </c>
      <c r="AK40" s="4">
        <f>AJ40+AK39</f>
        <v>49600</v>
      </c>
      <c r="AL40" s="5">
        <f aca="true" t="shared" si="47" ref="AL40:AL45">(AJ40/AJ39)-1</f>
        <v>0.7717984515801497</v>
      </c>
      <c r="AM40" s="23">
        <f t="shared" si="45"/>
        <v>0.935307659292208</v>
      </c>
      <c r="AN40" s="9">
        <f>AJ40</f>
        <v>13960</v>
      </c>
    </row>
    <row r="41" spans="1:40" ht="12.75">
      <c r="A41" s="7">
        <f aca="true" t="shared" si="48" ref="A41:A56">A40+7</f>
        <v>35933</v>
      </c>
      <c r="B41" s="15">
        <f t="shared" si="9"/>
        <v>35</v>
      </c>
      <c r="C41" s="3">
        <v>9</v>
      </c>
      <c r="D41" s="8">
        <f t="shared" si="1"/>
        <v>450</v>
      </c>
      <c r="E41" s="8"/>
      <c r="F41" s="8"/>
      <c r="G41" s="8"/>
      <c r="H41" s="8"/>
      <c r="I41">
        <v>20</v>
      </c>
      <c r="J41" s="11">
        <f t="shared" si="20"/>
        <v>300</v>
      </c>
      <c r="K41" s="11"/>
      <c r="L41" s="11"/>
      <c r="M41" s="3">
        <f aca="true" t="shared" si="49" ref="M41:M46">C41+M40</f>
        <v>222</v>
      </c>
      <c r="N41" s="4">
        <f aca="true" t="shared" si="50" ref="N41:N46">D41+J41</f>
        <v>750</v>
      </c>
      <c r="O41" s="4">
        <f aca="true" t="shared" si="51" ref="O41:O46">O40+N41</f>
        <v>14620</v>
      </c>
      <c r="P41" s="16">
        <f t="shared" si="2"/>
        <v>417.7142857142857</v>
      </c>
      <c r="Q41" s="5">
        <f t="shared" si="46"/>
        <v>0.1811023622047243</v>
      </c>
      <c r="R41" s="13">
        <f t="shared" si="17"/>
        <v>36726</v>
      </c>
      <c r="S41" s="40" t="s">
        <v>35</v>
      </c>
      <c r="T41" s="25">
        <f>SUM(C149:C152)+SUM(E149:E152)+SUM(G149:G152)</f>
        <v>0</v>
      </c>
      <c r="U41" s="53">
        <f>SUM(D152:D156)+SUM(F152:F156)+SUM(H152:H156)</f>
        <v>8429</v>
      </c>
      <c r="V41" s="72"/>
      <c r="W41" s="9">
        <f>W40+U41</f>
        <v>41543</v>
      </c>
      <c r="X41" s="9">
        <f>X40+U41</f>
        <v>20544</v>
      </c>
      <c r="Y41" s="25">
        <f>SUM(I152:I156)</f>
        <v>181</v>
      </c>
      <c r="Z41" s="9">
        <f>SUM(J152:J156)</f>
        <v>2715</v>
      </c>
      <c r="AB41" s="9">
        <f t="shared" si="38"/>
        <v>19201</v>
      </c>
      <c r="AC41" s="9">
        <f aca="true" t="shared" si="52" ref="AC41:AC51">AC40+Z41</f>
        <v>4560</v>
      </c>
      <c r="AD41" s="23">
        <f t="shared" si="43"/>
        <v>0.08383233532934131</v>
      </c>
      <c r="AE41" s="23"/>
      <c r="AF41" s="69"/>
      <c r="AG41" s="23"/>
      <c r="AH41" s="9">
        <f>AH40+AE41</f>
        <v>0</v>
      </c>
      <c r="AI41" s="62"/>
      <c r="AJ41" s="56">
        <f t="shared" si="44"/>
        <v>11144</v>
      </c>
      <c r="AK41" s="4">
        <f>AJ41+AK40</f>
        <v>60744</v>
      </c>
      <c r="AL41" s="5">
        <f t="shared" si="47"/>
        <v>-0.2017191977077364</v>
      </c>
      <c r="AM41" s="23">
        <f t="shared" si="45"/>
        <v>1.0814144736842106</v>
      </c>
      <c r="AN41" s="9">
        <f t="shared" si="14"/>
        <v>25104</v>
      </c>
    </row>
    <row r="42" spans="1:40" ht="12.75">
      <c r="A42" s="7">
        <f t="shared" si="48"/>
        <v>35940</v>
      </c>
      <c r="B42" s="15">
        <f t="shared" si="9"/>
        <v>36</v>
      </c>
      <c r="C42" s="3">
        <v>6</v>
      </c>
      <c r="D42" s="8">
        <f t="shared" si="1"/>
        <v>300</v>
      </c>
      <c r="E42" s="8"/>
      <c r="F42" s="8"/>
      <c r="G42" s="8"/>
      <c r="H42" s="8"/>
      <c r="I42">
        <v>7</v>
      </c>
      <c r="J42" s="11">
        <f t="shared" si="20"/>
        <v>105</v>
      </c>
      <c r="K42" s="11"/>
      <c r="L42" s="11"/>
      <c r="M42" s="3">
        <f t="shared" si="49"/>
        <v>228</v>
      </c>
      <c r="N42" s="4">
        <f t="shared" si="50"/>
        <v>405</v>
      </c>
      <c r="O42" s="4">
        <f t="shared" si="51"/>
        <v>15025</v>
      </c>
      <c r="P42" s="16">
        <f t="shared" si="2"/>
        <v>417.3611111111111</v>
      </c>
      <c r="Q42" s="5">
        <f t="shared" si="46"/>
        <v>-0.45999999999999996</v>
      </c>
      <c r="R42" s="13">
        <f t="shared" si="17"/>
        <v>36757</v>
      </c>
      <c r="S42" s="40" t="s">
        <v>36</v>
      </c>
      <c r="T42" s="25">
        <f>SUM(C150:C153)+SUM(E150:E153)+SUM(G150:G153)</f>
        <v>0</v>
      </c>
      <c r="U42" s="53">
        <f>SUM(D157:D160)+SUM(F157:F160)+SUM(H157:H160)</f>
        <v>985</v>
      </c>
      <c r="V42" s="72"/>
      <c r="W42" s="9">
        <f>W41+U42</f>
        <v>42528</v>
      </c>
      <c r="X42" s="9">
        <f aca="true" t="shared" si="53" ref="X42:X55">X41+U42</f>
        <v>21529</v>
      </c>
      <c r="Y42" s="25">
        <f>SUM(I157:I160)</f>
        <v>35</v>
      </c>
      <c r="Z42" s="9">
        <f>SUM(J157:J160)</f>
        <v>525</v>
      </c>
      <c r="AB42" s="9">
        <f t="shared" si="38"/>
        <v>19726</v>
      </c>
      <c r="AC42" s="9">
        <f t="shared" si="52"/>
        <v>5085</v>
      </c>
      <c r="AD42" s="23">
        <f t="shared" si="43"/>
        <v>-0.5205479452054795</v>
      </c>
      <c r="AE42" s="23"/>
      <c r="AF42" s="69"/>
      <c r="AG42" s="23"/>
      <c r="AH42" s="9">
        <f aca="true" t="shared" si="54" ref="AH42:AH55">AH41+AE42</f>
        <v>0</v>
      </c>
      <c r="AI42" s="62"/>
      <c r="AJ42" s="56">
        <f t="shared" si="44"/>
        <v>1510</v>
      </c>
      <c r="AK42" s="4">
        <f>AJ42+AK41</f>
        <v>62254</v>
      </c>
      <c r="AL42" s="5">
        <f t="shared" si="47"/>
        <v>-0.8645010768126347</v>
      </c>
      <c r="AM42" s="23">
        <f t="shared" si="45"/>
        <v>1.0193324467222422</v>
      </c>
      <c r="AN42" s="9">
        <f aca="true" t="shared" si="55" ref="AN42:AN47">AN41+AJ42</f>
        <v>26614</v>
      </c>
    </row>
    <row r="43" spans="1:40" ht="12.75">
      <c r="A43" s="7">
        <f t="shared" si="48"/>
        <v>35947</v>
      </c>
      <c r="B43" s="15">
        <f t="shared" si="9"/>
        <v>37</v>
      </c>
      <c r="C43" s="3">
        <v>5</v>
      </c>
      <c r="D43" s="8">
        <f t="shared" si="1"/>
        <v>250</v>
      </c>
      <c r="E43" s="8"/>
      <c r="F43" s="8"/>
      <c r="G43" s="8"/>
      <c r="H43" s="8"/>
      <c r="I43">
        <v>6</v>
      </c>
      <c r="J43" s="11">
        <f t="shared" si="20"/>
        <v>90</v>
      </c>
      <c r="K43" s="11"/>
      <c r="L43" s="11"/>
      <c r="M43" s="3">
        <f t="shared" si="49"/>
        <v>233</v>
      </c>
      <c r="N43" s="4">
        <f t="shared" si="50"/>
        <v>340</v>
      </c>
      <c r="O43" s="4">
        <f t="shared" si="51"/>
        <v>15365</v>
      </c>
      <c r="P43" s="16">
        <f t="shared" si="2"/>
        <v>415.27027027027026</v>
      </c>
      <c r="Q43" s="5">
        <f t="shared" si="46"/>
        <v>-0.16049382716049387</v>
      </c>
      <c r="R43" s="13">
        <f t="shared" si="17"/>
        <v>36788</v>
      </c>
      <c r="S43" s="27" t="s">
        <v>25</v>
      </c>
      <c r="T43" s="25">
        <v>0</v>
      </c>
      <c r="U43" s="53">
        <f>SUM(D161:D164)+SUM(F161:F164)+SUM(H161:H164)+206.68</f>
        <v>4067.68</v>
      </c>
      <c r="V43" s="72"/>
      <c r="W43" s="9">
        <f>U43</f>
        <v>4067.68</v>
      </c>
      <c r="X43" s="9">
        <f t="shared" si="53"/>
        <v>25596.68</v>
      </c>
      <c r="Y43" s="25">
        <f>SUM(I161:I164)</f>
        <v>52</v>
      </c>
      <c r="Z43" s="9">
        <f>SUM(J161:J164)</f>
        <v>780</v>
      </c>
      <c r="AB43" s="9">
        <f>Z43</f>
        <v>780</v>
      </c>
      <c r="AC43" s="9">
        <f t="shared" si="52"/>
        <v>5865</v>
      </c>
      <c r="AD43" s="23">
        <f aca="true" t="shared" si="56" ref="AD43:AD48">(Z43/Z31)-1</f>
        <v>-0.6176470588235294</v>
      </c>
      <c r="AE43" s="23"/>
      <c r="AF43" s="69"/>
      <c r="AG43" s="9">
        <f>AE43</f>
        <v>0</v>
      </c>
      <c r="AH43" s="9">
        <f t="shared" si="54"/>
        <v>0</v>
      </c>
      <c r="AI43" s="62"/>
      <c r="AJ43" s="56">
        <f>U43+Z43</f>
        <v>4847.68</v>
      </c>
      <c r="AK43" s="4">
        <f>AJ43</f>
        <v>4847.68</v>
      </c>
      <c r="AL43" s="5">
        <f t="shared" si="47"/>
        <v>2.210384105960265</v>
      </c>
      <c r="AM43" s="23">
        <f aca="true" t="shared" si="57" ref="AM43:AM48">(AK43/AK31)-1</f>
        <v>0.3048936742934052</v>
      </c>
      <c r="AN43" s="9">
        <f t="shared" si="55"/>
        <v>31461.68</v>
      </c>
    </row>
    <row r="44" spans="1:40" ht="12.75">
      <c r="A44" s="7">
        <f t="shared" si="48"/>
        <v>35954</v>
      </c>
      <c r="B44" s="15">
        <f t="shared" si="9"/>
        <v>38</v>
      </c>
      <c r="C44" s="3">
        <v>9</v>
      </c>
      <c r="D44" s="8">
        <f t="shared" si="1"/>
        <v>450</v>
      </c>
      <c r="E44" s="8"/>
      <c r="F44" s="8"/>
      <c r="G44" s="8"/>
      <c r="H44" s="8"/>
      <c r="I44">
        <v>20</v>
      </c>
      <c r="J44" s="11">
        <f t="shared" si="20"/>
        <v>300</v>
      </c>
      <c r="K44" s="11"/>
      <c r="L44" s="11"/>
      <c r="M44" s="3">
        <f t="shared" si="49"/>
        <v>242</v>
      </c>
      <c r="N44" s="4">
        <f t="shared" si="50"/>
        <v>750</v>
      </c>
      <c r="O44" s="4">
        <f t="shared" si="51"/>
        <v>16115</v>
      </c>
      <c r="P44" s="16">
        <f t="shared" si="2"/>
        <v>424.07894736842104</v>
      </c>
      <c r="Q44" s="5">
        <f t="shared" si="46"/>
        <v>1.2058823529411766</v>
      </c>
      <c r="R44" s="13">
        <f t="shared" si="17"/>
        <v>36819</v>
      </c>
      <c r="S44" s="15" t="s">
        <v>26</v>
      </c>
      <c r="T44" s="25">
        <v>0</v>
      </c>
      <c r="U44" s="53">
        <f>SUM(D165:D169)+SUM(F165:F169)+SUM(H165:H169)</f>
        <v>4305</v>
      </c>
      <c r="V44" s="73">
        <f>U44/AJ44</f>
        <v>0.4618603154168008</v>
      </c>
      <c r="W44" s="9">
        <f aca="true" t="shared" si="58" ref="W44:W49">W43+U44</f>
        <v>8372.68</v>
      </c>
      <c r="X44" s="9">
        <f t="shared" si="53"/>
        <v>29901.68</v>
      </c>
      <c r="Y44" s="25">
        <f>SUM(I165:I169)</f>
        <v>204</v>
      </c>
      <c r="Z44" s="9">
        <f>SUM(J165:J169)</f>
        <v>2991</v>
      </c>
      <c r="AA44" s="73">
        <f>Z44/AJ44</f>
        <v>0.3208883167042163</v>
      </c>
      <c r="AB44" s="9">
        <f aca="true" t="shared" si="59" ref="AB44:AB54">AB43+Z44</f>
        <v>3771</v>
      </c>
      <c r="AC44" s="9">
        <f t="shared" si="52"/>
        <v>8856</v>
      </c>
      <c r="AD44" s="23">
        <f t="shared" si="56"/>
        <v>1.5896103896103897</v>
      </c>
      <c r="AE44" s="9">
        <f>SUM(L165:L169)</f>
        <v>2025</v>
      </c>
      <c r="AF44" s="73">
        <f>AE44/AJ44</f>
        <v>0.21725136787898294</v>
      </c>
      <c r="AG44" s="9">
        <f aca="true" t="shared" si="60" ref="AG44:AG49">AG43+AE44</f>
        <v>2025</v>
      </c>
      <c r="AH44" s="9">
        <f t="shared" si="54"/>
        <v>2025</v>
      </c>
      <c r="AI44" s="62"/>
      <c r="AJ44" s="56">
        <f aca="true" t="shared" si="61" ref="AJ44:AJ56">U44+Z44+AE44</f>
        <v>9321</v>
      </c>
      <c r="AK44" s="4">
        <f aca="true" t="shared" si="62" ref="AK44:AK49">AJ44+AK43</f>
        <v>14168.68</v>
      </c>
      <c r="AL44" s="5">
        <f t="shared" si="47"/>
        <v>0.9227754307214997</v>
      </c>
      <c r="AM44" s="23">
        <f t="shared" si="57"/>
        <v>1.45557712305026</v>
      </c>
      <c r="AN44" s="9">
        <f t="shared" si="55"/>
        <v>40782.68</v>
      </c>
    </row>
    <row r="45" spans="1:40" ht="12.75">
      <c r="A45" s="7">
        <f t="shared" si="48"/>
        <v>35961</v>
      </c>
      <c r="B45" s="15">
        <f t="shared" si="9"/>
        <v>39</v>
      </c>
      <c r="C45" s="3">
        <v>10</v>
      </c>
      <c r="D45" s="8">
        <f t="shared" si="1"/>
        <v>500</v>
      </c>
      <c r="E45" s="8"/>
      <c r="F45" s="8"/>
      <c r="G45" s="8"/>
      <c r="H45" s="8"/>
      <c r="I45">
        <v>38</v>
      </c>
      <c r="J45" s="11">
        <f t="shared" si="20"/>
        <v>570</v>
      </c>
      <c r="K45" s="11"/>
      <c r="L45" s="11"/>
      <c r="M45" s="3">
        <f t="shared" si="49"/>
        <v>252</v>
      </c>
      <c r="N45" s="4">
        <f t="shared" si="50"/>
        <v>1070</v>
      </c>
      <c r="O45" s="4">
        <f t="shared" si="51"/>
        <v>17185</v>
      </c>
      <c r="P45" s="16">
        <f aca="true" t="shared" si="63" ref="P45:P51">O45/B45</f>
        <v>440.64102564102564</v>
      </c>
      <c r="Q45" s="5">
        <f aca="true" t="shared" si="64" ref="Q45:Q51">(N45/N44)-1</f>
        <v>0.42666666666666675</v>
      </c>
      <c r="R45" s="13">
        <f t="shared" si="17"/>
        <v>36850</v>
      </c>
      <c r="S45" s="15" t="s">
        <v>27</v>
      </c>
      <c r="T45" s="25">
        <v>0</v>
      </c>
      <c r="U45" s="53">
        <f>SUM(D170:D173)+SUM(F170:F173)+SUM(H170:H173)</f>
        <v>3600</v>
      </c>
      <c r="V45" s="73">
        <f aca="true" t="shared" si="65" ref="V45:V101">U45/AJ45</f>
        <v>0.31520882584712373</v>
      </c>
      <c r="W45" s="9">
        <f t="shared" si="58"/>
        <v>11972.68</v>
      </c>
      <c r="X45" s="9">
        <f t="shared" si="53"/>
        <v>33501.68</v>
      </c>
      <c r="Y45" s="25">
        <f>SUM(I170:I173)</f>
        <v>283</v>
      </c>
      <c r="Z45" s="9">
        <f>SUM(J170:J173)</f>
        <v>3986</v>
      </c>
      <c r="AA45" s="73">
        <f aca="true" t="shared" si="66" ref="AA45:AA101">Z45/AJ45</f>
        <v>0.3490062166185098</v>
      </c>
      <c r="AB45" s="9">
        <f t="shared" si="59"/>
        <v>7757</v>
      </c>
      <c r="AC45" s="9">
        <f t="shared" si="52"/>
        <v>12842</v>
      </c>
      <c r="AD45" s="23">
        <f t="shared" si="56"/>
        <v>0.35578231292517004</v>
      </c>
      <c r="AE45" s="9">
        <f>SUM(L170:L173)</f>
        <v>3835</v>
      </c>
      <c r="AF45" s="73">
        <f aca="true" t="shared" si="67" ref="AF45:AF101">AE45/AJ45</f>
        <v>0.3357849575343665</v>
      </c>
      <c r="AG45" s="9">
        <f t="shared" si="60"/>
        <v>5860</v>
      </c>
      <c r="AH45" s="9">
        <f t="shared" si="54"/>
        <v>5860</v>
      </c>
      <c r="AI45" s="62"/>
      <c r="AJ45" s="56">
        <f t="shared" si="61"/>
        <v>11421</v>
      </c>
      <c r="AK45" s="4">
        <f t="shared" si="62"/>
        <v>25589.68</v>
      </c>
      <c r="AL45" s="5">
        <f t="shared" si="47"/>
        <v>0.22529771483746375</v>
      </c>
      <c r="AM45" s="23">
        <f t="shared" si="57"/>
        <v>1.4290156620787848</v>
      </c>
      <c r="AN45" s="9">
        <f t="shared" si="55"/>
        <v>52203.68</v>
      </c>
    </row>
    <row r="46" spans="1:40" ht="12.75">
      <c r="A46" s="7">
        <f t="shared" si="48"/>
        <v>35968</v>
      </c>
      <c r="B46" s="15">
        <f t="shared" si="9"/>
        <v>40</v>
      </c>
      <c r="C46" s="3">
        <v>15</v>
      </c>
      <c r="D46" s="8">
        <f t="shared" si="1"/>
        <v>750</v>
      </c>
      <c r="E46" s="8"/>
      <c r="F46" s="8"/>
      <c r="G46" s="8"/>
      <c r="H46" s="8"/>
      <c r="I46">
        <v>45</v>
      </c>
      <c r="J46" s="11">
        <f t="shared" si="20"/>
        <v>675</v>
      </c>
      <c r="K46" s="11"/>
      <c r="L46" s="11"/>
      <c r="M46" s="3">
        <f t="shared" si="49"/>
        <v>267</v>
      </c>
      <c r="N46" s="4">
        <f t="shared" si="50"/>
        <v>1425</v>
      </c>
      <c r="O46" s="4">
        <f t="shared" si="51"/>
        <v>18610</v>
      </c>
      <c r="P46" s="16">
        <f t="shared" si="63"/>
        <v>465.25</v>
      </c>
      <c r="Q46" s="5">
        <f t="shared" si="64"/>
        <v>0.3317757009345794</v>
      </c>
      <c r="R46" s="13">
        <f t="shared" si="17"/>
        <v>36881</v>
      </c>
      <c r="S46" s="15" t="s">
        <v>28</v>
      </c>
      <c r="T46" s="25">
        <v>0</v>
      </c>
      <c r="U46" s="53">
        <f>SUM(D174:D177)+SUM(F174:F177)+SUM(H174:H177)</f>
        <v>2275</v>
      </c>
      <c r="V46" s="73">
        <f t="shared" si="65"/>
        <v>0.56875</v>
      </c>
      <c r="W46" s="9">
        <f t="shared" si="58"/>
        <v>14247.68</v>
      </c>
      <c r="X46" s="9">
        <f t="shared" si="53"/>
        <v>35776.68</v>
      </c>
      <c r="Y46" s="25">
        <f>SUM(I174:I177)</f>
        <v>95</v>
      </c>
      <c r="Z46" s="9">
        <f>SUM(J174:J177)</f>
        <v>1425</v>
      </c>
      <c r="AA46" s="73">
        <f t="shared" si="66"/>
        <v>0.35625</v>
      </c>
      <c r="AB46" s="9">
        <f t="shared" si="59"/>
        <v>9182</v>
      </c>
      <c r="AC46" s="9">
        <f t="shared" si="52"/>
        <v>14267</v>
      </c>
      <c r="AD46" s="23">
        <f t="shared" si="56"/>
        <v>1.7403846153846154</v>
      </c>
      <c r="AE46" s="9">
        <f>SUM(L174:L177)</f>
        <v>300</v>
      </c>
      <c r="AF46" s="73">
        <f t="shared" si="67"/>
        <v>0.075</v>
      </c>
      <c r="AG46" s="9">
        <f t="shared" si="60"/>
        <v>6160</v>
      </c>
      <c r="AH46" s="9">
        <f t="shared" si="54"/>
        <v>6160</v>
      </c>
      <c r="AI46" s="62"/>
      <c r="AJ46" s="56">
        <f t="shared" si="61"/>
        <v>4000</v>
      </c>
      <c r="AK46" s="4">
        <f t="shared" si="62"/>
        <v>29589.68</v>
      </c>
      <c r="AL46" s="5">
        <f aca="true" t="shared" si="68" ref="AL46:AL51">(AJ46/AJ45)-1</f>
        <v>-0.6497679712809736</v>
      </c>
      <c r="AM46" s="23">
        <f t="shared" si="57"/>
        <v>1.5552400690846286</v>
      </c>
      <c r="AN46" s="9">
        <f t="shared" si="55"/>
        <v>56203.68</v>
      </c>
    </row>
    <row r="47" spans="1:40" ht="12.75">
      <c r="A47" s="7">
        <f t="shared" si="48"/>
        <v>35975</v>
      </c>
      <c r="B47" s="15">
        <f t="shared" si="9"/>
        <v>41</v>
      </c>
      <c r="C47" s="3">
        <v>12</v>
      </c>
      <c r="D47" s="8">
        <f t="shared" si="1"/>
        <v>600</v>
      </c>
      <c r="E47" s="8"/>
      <c r="F47" s="8"/>
      <c r="G47" s="8"/>
      <c r="H47" s="8"/>
      <c r="I47">
        <v>7</v>
      </c>
      <c r="J47" s="11">
        <f t="shared" si="20"/>
        <v>105</v>
      </c>
      <c r="K47" s="11"/>
      <c r="L47" s="11"/>
      <c r="M47" s="3">
        <f aca="true" t="shared" si="69" ref="M47:M56">C47+M46</f>
        <v>279</v>
      </c>
      <c r="N47" s="4">
        <f aca="true" t="shared" si="70" ref="N47:N56">D47+J47</f>
        <v>705</v>
      </c>
      <c r="O47" s="4">
        <f aca="true" t="shared" si="71" ref="O47:O56">O46+N47</f>
        <v>19315</v>
      </c>
      <c r="P47" s="16">
        <f t="shared" si="63"/>
        <v>471.0975609756098</v>
      </c>
      <c r="Q47" s="5">
        <f t="shared" si="64"/>
        <v>-0.5052631578947369</v>
      </c>
      <c r="R47" s="13">
        <f t="shared" si="17"/>
        <v>36912</v>
      </c>
      <c r="S47" s="40" t="s">
        <v>29</v>
      </c>
      <c r="T47" s="25">
        <v>0</v>
      </c>
      <c r="U47" s="53">
        <f>SUM(D178:D182)+SUM(F178:F182)+SUM(H178:H182)</f>
        <v>4665</v>
      </c>
      <c r="V47" s="73">
        <f t="shared" si="65"/>
        <v>0.38097182523478973</v>
      </c>
      <c r="W47" s="9">
        <f t="shared" si="58"/>
        <v>18912.68</v>
      </c>
      <c r="X47" s="9">
        <f t="shared" si="53"/>
        <v>40441.68</v>
      </c>
      <c r="Y47" s="25">
        <f>SUM(I178:I182)</f>
        <v>327</v>
      </c>
      <c r="Z47" s="9">
        <f>SUM(J178:J182)</f>
        <v>4905</v>
      </c>
      <c r="AA47" s="73">
        <f t="shared" si="66"/>
        <v>0.40057166190281746</v>
      </c>
      <c r="AB47" s="9">
        <f t="shared" si="59"/>
        <v>14087</v>
      </c>
      <c r="AC47" s="9">
        <f t="shared" si="52"/>
        <v>19172</v>
      </c>
      <c r="AD47" s="23">
        <f t="shared" si="56"/>
        <v>1.4402985074626864</v>
      </c>
      <c r="AE47" s="9">
        <f>SUM(L178:L182)</f>
        <v>2675</v>
      </c>
      <c r="AF47" s="73">
        <f t="shared" si="67"/>
        <v>0.21845651286239282</v>
      </c>
      <c r="AG47" s="9">
        <f t="shared" si="60"/>
        <v>8835</v>
      </c>
      <c r="AH47" s="9">
        <f t="shared" si="54"/>
        <v>8835</v>
      </c>
      <c r="AI47" s="62"/>
      <c r="AJ47" s="56">
        <f t="shared" si="61"/>
        <v>12245</v>
      </c>
      <c r="AK47" s="4">
        <f t="shared" si="62"/>
        <v>41834.68</v>
      </c>
      <c r="AL47" s="5">
        <f t="shared" si="68"/>
        <v>2.06125</v>
      </c>
      <c r="AM47" s="23">
        <f t="shared" si="57"/>
        <v>1.9173417015341703</v>
      </c>
      <c r="AN47" s="9">
        <f t="shared" si="55"/>
        <v>68448.68</v>
      </c>
    </row>
    <row r="48" spans="1:40" ht="12.75">
      <c r="A48" s="7">
        <f t="shared" si="48"/>
        <v>35982</v>
      </c>
      <c r="B48" s="15">
        <f t="shared" si="9"/>
        <v>42</v>
      </c>
      <c r="C48" s="3">
        <v>9</v>
      </c>
      <c r="D48" s="8">
        <f t="shared" si="1"/>
        <v>450</v>
      </c>
      <c r="E48" s="8"/>
      <c r="F48" s="8"/>
      <c r="G48" s="8"/>
      <c r="H48" s="8"/>
      <c r="I48">
        <v>7</v>
      </c>
      <c r="J48" s="11">
        <f t="shared" si="20"/>
        <v>105</v>
      </c>
      <c r="K48" s="11"/>
      <c r="L48" s="11"/>
      <c r="M48" s="3">
        <f t="shared" si="69"/>
        <v>288</v>
      </c>
      <c r="N48" s="4">
        <f t="shared" si="70"/>
        <v>555</v>
      </c>
      <c r="O48" s="4">
        <f t="shared" si="71"/>
        <v>19870</v>
      </c>
      <c r="P48" s="16">
        <f t="shared" si="63"/>
        <v>473.0952380952381</v>
      </c>
      <c r="Q48" s="5">
        <f t="shared" si="64"/>
        <v>-0.21276595744680848</v>
      </c>
      <c r="R48" s="13">
        <f t="shared" si="17"/>
        <v>36943</v>
      </c>
      <c r="S48" s="40" t="s">
        <v>30</v>
      </c>
      <c r="T48" s="25">
        <v>0</v>
      </c>
      <c r="U48" s="53">
        <f>SUM(D183:D186)+SUM(F183:F186)+SUM(H183:H186)</f>
        <v>3865</v>
      </c>
      <c r="V48" s="73">
        <f t="shared" si="65"/>
        <v>0.2655901047929909</v>
      </c>
      <c r="W48" s="9">
        <f t="shared" si="58"/>
        <v>22777.68</v>
      </c>
      <c r="X48" s="9">
        <f t="shared" si="53"/>
        <v>44306.68</v>
      </c>
      <c r="Y48" s="25">
        <f>SUM(I183:I186)</f>
        <v>253</v>
      </c>
      <c r="Z48" s="9">
        <f>SUM(J183:J186)</f>
        <v>3795</v>
      </c>
      <c r="AA48" s="73">
        <f t="shared" si="66"/>
        <v>0.2607799347191204</v>
      </c>
      <c r="AB48" s="9">
        <f t="shared" si="59"/>
        <v>17882</v>
      </c>
      <c r="AC48" s="9">
        <f t="shared" si="52"/>
        <v>22967</v>
      </c>
      <c r="AD48" s="23">
        <f t="shared" si="56"/>
        <v>4.622222222222222</v>
      </c>
      <c r="AE48" s="9">
        <f>SUM(L183:L186)</f>
        <v>6892.5</v>
      </c>
      <c r="AF48" s="73">
        <f t="shared" si="67"/>
        <v>0.4736299604878887</v>
      </c>
      <c r="AG48" s="9">
        <f t="shared" si="60"/>
        <v>15727.5</v>
      </c>
      <c r="AH48" s="9">
        <f t="shared" si="54"/>
        <v>15727.5</v>
      </c>
      <c r="AI48" s="62"/>
      <c r="AJ48" s="56">
        <f t="shared" si="61"/>
        <v>14552.5</v>
      </c>
      <c r="AK48" s="4">
        <f t="shared" si="62"/>
        <v>56387.18</v>
      </c>
      <c r="AL48" s="5">
        <f t="shared" si="68"/>
        <v>0.18844426296447536</v>
      </c>
      <c r="AM48" s="23">
        <f t="shared" si="57"/>
        <v>2.7060256325994083</v>
      </c>
      <c r="AN48" s="9">
        <f>AN47+AJ48</f>
        <v>83001.18</v>
      </c>
    </row>
    <row r="49" spans="1:40" ht="12.75">
      <c r="A49" s="7">
        <f t="shared" si="48"/>
        <v>35989</v>
      </c>
      <c r="B49" s="15">
        <f t="shared" si="9"/>
        <v>43</v>
      </c>
      <c r="C49" s="3">
        <v>5</v>
      </c>
      <c r="D49" s="8">
        <f t="shared" si="1"/>
        <v>250</v>
      </c>
      <c r="E49" s="8"/>
      <c r="F49" s="8"/>
      <c r="G49" s="8"/>
      <c r="H49" s="8"/>
      <c r="I49">
        <v>18</v>
      </c>
      <c r="J49" s="11">
        <f t="shared" si="20"/>
        <v>270</v>
      </c>
      <c r="K49" s="11"/>
      <c r="L49" s="11"/>
      <c r="M49" s="3">
        <f t="shared" si="69"/>
        <v>293</v>
      </c>
      <c r="N49" s="4">
        <f t="shared" si="70"/>
        <v>520</v>
      </c>
      <c r="O49" s="4">
        <f t="shared" si="71"/>
        <v>20390</v>
      </c>
      <c r="P49" s="16">
        <f t="shared" si="63"/>
        <v>474.1860465116279</v>
      </c>
      <c r="Q49" s="5">
        <f t="shared" si="64"/>
        <v>-0.06306306306306309</v>
      </c>
      <c r="R49" s="13">
        <f t="shared" si="17"/>
        <v>36974</v>
      </c>
      <c r="S49" s="40" t="s">
        <v>31</v>
      </c>
      <c r="T49" s="25">
        <v>0</v>
      </c>
      <c r="U49" s="53">
        <f>SUM(D187:D190)+SUM(F187:F190)+SUM(H187:H190)</f>
        <v>7405</v>
      </c>
      <c r="V49" s="73">
        <f t="shared" si="65"/>
        <v>0.43533215755437976</v>
      </c>
      <c r="W49" s="9">
        <f t="shared" si="58"/>
        <v>30182.68</v>
      </c>
      <c r="X49" s="9">
        <f t="shared" si="53"/>
        <v>51711.68</v>
      </c>
      <c r="Y49" s="25">
        <f>SUM(I187:I190)</f>
        <v>391</v>
      </c>
      <c r="Z49" s="9">
        <f>SUM(J187:J190)</f>
        <v>5865</v>
      </c>
      <c r="AA49" s="73">
        <f t="shared" si="66"/>
        <v>0.3447971781305115</v>
      </c>
      <c r="AB49" s="9">
        <f t="shared" si="59"/>
        <v>23747</v>
      </c>
      <c r="AC49" s="9">
        <f t="shared" si="52"/>
        <v>28832</v>
      </c>
      <c r="AD49" s="23">
        <f>(Z49/Z37)-1</f>
        <v>5.516666666666667</v>
      </c>
      <c r="AE49" s="9">
        <f>SUM(L187:L190)</f>
        <v>3740</v>
      </c>
      <c r="AF49" s="73">
        <f t="shared" si="67"/>
        <v>0.21987066431510877</v>
      </c>
      <c r="AG49" s="9">
        <f t="shared" si="60"/>
        <v>19467.5</v>
      </c>
      <c r="AH49" s="9">
        <f t="shared" si="54"/>
        <v>19467.5</v>
      </c>
      <c r="AI49" s="62"/>
      <c r="AJ49" s="56">
        <f t="shared" si="61"/>
        <v>17010</v>
      </c>
      <c r="AK49" s="4">
        <f t="shared" si="62"/>
        <v>73397.18</v>
      </c>
      <c r="AL49" s="5">
        <f t="shared" si="68"/>
        <v>0.16887132795052406</v>
      </c>
      <c r="AM49" s="23">
        <f>(AK49/AK37)-1</f>
        <v>2.9207895299145297</v>
      </c>
      <c r="AN49" s="9">
        <f>AN48+AJ49</f>
        <v>100011.18</v>
      </c>
    </row>
    <row r="50" spans="1:40" ht="12.75">
      <c r="A50" s="7">
        <f t="shared" si="48"/>
        <v>35996</v>
      </c>
      <c r="B50" s="15">
        <f t="shared" si="9"/>
        <v>44</v>
      </c>
      <c r="C50" s="3">
        <v>6</v>
      </c>
      <c r="D50" s="8">
        <f t="shared" si="1"/>
        <v>300</v>
      </c>
      <c r="E50" s="8"/>
      <c r="F50" s="8"/>
      <c r="G50" s="8"/>
      <c r="H50" s="8"/>
      <c r="I50">
        <v>10</v>
      </c>
      <c r="J50" s="11">
        <f t="shared" si="20"/>
        <v>150</v>
      </c>
      <c r="K50" s="11"/>
      <c r="L50" s="11"/>
      <c r="M50" s="3">
        <f t="shared" si="69"/>
        <v>299</v>
      </c>
      <c r="N50" s="4">
        <f t="shared" si="70"/>
        <v>450</v>
      </c>
      <c r="O50" s="4">
        <f t="shared" si="71"/>
        <v>20840</v>
      </c>
      <c r="P50" s="16">
        <f t="shared" si="63"/>
        <v>473.6363636363636</v>
      </c>
      <c r="Q50" s="5">
        <f t="shared" si="64"/>
        <v>-0.13461538461538458</v>
      </c>
      <c r="R50" s="13">
        <f t="shared" si="17"/>
        <v>37005</v>
      </c>
      <c r="S50" s="40" t="s">
        <v>32</v>
      </c>
      <c r="T50" s="25">
        <v>0</v>
      </c>
      <c r="U50" s="53">
        <f>SUM(D191:D195)+SUM(F191:F195)+SUM(H191:H195)</f>
        <v>2104</v>
      </c>
      <c r="V50" s="73">
        <f t="shared" si="65"/>
        <v>0.32741985683162156</v>
      </c>
      <c r="W50" s="9">
        <f>W49+U50</f>
        <v>32286.68</v>
      </c>
      <c r="X50" s="9">
        <f t="shared" si="53"/>
        <v>53815.68</v>
      </c>
      <c r="Y50" s="25">
        <f>SUM(I191:I195)</f>
        <v>99</v>
      </c>
      <c r="Z50" s="9">
        <f>SUM(J191:J195)</f>
        <v>1485</v>
      </c>
      <c r="AA50" s="73">
        <f t="shared" si="66"/>
        <v>0.23109243697478993</v>
      </c>
      <c r="AB50" s="9">
        <f t="shared" si="59"/>
        <v>25232</v>
      </c>
      <c r="AC50" s="9">
        <f t="shared" si="52"/>
        <v>30317</v>
      </c>
      <c r="AD50" s="23">
        <f>(Z50/Z38)-1</f>
        <v>-0.5203488372093024</v>
      </c>
      <c r="AE50" s="9">
        <f>SUM(L191:L195)</f>
        <v>2837</v>
      </c>
      <c r="AF50" s="73">
        <f t="shared" si="67"/>
        <v>0.44148770619358857</v>
      </c>
      <c r="AG50" s="9">
        <f>AG49+AE50</f>
        <v>22304.5</v>
      </c>
      <c r="AH50" s="9">
        <f t="shared" si="54"/>
        <v>22304.5</v>
      </c>
      <c r="AI50" s="62"/>
      <c r="AJ50" s="56">
        <f t="shared" si="61"/>
        <v>6426</v>
      </c>
      <c r="AK50" s="4">
        <f>AJ50+AK49</f>
        <v>79823.18</v>
      </c>
      <c r="AL50" s="5">
        <f t="shared" si="68"/>
        <v>-0.6222222222222222</v>
      </c>
      <c r="AM50" s="23">
        <f>(AK50/AK38)-1</f>
        <v>1.8753712042073412</v>
      </c>
      <c r="AN50" s="9">
        <f>AN49+AJ50</f>
        <v>106437.18</v>
      </c>
    </row>
    <row r="51" spans="1:40" ht="12.75">
      <c r="A51" s="7">
        <f t="shared" si="48"/>
        <v>36003</v>
      </c>
      <c r="B51" s="15">
        <f t="shared" si="9"/>
        <v>45</v>
      </c>
      <c r="C51" s="3">
        <v>7</v>
      </c>
      <c r="D51" s="8">
        <f t="shared" si="1"/>
        <v>350</v>
      </c>
      <c r="E51" s="8"/>
      <c r="F51" s="8"/>
      <c r="G51" s="8"/>
      <c r="H51" s="8"/>
      <c r="I51">
        <v>9</v>
      </c>
      <c r="J51" s="11">
        <f t="shared" si="20"/>
        <v>135</v>
      </c>
      <c r="K51" s="11"/>
      <c r="L51" s="11"/>
      <c r="M51" s="3">
        <f t="shared" si="69"/>
        <v>306</v>
      </c>
      <c r="N51" s="4">
        <f t="shared" si="70"/>
        <v>485</v>
      </c>
      <c r="O51" s="4">
        <f t="shared" si="71"/>
        <v>21325</v>
      </c>
      <c r="P51" s="16">
        <f t="shared" si="63"/>
        <v>473.8888888888889</v>
      </c>
      <c r="Q51" s="5">
        <f t="shared" si="64"/>
        <v>0.07777777777777772</v>
      </c>
      <c r="R51" s="13">
        <f t="shared" si="17"/>
        <v>37036</v>
      </c>
      <c r="S51" s="40" t="s">
        <v>33</v>
      </c>
      <c r="T51" s="25">
        <v>0</v>
      </c>
      <c r="U51" s="53">
        <f>SUM(D196:D199)+SUM(F196:F199)+SUM(H196:H199)</f>
        <v>1220</v>
      </c>
      <c r="V51" s="73">
        <f t="shared" si="65"/>
        <v>0.38006230529595014</v>
      </c>
      <c r="W51" s="9">
        <f>W50+U51</f>
        <v>33506.68</v>
      </c>
      <c r="X51" s="9">
        <f t="shared" si="53"/>
        <v>55035.68</v>
      </c>
      <c r="Y51" s="25">
        <f>SUM(I196:I199)</f>
        <v>36</v>
      </c>
      <c r="Z51" s="9">
        <f>SUM(J196:J199)</f>
        <v>540</v>
      </c>
      <c r="AA51" s="73">
        <f t="shared" si="66"/>
        <v>0.16822429906542055</v>
      </c>
      <c r="AB51" s="9">
        <f t="shared" si="59"/>
        <v>25772</v>
      </c>
      <c r="AC51" s="9">
        <f t="shared" si="52"/>
        <v>30857</v>
      </c>
      <c r="AD51" s="23">
        <f>(Z51/Z39)-1</f>
        <v>-0.5862068965517242</v>
      </c>
      <c r="AE51" s="9">
        <f>SUM(L196:L199)</f>
        <v>1450</v>
      </c>
      <c r="AF51" s="73">
        <f t="shared" si="67"/>
        <v>0.4517133956386293</v>
      </c>
      <c r="AG51" s="9">
        <f>AG50+AE51</f>
        <v>23754.5</v>
      </c>
      <c r="AH51" s="9">
        <f t="shared" si="54"/>
        <v>23754.5</v>
      </c>
      <c r="AI51" s="62"/>
      <c r="AJ51" s="56">
        <f t="shared" si="61"/>
        <v>3210</v>
      </c>
      <c r="AK51" s="4">
        <f>AJ51+AK50</f>
        <v>83033.18</v>
      </c>
      <c r="AL51" s="5">
        <f t="shared" si="68"/>
        <v>-0.5004668534080299</v>
      </c>
      <c r="AM51" s="23">
        <f>(AK51/AK39)-1</f>
        <v>1.3297749719416383</v>
      </c>
      <c r="AN51" s="9">
        <f>AN50+AJ51</f>
        <v>109647.18</v>
      </c>
    </row>
    <row r="52" spans="1:40" ht="12.75">
      <c r="A52" s="1">
        <f t="shared" si="48"/>
        <v>36010</v>
      </c>
      <c r="B52" s="15">
        <f t="shared" si="9"/>
        <v>46</v>
      </c>
      <c r="C52" s="3">
        <v>4</v>
      </c>
      <c r="D52" s="8">
        <f t="shared" si="1"/>
        <v>200</v>
      </c>
      <c r="E52" s="8"/>
      <c r="F52" s="8"/>
      <c r="G52" s="8"/>
      <c r="H52" s="8"/>
      <c r="I52">
        <v>5</v>
      </c>
      <c r="J52" s="11">
        <f t="shared" si="20"/>
        <v>75</v>
      </c>
      <c r="K52" s="11"/>
      <c r="L52" s="11"/>
      <c r="M52" s="3">
        <f t="shared" si="69"/>
        <v>310</v>
      </c>
      <c r="N52" s="4">
        <f t="shared" si="70"/>
        <v>275</v>
      </c>
      <c r="O52" s="4">
        <f t="shared" si="71"/>
        <v>21600</v>
      </c>
      <c r="P52" s="16">
        <f>O52/B52</f>
        <v>469.5652173913044</v>
      </c>
      <c r="Q52" s="5">
        <f>(N52/N51)-1</f>
        <v>-0.4329896907216495</v>
      </c>
      <c r="R52" s="13">
        <f t="shared" si="17"/>
        <v>37067</v>
      </c>
      <c r="S52" s="40" t="s">
        <v>34</v>
      </c>
      <c r="U52" s="9">
        <v>1875</v>
      </c>
      <c r="V52" s="73">
        <f t="shared" si="65"/>
        <v>0.14511260738332946</v>
      </c>
      <c r="W52" s="9">
        <f>W51+U52</f>
        <v>35381.68</v>
      </c>
      <c r="X52" s="9">
        <f>U52</f>
        <v>1875</v>
      </c>
      <c r="Z52" s="9">
        <v>6441</v>
      </c>
      <c r="AA52" s="73">
        <f t="shared" si="66"/>
        <v>0.4984908288832134</v>
      </c>
      <c r="AB52" s="9">
        <f t="shared" si="59"/>
        <v>32213</v>
      </c>
      <c r="AC52" s="9">
        <f>Z52</f>
        <v>6441</v>
      </c>
      <c r="AE52" s="9">
        <v>4605</v>
      </c>
      <c r="AF52" s="73">
        <f t="shared" si="67"/>
        <v>0.3563965637334572</v>
      </c>
      <c r="AG52" s="9">
        <f>AG51+AE52</f>
        <v>28359.5</v>
      </c>
      <c r="AH52" s="9">
        <f>AE52</f>
        <v>4605</v>
      </c>
      <c r="AI52" s="62"/>
      <c r="AJ52" s="56">
        <f t="shared" si="61"/>
        <v>12921</v>
      </c>
      <c r="AK52" s="4">
        <f>AJ52+AK51</f>
        <v>95954.18</v>
      </c>
      <c r="AN52" s="9">
        <f>AJ52</f>
        <v>12921</v>
      </c>
    </row>
    <row r="53" spans="1:40" ht="12.75">
      <c r="A53" s="1">
        <f t="shared" si="48"/>
        <v>36017</v>
      </c>
      <c r="B53" s="15">
        <f t="shared" si="9"/>
        <v>47</v>
      </c>
      <c r="C53" s="3">
        <v>0</v>
      </c>
      <c r="D53" s="8">
        <f t="shared" si="1"/>
        <v>0</v>
      </c>
      <c r="E53" s="8"/>
      <c r="F53" s="8"/>
      <c r="G53" s="8"/>
      <c r="H53" s="8"/>
      <c r="I53">
        <v>0</v>
      </c>
      <c r="J53" s="11">
        <f t="shared" si="20"/>
        <v>0</v>
      </c>
      <c r="K53" s="11"/>
      <c r="L53" s="11"/>
      <c r="M53" s="3">
        <f t="shared" si="69"/>
        <v>310</v>
      </c>
      <c r="N53" s="4">
        <f t="shared" si="70"/>
        <v>0</v>
      </c>
      <c r="O53" s="4">
        <f t="shared" si="71"/>
        <v>21600</v>
      </c>
      <c r="P53" s="16">
        <f>O53/B53</f>
        <v>459.5744680851064</v>
      </c>
      <c r="Q53" s="5">
        <f>(N53/N52)-1</f>
        <v>-1</v>
      </c>
      <c r="R53" s="13">
        <f t="shared" si="17"/>
        <v>37098</v>
      </c>
      <c r="S53" s="40" t="s">
        <v>35</v>
      </c>
      <c r="U53" s="9">
        <v>1025</v>
      </c>
      <c r="V53" s="73">
        <f t="shared" si="65"/>
        <v>0.14750854470228458</v>
      </c>
      <c r="W53" s="9">
        <f>W52+U53</f>
        <v>36406.68</v>
      </c>
      <c r="X53" s="9">
        <f t="shared" si="53"/>
        <v>2900</v>
      </c>
      <c r="Z53" s="9">
        <v>1965</v>
      </c>
      <c r="AA53" s="73">
        <f t="shared" si="66"/>
        <v>0.2827846735024285</v>
      </c>
      <c r="AB53" s="9">
        <f t="shared" si="59"/>
        <v>34178</v>
      </c>
      <c r="AC53" s="9">
        <f aca="true" t="shared" si="72" ref="AC53:AC63">AC52+Z53</f>
        <v>8406</v>
      </c>
      <c r="AE53" s="9">
        <v>3958.75</v>
      </c>
      <c r="AF53" s="73">
        <f t="shared" si="67"/>
        <v>0.5697067817952869</v>
      </c>
      <c r="AG53" s="9">
        <f>AG52+AE53</f>
        <v>32318.25</v>
      </c>
      <c r="AH53" s="9">
        <f t="shared" si="54"/>
        <v>8563.75</v>
      </c>
      <c r="AI53" s="62"/>
      <c r="AJ53" s="56">
        <f t="shared" si="61"/>
        <v>6948.75</v>
      </c>
      <c r="AK53" s="4">
        <f>AJ53+AK52</f>
        <v>102902.93</v>
      </c>
      <c r="AN53" s="9">
        <f aca="true" t="shared" si="73" ref="AN53:AN58">AN52+AJ53</f>
        <v>19869.75</v>
      </c>
    </row>
    <row r="54" spans="1:40" ht="12.75">
      <c r="A54" s="1">
        <f t="shared" si="48"/>
        <v>36024</v>
      </c>
      <c r="B54" s="15">
        <f t="shared" si="9"/>
        <v>48</v>
      </c>
      <c r="C54" s="3">
        <v>2</v>
      </c>
      <c r="D54" s="8">
        <f t="shared" si="1"/>
        <v>100</v>
      </c>
      <c r="E54" s="8"/>
      <c r="F54" s="8"/>
      <c r="G54" s="8"/>
      <c r="H54" s="8"/>
      <c r="I54">
        <v>4</v>
      </c>
      <c r="J54" s="11">
        <f t="shared" si="20"/>
        <v>60</v>
      </c>
      <c r="K54" s="11"/>
      <c r="L54" s="11"/>
      <c r="M54" s="3">
        <f t="shared" si="69"/>
        <v>312</v>
      </c>
      <c r="N54" s="4">
        <f t="shared" si="70"/>
        <v>160</v>
      </c>
      <c r="O54" s="4">
        <f t="shared" si="71"/>
        <v>21760</v>
      </c>
      <c r="P54" s="16">
        <f>O54/B54</f>
        <v>453.3333333333333</v>
      </c>
      <c r="Q54" s="5">
        <v>0</v>
      </c>
      <c r="R54" s="13">
        <f t="shared" si="17"/>
        <v>37129</v>
      </c>
      <c r="S54" s="40" t="s">
        <v>36</v>
      </c>
      <c r="U54" s="9">
        <v>60</v>
      </c>
      <c r="V54" s="73">
        <f t="shared" si="65"/>
        <v>0.10810810810810811</v>
      </c>
      <c r="W54" s="9">
        <f>W53+U54</f>
        <v>36466.68</v>
      </c>
      <c r="X54" s="9">
        <f t="shared" si="53"/>
        <v>2960</v>
      </c>
      <c r="Z54" s="9">
        <v>495</v>
      </c>
      <c r="AA54" s="73">
        <f t="shared" si="66"/>
        <v>0.8918918918918919</v>
      </c>
      <c r="AB54" s="9">
        <f t="shared" si="59"/>
        <v>34673</v>
      </c>
      <c r="AC54" s="9">
        <f t="shared" si="72"/>
        <v>8901</v>
      </c>
      <c r="AE54" s="9">
        <v>0</v>
      </c>
      <c r="AF54" s="73">
        <f t="shared" si="67"/>
        <v>0</v>
      </c>
      <c r="AG54" s="9">
        <f>AG53+AE54</f>
        <v>32318.25</v>
      </c>
      <c r="AH54" s="9">
        <f t="shared" si="54"/>
        <v>8563.75</v>
      </c>
      <c r="AI54" s="62"/>
      <c r="AJ54" s="56">
        <f t="shared" si="61"/>
        <v>555</v>
      </c>
      <c r="AK54" s="4">
        <f>AJ54+AK53</f>
        <v>103457.93</v>
      </c>
      <c r="AN54" s="9">
        <f t="shared" si="73"/>
        <v>20424.75</v>
      </c>
    </row>
    <row r="55" spans="1:40" ht="12.75">
      <c r="A55" s="1">
        <f t="shared" si="48"/>
        <v>36031</v>
      </c>
      <c r="B55" s="15">
        <f t="shared" si="9"/>
        <v>49</v>
      </c>
      <c r="C55" s="3">
        <v>0</v>
      </c>
      <c r="D55" s="8">
        <f t="shared" si="1"/>
        <v>0</v>
      </c>
      <c r="E55" s="8"/>
      <c r="F55" s="8"/>
      <c r="G55" s="8"/>
      <c r="H55" s="8"/>
      <c r="I55">
        <v>0</v>
      </c>
      <c r="J55" s="11">
        <f t="shared" si="20"/>
        <v>0</v>
      </c>
      <c r="K55" s="11"/>
      <c r="L55" s="11"/>
      <c r="M55" s="3">
        <f t="shared" si="69"/>
        <v>312</v>
      </c>
      <c r="N55" s="4">
        <f t="shared" si="70"/>
        <v>0</v>
      </c>
      <c r="O55" s="4">
        <f t="shared" si="71"/>
        <v>21760</v>
      </c>
      <c r="P55" s="16">
        <f>O55/B55</f>
        <v>444.0816326530612</v>
      </c>
      <c r="Q55" s="5">
        <f>(N55/N54)-1</f>
        <v>-1</v>
      </c>
      <c r="R55" s="13">
        <f t="shared" si="17"/>
        <v>37160</v>
      </c>
      <c r="S55" s="27" t="s">
        <v>25</v>
      </c>
      <c r="U55" s="9">
        <v>8790</v>
      </c>
      <c r="V55" s="73">
        <f t="shared" si="65"/>
        <v>0.8932926829268293</v>
      </c>
      <c r="W55" s="9">
        <f>U55</f>
        <v>8790</v>
      </c>
      <c r="X55" s="9">
        <f t="shared" si="53"/>
        <v>11750</v>
      </c>
      <c r="Z55" s="9">
        <v>1050</v>
      </c>
      <c r="AA55" s="73">
        <f t="shared" si="66"/>
        <v>0.10670731707317073</v>
      </c>
      <c r="AB55" s="9">
        <f>Z55</f>
        <v>1050</v>
      </c>
      <c r="AC55" s="9">
        <f t="shared" si="72"/>
        <v>9951</v>
      </c>
      <c r="AE55" s="9">
        <v>0</v>
      </c>
      <c r="AF55" s="73">
        <f t="shared" si="67"/>
        <v>0</v>
      </c>
      <c r="AG55" s="9">
        <f>AE55</f>
        <v>0</v>
      </c>
      <c r="AH55" s="9">
        <f t="shared" si="54"/>
        <v>8563.75</v>
      </c>
      <c r="AI55" s="62"/>
      <c r="AJ55" s="56">
        <f t="shared" si="61"/>
        <v>9840</v>
      </c>
      <c r="AK55" s="4">
        <f>AJ55</f>
        <v>9840</v>
      </c>
      <c r="AN55" s="9">
        <f t="shared" si="73"/>
        <v>30264.75</v>
      </c>
    </row>
    <row r="56" spans="1:40" ht="12.75">
      <c r="A56" s="1">
        <f t="shared" si="48"/>
        <v>36038</v>
      </c>
      <c r="B56" s="15">
        <f t="shared" si="9"/>
        <v>50</v>
      </c>
      <c r="C56" s="3">
        <v>6</v>
      </c>
      <c r="D56" s="8">
        <f t="shared" si="1"/>
        <v>300</v>
      </c>
      <c r="E56" s="8"/>
      <c r="F56" s="8"/>
      <c r="G56" s="8"/>
      <c r="H56" s="8"/>
      <c r="I56">
        <v>16</v>
      </c>
      <c r="J56" s="11">
        <f t="shared" si="20"/>
        <v>240</v>
      </c>
      <c r="K56" s="11"/>
      <c r="L56" s="11"/>
      <c r="M56" s="3">
        <f t="shared" si="69"/>
        <v>318</v>
      </c>
      <c r="N56" s="4">
        <f t="shared" si="70"/>
        <v>540</v>
      </c>
      <c r="O56" s="4">
        <f t="shared" si="71"/>
        <v>22300</v>
      </c>
      <c r="P56" s="16">
        <f>O56/B56</f>
        <v>446</v>
      </c>
      <c r="Q56" s="5">
        <v>0</v>
      </c>
      <c r="R56" s="13">
        <f t="shared" si="17"/>
        <v>37191</v>
      </c>
      <c r="S56" s="15" t="s">
        <v>26</v>
      </c>
      <c r="U56" s="9">
        <v>4160</v>
      </c>
      <c r="V56" s="73">
        <f t="shared" si="65"/>
        <v>0.37209302325581395</v>
      </c>
      <c r="W56" s="9">
        <f aca="true" t="shared" si="74" ref="W56:W61">W55+U56</f>
        <v>12950</v>
      </c>
      <c r="X56" s="9">
        <f aca="true" t="shared" si="75" ref="X56:X61">X55+U56</f>
        <v>15910</v>
      </c>
      <c r="Z56" s="9">
        <v>1635</v>
      </c>
      <c r="AA56" s="73">
        <f t="shared" si="66"/>
        <v>0.1462432915921288</v>
      </c>
      <c r="AB56" s="9">
        <f aca="true" t="shared" si="76" ref="AB56:AB66">AB55+Z56</f>
        <v>2685</v>
      </c>
      <c r="AC56" s="9">
        <f t="shared" si="72"/>
        <v>11586</v>
      </c>
      <c r="AE56" s="9">
        <v>5385</v>
      </c>
      <c r="AF56" s="73">
        <f t="shared" si="67"/>
        <v>0.48166368515205726</v>
      </c>
      <c r="AG56" s="9">
        <f aca="true" t="shared" si="77" ref="AG56:AG61">AG55+AE56</f>
        <v>5385</v>
      </c>
      <c r="AH56" s="9">
        <f aca="true" t="shared" si="78" ref="AH56:AH61">AH55+AE56</f>
        <v>13948.75</v>
      </c>
      <c r="AI56" s="62"/>
      <c r="AJ56" s="56">
        <f t="shared" si="61"/>
        <v>11180</v>
      </c>
      <c r="AK56" s="4">
        <f aca="true" t="shared" si="79" ref="AK56:AK61">AJ56+AK55</f>
        <v>21020</v>
      </c>
      <c r="AN56" s="9">
        <f t="shared" si="73"/>
        <v>41444.75</v>
      </c>
    </row>
    <row r="57" spans="1:40" ht="12.75">
      <c r="A57" s="34">
        <f>A56+7</f>
        <v>36045</v>
      </c>
      <c r="B57" s="27">
        <f aca="true" t="shared" si="80" ref="B57:B62">B56+1</f>
        <v>51</v>
      </c>
      <c r="C57" s="35">
        <v>9</v>
      </c>
      <c r="D57" s="36">
        <f t="shared" si="1"/>
        <v>450</v>
      </c>
      <c r="E57" s="36"/>
      <c r="F57" s="36"/>
      <c r="G57" s="36"/>
      <c r="H57" s="36"/>
      <c r="I57" s="33">
        <v>3</v>
      </c>
      <c r="J57" s="37">
        <f t="shared" si="20"/>
        <v>45</v>
      </c>
      <c r="K57" s="37"/>
      <c r="L57" s="37"/>
      <c r="M57" s="35">
        <f aca="true" t="shared" si="81" ref="M57:M62">C57+M56</f>
        <v>327</v>
      </c>
      <c r="N57" s="31">
        <f aca="true" t="shared" si="82" ref="N57:N62">D57+J57</f>
        <v>495</v>
      </c>
      <c r="O57" s="31">
        <f>N57</f>
        <v>495</v>
      </c>
      <c r="P57" s="38">
        <f>SUM(N2:N57)/52</f>
        <v>438.36538461538464</v>
      </c>
      <c r="Q57" s="39">
        <f aca="true" t="shared" si="83" ref="Q57:Q65">(N57/N56)-1</f>
        <v>-0.08333333333333337</v>
      </c>
      <c r="R57" s="13">
        <f t="shared" si="17"/>
        <v>37222</v>
      </c>
      <c r="S57" s="15" t="s">
        <v>27</v>
      </c>
      <c r="U57" s="9">
        <v>4725</v>
      </c>
      <c r="V57" s="73">
        <f t="shared" si="65"/>
        <v>0.30265180630284394</v>
      </c>
      <c r="W57" s="9">
        <f t="shared" si="74"/>
        <v>17675</v>
      </c>
      <c r="X57" s="9">
        <f t="shared" si="75"/>
        <v>20635</v>
      </c>
      <c r="Z57" s="9">
        <f>3717-211.25</f>
        <v>3505.75</v>
      </c>
      <c r="AA57" s="73">
        <f t="shared" si="66"/>
        <v>0.22455482961824239</v>
      </c>
      <c r="AB57" s="9">
        <f t="shared" si="76"/>
        <v>6190.75</v>
      </c>
      <c r="AC57" s="9">
        <f t="shared" si="72"/>
        <v>15091.75</v>
      </c>
      <c r="AE57" s="9">
        <v>7170</v>
      </c>
      <c r="AF57" s="73">
        <f t="shared" si="67"/>
        <v>0.4592621060722521</v>
      </c>
      <c r="AG57" s="9">
        <f t="shared" si="77"/>
        <v>12555</v>
      </c>
      <c r="AH57" s="9">
        <f t="shared" si="78"/>
        <v>21118.75</v>
      </c>
      <c r="AI57" s="62">
        <v>211.25</v>
      </c>
      <c r="AJ57" s="56">
        <f aca="true" t="shared" si="84" ref="AJ57:AJ101">U57+Z57+AE57+AI57</f>
        <v>15612</v>
      </c>
      <c r="AK57" s="4">
        <f t="shared" si="79"/>
        <v>36632</v>
      </c>
      <c r="AN57" s="9">
        <f t="shared" si="73"/>
        <v>57056.75</v>
      </c>
    </row>
    <row r="58" spans="1:40" ht="12.75">
      <c r="A58" s="1">
        <f>A57+7</f>
        <v>36052</v>
      </c>
      <c r="B58" s="15">
        <f t="shared" si="80"/>
        <v>52</v>
      </c>
      <c r="C58" s="3">
        <v>11</v>
      </c>
      <c r="D58" s="8">
        <f t="shared" si="1"/>
        <v>550</v>
      </c>
      <c r="E58" s="8"/>
      <c r="F58" s="8"/>
      <c r="G58" s="8"/>
      <c r="H58" s="8"/>
      <c r="I58">
        <v>41</v>
      </c>
      <c r="J58" s="11">
        <f t="shared" si="20"/>
        <v>615</v>
      </c>
      <c r="K58" s="11"/>
      <c r="L58" s="11"/>
      <c r="M58" s="3">
        <f t="shared" si="81"/>
        <v>338</v>
      </c>
      <c r="N58" s="4">
        <f t="shared" si="82"/>
        <v>1165</v>
      </c>
      <c r="O58" s="4">
        <f aca="true" t="shared" si="85" ref="O58:O63">O57+N58</f>
        <v>1660</v>
      </c>
      <c r="P58" s="16">
        <f>SUM(N7:N58)/52</f>
        <v>460.7692307692308</v>
      </c>
      <c r="Q58" s="5">
        <f t="shared" si="83"/>
        <v>1.3535353535353534</v>
      </c>
      <c r="R58" s="13">
        <f t="shared" si="17"/>
        <v>37253</v>
      </c>
      <c r="S58" s="15" t="s">
        <v>28</v>
      </c>
      <c r="U58" s="9">
        <v>2770</v>
      </c>
      <c r="V58" s="73">
        <f t="shared" si="65"/>
        <v>0.2784059500477411</v>
      </c>
      <c r="W58" s="9">
        <f t="shared" si="74"/>
        <v>20445</v>
      </c>
      <c r="X58" s="9">
        <f t="shared" si="75"/>
        <v>23405</v>
      </c>
      <c r="Z58" s="9">
        <v>1402</v>
      </c>
      <c r="AA58" s="73">
        <f t="shared" si="66"/>
        <v>0.14091160359817076</v>
      </c>
      <c r="AB58" s="9">
        <f t="shared" si="76"/>
        <v>7592.75</v>
      </c>
      <c r="AC58" s="9">
        <f t="shared" si="72"/>
        <v>16493.75</v>
      </c>
      <c r="AE58" s="9">
        <v>5777.5</v>
      </c>
      <c r="AF58" s="73">
        <f t="shared" si="67"/>
        <v>0.5806824463540882</v>
      </c>
      <c r="AG58" s="9">
        <f t="shared" si="77"/>
        <v>18332.5</v>
      </c>
      <c r="AH58" s="9">
        <f t="shared" si="78"/>
        <v>26896.25</v>
      </c>
      <c r="AI58" s="62"/>
      <c r="AJ58" s="56">
        <f t="shared" si="84"/>
        <v>9949.5</v>
      </c>
      <c r="AK58" s="4">
        <f t="shared" si="79"/>
        <v>46581.5</v>
      </c>
      <c r="AN58" s="9">
        <f t="shared" si="73"/>
        <v>67006.25</v>
      </c>
    </row>
    <row r="59" spans="1:40" ht="12.75">
      <c r="A59" s="1">
        <f aca="true" t="shared" si="86" ref="A59:A94">A58+7</f>
        <v>36059</v>
      </c>
      <c r="B59" s="15">
        <f t="shared" si="80"/>
        <v>53</v>
      </c>
      <c r="C59" s="3">
        <v>17</v>
      </c>
      <c r="D59" s="8">
        <f t="shared" si="1"/>
        <v>850</v>
      </c>
      <c r="E59" s="8"/>
      <c r="F59" s="8"/>
      <c r="G59" s="8"/>
      <c r="H59" s="8"/>
      <c r="I59">
        <v>52</v>
      </c>
      <c r="J59" s="11">
        <f t="shared" si="20"/>
        <v>780</v>
      </c>
      <c r="K59" s="11"/>
      <c r="L59" s="11"/>
      <c r="M59" s="3">
        <f t="shared" si="81"/>
        <v>355</v>
      </c>
      <c r="N59" s="4">
        <f t="shared" si="82"/>
        <v>1630</v>
      </c>
      <c r="O59" s="4">
        <f t="shared" si="85"/>
        <v>3290</v>
      </c>
      <c r="P59" s="16">
        <f>SUM(N8:N59)/52</f>
        <v>491.15384615384613</v>
      </c>
      <c r="Q59" s="5">
        <f t="shared" si="83"/>
        <v>0.3991416309012876</v>
      </c>
      <c r="R59" s="13">
        <f t="shared" si="17"/>
        <v>37284</v>
      </c>
      <c r="S59" s="40" t="s">
        <v>29</v>
      </c>
      <c r="U59" s="9">
        <v>2185</v>
      </c>
      <c r="V59" s="73">
        <f t="shared" si="65"/>
        <v>0.15251190953984678</v>
      </c>
      <c r="W59" s="9">
        <f t="shared" si="74"/>
        <v>22630</v>
      </c>
      <c r="X59" s="9">
        <f t="shared" si="75"/>
        <v>25590</v>
      </c>
      <c r="Z59" s="9">
        <v>3203</v>
      </c>
      <c r="AA59" s="73">
        <f t="shared" si="66"/>
        <v>0.22356780149021935</v>
      </c>
      <c r="AB59" s="9">
        <f t="shared" si="76"/>
        <v>10795.75</v>
      </c>
      <c r="AC59" s="9">
        <f t="shared" si="72"/>
        <v>19696.75</v>
      </c>
      <c r="AE59" s="9">
        <v>8938.75</v>
      </c>
      <c r="AF59" s="73">
        <f t="shared" si="67"/>
        <v>0.6239202889699339</v>
      </c>
      <c r="AG59" s="9">
        <f t="shared" si="77"/>
        <v>27271.25</v>
      </c>
      <c r="AH59" s="9">
        <f t="shared" si="78"/>
        <v>35835</v>
      </c>
      <c r="AI59" s="62"/>
      <c r="AJ59" s="56">
        <f t="shared" si="84"/>
        <v>14326.75</v>
      </c>
      <c r="AK59" s="4">
        <f t="shared" si="79"/>
        <v>60908.25</v>
      </c>
      <c r="AN59" s="9">
        <f>AN58+AJ59</f>
        <v>81333</v>
      </c>
    </row>
    <row r="60" spans="1:40" ht="12.75">
      <c r="A60" s="1">
        <f t="shared" si="86"/>
        <v>36066</v>
      </c>
      <c r="B60" s="15">
        <f t="shared" si="80"/>
        <v>54</v>
      </c>
      <c r="C60" s="3">
        <v>3</v>
      </c>
      <c r="D60" s="8">
        <f t="shared" si="1"/>
        <v>150</v>
      </c>
      <c r="E60" s="8"/>
      <c r="F60" s="8"/>
      <c r="G60" s="8"/>
      <c r="H60" s="8"/>
      <c r="I60">
        <v>31</v>
      </c>
      <c r="J60" s="11">
        <f t="shared" si="20"/>
        <v>465</v>
      </c>
      <c r="K60" s="11"/>
      <c r="L60" s="11"/>
      <c r="M60" s="3">
        <f t="shared" si="81"/>
        <v>358</v>
      </c>
      <c r="N60" s="4">
        <f t="shared" si="82"/>
        <v>615</v>
      </c>
      <c r="O60" s="4">
        <f t="shared" si="85"/>
        <v>3905</v>
      </c>
      <c r="P60" s="16">
        <f>SUM(N9:N60)/52</f>
        <v>499.13461538461536</v>
      </c>
      <c r="Q60" s="5">
        <f t="shared" si="83"/>
        <v>-0.6226993865030674</v>
      </c>
      <c r="R60" s="13">
        <f>R59+29</f>
        <v>37313</v>
      </c>
      <c r="S60" s="40" t="s">
        <v>30</v>
      </c>
      <c r="U60" s="9">
        <v>6970</v>
      </c>
      <c r="V60" s="73">
        <f t="shared" si="65"/>
        <v>0.20304864282228874</v>
      </c>
      <c r="W60" s="9">
        <f t="shared" si="74"/>
        <v>29600</v>
      </c>
      <c r="X60" s="9">
        <f t="shared" si="75"/>
        <v>32560</v>
      </c>
      <c r="Z60" s="9">
        <v>3304</v>
      </c>
      <c r="AA60" s="73">
        <f t="shared" si="66"/>
        <v>0.09625146569366456</v>
      </c>
      <c r="AB60" s="9">
        <f t="shared" si="76"/>
        <v>14099.75</v>
      </c>
      <c r="AC60" s="9">
        <f t="shared" si="72"/>
        <v>23000.75</v>
      </c>
      <c r="AE60" s="9">
        <v>23752.75</v>
      </c>
      <c r="AF60" s="73">
        <f t="shared" si="67"/>
        <v>0.6919603516208205</v>
      </c>
      <c r="AG60" s="9">
        <f t="shared" si="77"/>
        <v>51024</v>
      </c>
      <c r="AH60" s="9">
        <f t="shared" si="78"/>
        <v>59587.75</v>
      </c>
      <c r="AI60" s="62">
        <v>300</v>
      </c>
      <c r="AJ60" s="56">
        <f t="shared" si="84"/>
        <v>34326.75</v>
      </c>
      <c r="AK60" s="4">
        <f t="shared" si="79"/>
        <v>95235</v>
      </c>
      <c r="AN60" s="9">
        <f>AN59+AJ60</f>
        <v>115659.75</v>
      </c>
    </row>
    <row r="61" spans="1:40" ht="12.75">
      <c r="A61" s="1">
        <f t="shared" si="86"/>
        <v>36073</v>
      </c>
      <c r="B61" s="15">
        <f t="shared" si="80"/>
        <v>55</v>
      </c>
      <c r="C61" s="3">
        <v>8</v>
      </c>
      <c r="D61" s="8">
        <f t="shared" si="1"/>
        <v>400</v>
      </c>
      <c r="E61" s="8"/>
      <c r="F61" s="8"/>
      <c r="G61" s="8"/>
      <c r="H61" s="8"/>
      <c r="I61">
        <v>29</v>
      </c>
      <c r="J61" s="11">
        <f t="shared" si="20"/>
        <v>435</v>
      </c>
      <c r="K61" s="11"/>
      <c r="L61" s="11"/>
      <c r="M61" s="3">
        <f t="shared" si="81"/>
        <v>366</v>
      </c>
      <c r="N61" s="4">
        <f t="shared" si="82"/>
        <v>835</v>
      </c>
      <c r="O61" s="4">
        <f t="shared" si="85"/>
        <v>4740</v>
      </c>
      <c r="P61" s="16">
        <f>SUM(N10:N61)/52</f>
        <v>512.3076923076923</v>
      </c>
      <c r="Q61" s="5">
        <f t="shared" si="83"/>
        <v>0.3577235772357723</v>
      </c>
      <c r="R61" s="13">
        <f t="shared" si="17"/>
        <v>37344</v>
      </c>
      <c r="S61" s="40" t="s">
        <v>31</v>
      </c>
      <c r="U61" s="9">
        <v>5747.5</v>
      </c>
      <c r="V61" s="73">
        <f t="shared" si="65"/>
        <v>0.42175747569253347</v>
      </c>
      <c r="W61" s="9">
        <f t="shared" si="74"/>
        <v>35347.5</v>
      </c>
      <c r="X61" s="9">
        <f t="shared" si="75"/>
        <v>38307.5</v>
      </c>
      <c r="Z61" s="9">
        <v>1980</v>
      </c>
      <c r="AA61" s="73">
        <f t="shared" si="66"/>
        <v>0.14529444138690148</v>
      </c>
      <c r="AB61" s="9">
        <f t="shared" si="76"/>
        <v>16079.75</v>
      </c>
      <c r="AC61" s="9">
        <f t="shared" si="72"/>
        <v>24980.75</v>
      </c>
      <c r="AE61" s="9">
        <v>5900</v>
      </c>
      <c r="AF61" s="73">
        <f t="shared" si="67"/>
        <v>0.432948082920565</v>
      </c>
      <c r="AG61" s="9">
        <f t="shared" si="77"/>
        <v>56924</v>
      </c>
      <c r="AH61" s="9">
        <f t="shared" si="78"/>
        <v>65487.75</v>
      </c>
      <c r="AI61" s="62"/>
      <c r="AJ61" s="56">
        <f t="shared" si="84"/>
        <v>13627.5</v>
      </c>
      <c r="AK61" s="4">
        <f t="shared" si="79"/>
        <v>108862.5</v>
      </c>
      <c r="AN61" s="9">
        <f>AN60+AJ61</f>
        <v>129287.25</v>
      </c>
    </row>
    <row r="62" spans="1:40" ht="12.75">
      <c r="A62" s="1">
        <f>A61+7</f>
        <v>36080</v>
      </c>
      <c r="B62" s="15">
        <f t="shared" si="80"/>
        <v>56</v>
      </c>
      <c r="C62" s="3">
        <v>8</v>
      </c>
      <c r="D62" s="8">
        <f t="shared" si="1"/>
        <v>400</v>
      </c>
      <c r="E62" s="8"/>
      <c r="F62" s="8"/>
      <c r="G62" s="8"/>
      <c r="H62" s="8"/>
      <c r="I62">
        <v>29</v>
      </c>
      <c r="J62" s="11">
        <f t="shared" si="20"/>
        <v>435</v>
      </c>
      <c r="K62" s="11"/>
      <c r="L62" s="11"/>
      <c r="M62" s="3">
        <f t="shared" si="81"/>
        <v>374</v>
      </c>
      <c r="N62" s="4">
        <f t="shared" si="82"/>
        <v>835</v>
      </c>
      <c r="O62" s="4">
        <f>O61+N62</f>
        <v>5575</v>
      </c>
      <c r="P62" s="16">
        <f>SUM(N11:N62)/52</f>
        <v>524.5192307692307</v>
      </c>
      <c r="Q62" s="5">
        <f t="shared" si="83"/>
        <v>0</v>
      </c>
      <c r="R62" s="13">
        <f>R61+31</f>
        <v>37375</v>
      </c>
      <c r="S62" s="40" t="s">
        <v>32</v>
      </c>
      <c r="U62" s="9">
        <v>2615</v>
      </c>
      <c r="V62" s="73">
        <f t="shared" si="65"/>
        <v>0.18820193383784406</v>
      </c>
      <c r="W62" s="9">
        <f>W61+U62</f>
        <v>37962.5</v>
      </c>
      <c r="X62" s="9">
        <f>X61+U62</f>
        <v>40922.5</v>
      </c>
      <c r="Z62" s="9">
        <v>2370</v>
      </c>
      <c r="AA62" s="73">
        <f t="shared" si="66"/>
        <v>0.17056924787598104</v>
      </c>
      <c r="AB62" s="9">
        <f t="shared" si="76"/>
        <v>18449.75</v>
      </c>
      <c r="AC62" s="9">
        <f t="shared" si="72"/>
        <v>27350.75</v>
      </c>
      <c r="AE62" s="9">
        <v>7702.5</v>
      </c>
      <c r="AF62" s="73">
        <f t="shared" si="67"/>
        <v>0.5543500555969384</v>
      </c>
      <c r="AG62" s="9">
        <f>AG61+AE62</f>
        <v>64626.5</v>
      </c>
      <c r="AH62" s="9">
        <f>AH61+AE62</f>
        <v>73190.25</v>
      </c>
      <c r="AI62" s="62">
        <v>1207.15</v>
      </c>
      <c r="AJ62" s="56">
        <f t="shared" si="84"/>
        <v>13894.65</v>
      </c>
      <c r="AK62" s="4">
        <f>AJ62+AK61</f>
        <v>122757.15</v>
      </c>
      <c r="AN62" s="9">
        <f>AN61+AJ62</f>
        <v>143181.9</v>
      </c>
    </row>
    <row r="63" spans="1:40" ht="12.75">
      <c r="A63" s="1">
        <f t="shared" si="86"/>
        <v>36087</v>
      </c>
      <c r="B63" s="15">
        <f aca="true" t="shared" si="87" ref="B63:B94">B62+1</f>
        <v>57</v>
      </c>
      <c r="C63" s="3">
        <v>9</v>
      </c>
      <c r="D63" s="8">
        <f t="shared" si="1"/>
        <v>450</v>
      </c>
      <c r="E63" s="8"/>
      <c r="F63" s="8"/>
      <c r="G63" s="8"/>
      <c r="H63" s="8"/>
      <c r="I63">
        <v>1</v>
      </c>
      <c r="J63" s="11">
        <f t="shared" si="20"/>
        <v>15</v>
      </c>
      <c r="K63" s="11"/>
      <c r="L63" s="11"/>
      <c r="M63" s="3">
        <f aca="true" t="shared" si="88" ref="M63:M68">C63+M62</f>
        <v>383</v>
      </c>
      <c r="N63" s="4">
        <f aca="true" t="shared" si="89" ref="N63:N68">D63+J63</f>
        <v>465</v>
      </c>
      <c r="O63" s="4">
        <f t="shared" si="85"/>
        <v>6040</v>
      </c>
      <c r="P63" s="16">
        <f aca="true" t="shared" si="90" ref="P63:P68">SUM(N12:N63)/52</f>
        <v>526.7307692307693</v>
      </c>
      <c r="Q63" s="5">
        <f t="shared" si="83"/>
        <v>-0.44311377245508987</v>
      </c>
      <c r="R63" s="13">
        <f t="shared" si="17"/>
        <v>37406</v>
      </c>
      <c r="S63" s="40" t="s">
        <v>33</v>
      </c>
      <c r="U63" s="9">
        <v>5290</v>
      </c>
      <c r="V63" s="73">
        <f t="shared" si="65"/>
        <v>0.2729864667862165</v>
      </c>
      <c r="W63" s="9">
        <f>W62+U63</f>
        <v>43252.5</v>
      </c>
      <c r="X63" s="9">
        <f>X62+U63</f>
        <v>46212.5</v>
      </c>
      <c r="Z63" s="9">
        <v>3897</v>
      </c>
      <c r="AA63" s="73">
        <f t="shared" si="66"/>
        <v>0.20110175067408048</v>
      </c>
      <c r="AB63" s="9">
        <f t="shared" si="76"/>
        <v>22346.75</v>
      </c>
      <c r="AC63" s="9">
        <f t="shared" si="72"/>
        <v>31247.75</v>
      </c>
      <c r="AE63" s="9">
        <v>10191.25</v>
      </c>
      <c r="AF63" s="73">
        <f t="shared" si="67"/>
        <v>0.525911782539703</v>
      </c>
      <c r="AG63" s="9">
        <f>AG62+AE63</f>
        <v>74817.75</v>
      </c>
      <c r="AH63" s="9">
        <f>AH62+AE63</f>
        <v>83381.5</v>
      </c>
      <c r="AI63" s="62"/>
      <c r="AJ63" s="56">
        <f t="shared" si="84"/>
        <v>19378.25</v>
      </c>
      <c r="AK63" s="4">
        <f>AJ63+AK62</f>
        <v>142135.4</v>
      </c>
      <c r="AN63" s="9">
        <f>AN62+AJ63</f>
        <v>162560.15</v>
      </c>
    </row>
    <row r="64" spans="1:40" ht="12.75">
      <c r="A64" s="1">
        <f t="shared" si="86"/>
        <v>36094</v>
      </c>
      <c r="B64" s="15">
        <f t="shared" si="87"/>
        <v>58</v>
      </c>
      <c r="C64" s="3">
        <v>6</v>
      </c>
      <c r="D64" s="8">
        <f t="shared" si="1"/>
        <v>300</v>
      </c>
      <c r="E64" s="8"/>
      <c r="F64" s="8"/>
      <c r="G64" s="8"/>
      <c r="H64" s="8"/>
      <c r="I64">
        <v>5</v>
      </c>
      <c r="J64" s="11">
        <f t="shared" si="20"/>
        <v>75</v>
      </c>
      <c r="K64" s="11"/>
      <c r="L64" s="11"/>
      <c r="M64" s="3">
        <f t="shared" si="88"/>
        <v>389</v>
      </c>
      <c r="N64" s="4">
        <f t="shared" si="89"/>
        <v>375</v>
      </c>
      <c r="O64" s="4">
        <f aca="true" t="shared" si="91" ref="O64:O70">O63+N64</f>
        <v>6415</v>
      </c>
      <c r="P64" s="16">
        <f t="shared" si="90"/>
        <v>532.0192307692307</v>
      </c>
      <c r="Q64" s="5">
        <f t="shared" si="83"/>
        <v>-0.19354838709677424</v>
      </c>
      <c r="R64" s="13">
        <f t="shared" si="17"/>
        <v>37437</v>
      </c>
      <c r="S64" s="40" t="s">
        <v>34</v>
      </c>
      <c r="U64" s="9">
        <v>3750</v>
      </c>
      <c r="V64" s="73">
        <f t="shared" si="65"/>
        <v>0.16748548459133542</v>
      </c>
      <c r="W64" s="9">
        <f>W63+U64</f>
        <v>47002.5</v>
      </c>
      <c r="X64" s="9">
        <f>U64</f>
        <v>3750</v>
      </c>
      <c r="Z64" s="9">
        <v>4441</v>
      </c>
      <c r="AA64" s="73">
        <f t="shared" si="66"/>
        <v>0.19834747655203216</v>
      </c>
      <c r="AB64" s="9">
        <f t="shared" si="76"/>
        <v>26787.75</v>
      </c>
      <c r="AC64" s="9">
        <f>Z64</f>
        <v>4441</v>
      </c>
      <c r="AE64" s="9">
        <v>13085</v>
      </c>
      <c r="AF64" s="73">
        <f t="shared" si="67"/>
        <v>0.584412684234033</v>
      </c>
      <c r="AG64" s="9">
        <f>AG63+AE64</f>
        <v>87902.75</v>
      </c>
      <c r="AH64" s="9">
        <f>AE64</f>
        <v>13085</v>
      </c>
      <c r="AI64" s="62">
        <v>1114</v>
      </c>
      <c r="AJ64" s="56">
        <f t="shared" si="84"/>
        <v>22390</v>
      </c>
      <c r="AK64" s="4">
        <f>AJ64+AK63</f>
        <v>164525.4</v>
      </c>
      <c r="AN64" s="9">
        <f>AJ64</f>
        <v>22390</v>
      </c>
    </row>
    <row r="65" spans="1:40" ht="12.75">
      <c r="A65" s="1">
        <f t="shared" si="86"/>
        <v>36101</v>
      </c>
      <c r="B65" s="15">
        <f t="shared" si="87"/>
        <v>59</v>
      </c>
      <c r="C65" s="3">
        <v>0</v>
      </c>
      <c r="D65" s="8">
        <f t="shared" si="1"/>
        <v>0</v>
      </c>
      <c r="E65" s="8"/>
      <c r="F65" s="8"/>
      <c r="G65" s="8"/>
      <c r="H65" s="8"/>
      <c r="I65">
        <v>0</v>
      </c>
      <c r="J65" s="11">
        <f t="shared" si="20"/>
        <v>0</v>
      </c>
      <c r="K65" s="11"/>
      <c r="L65" s="11"/>
      <c r="M65" s="3">
        <f t="shared" si="88"/>
        <v>389</v>
      </c>
      <c r="N65" s="4">
        <f t="shared" si="89"/>
        <v>0</v>
      </c>
      <c r="O65" s="4">
        <f t="shared" si="91"/>
        <v>6415</v>
      </c>
      <c r="P65" s="16">
        <f t="shared" si="90"/>
        <v>532.0192307692307</v>
      </c>
      <c r="Q65" s="5">
        <f t="shared" si="83"/>
        <v>-1</v>
      </c>
      <c r="R65" s="13">
        <f t="shared" si="17"/>
        <v>37468</v>
      </c>
      <c r="S65" s="40" t="s">
        <v>35</v>
      </c>
      <c r="U65" s="9">
        <v>15640</v>
      </c>
      <c r="V65" s="73">
        <f t="shared" si="65"/>
        <v>0.4424172956875062</v>
      </c>
      <c r="W65" s="9">
        <f>W64+U65</f>
        <v>62642.5</v>
      </c>
      <c r="X65" s="9">
        <f aca="true" t="shared" si="92" ref="X65:X70">X64+U65</f>
        <v>19390</v>
      </c>
      <c r="Z65" s="9">
        <v>1525</v>
      </c>
      <c r="AA65" s="73">
        <f t="shared" si="66"/>
        <v>0.043138515084619376</v>
      </c>
      <c r="AB65" s="9">
        <f t="shared" si="76"/>
        <v>28312.75</v>
      </c>
      <c r="AC65" s="9">
        <f aca="true" t="shared" si="93" ref="AC65:AC75">AC64+Z65</f>
        <v>5966</v>
      </c>
      <c r="AE65" s="9">
        <v>18186.24</v>
      </c>
      <c r="AF65" s="73">
        <f t="shared" si="67"/>
        <v>0.5144441892278743</v>
      </c>
      <c r="AG65" s="9">
        <f>AG64+AE65</f>
        <v>106088.99</v>
      </c>
      <c r="AH65" s="9">
        <f aca="true" t="shared" si="94" ref="AH65:AH70">AH64+AE65</f>
        <v>31271.24</v>
      </c>
      <c r="AI65" s="62"/>
      <c r="AJ65" s="56">
        <f t="shared" si="84"/>
        <v>35351.240000000005</v>
      </c>
      <c r="AK65" s="4">
        <f>AJ65+AK64</f>
        <v>199876.64</v>
      </c>
      <c r="AN65" s="9">
        <f aca="true" t="shared" si="95" ref="AN65:AN70">AN64+AJ65</f>
        <v>57741.240000000005</v>
      </c>
    </row>
    <row r="66" spans="1:40" ht="12.75">
      <c r="A66" s="1">
        <f t="shared" si="86"/>
        <v>36108</v>
      </c>
      <c r="B66" s="15">
        <f t="shared" si="87"/>
        <v>60</v>
      </c>
      <c r="C66" s="3">
        <v>11</v>
      </c>
      <c r="D66" s="8">
        <f t="shared" si="1"/>
        <v>550</v>
      </c>
      <c r="E66" s="8"/>
      <c r="F66" s="8"/>
      <c r="G66" s="8"/>
      <c r="H66" s="8"/>
      <c r="I66">
        <v>80</v>
      </c>
      <c r="J66" s="11">
        <f t="shared" si="20"/>
        <v>1200</v>
      </c>
      <c r="K66" s="11"/>
      <c r="L66" s="11"/>
      <c r="M66" s="3">
        <f t="shared" si="88"/>
        <v>400</v>
      </c>
      <c r="N66" s="4">
        <f t="shared" si="89"/>
        <v>1750</v>
      </c>
      <c r="O66" s="4">
        <f t="shared" si="91"/>
        <v>8165</v>
      </c>
      <c r="P66" s="16">
        <f t="shared" si="90"/>
        <v>551.25</v>
      </c>
      <c r="Q66" s="5">
        <v>0</v>
      </c>
      <c r="R66" s="13">
        <f t="shared" si="17"/>
        <v>37499</v>
      </c>
      <c r="S66" s="40" t="s">
        <v>36</v>
      </c>
      <c r="U66" s="9">
        <v>490</v>
      </c>
      <c r="V66" s="73">
        <f t="shared" si="65"/>
        <v>0.18809980806142035</v>
      </c>
      <c r="W66" s="9">
        <f>W65+U66</f>
        <v>63132.5</v>
      </c>
      <c r="X66" s="9">
        <f t="shared" si="92"/>
        <v>19880</v>
      </c>
      <c r="Z66" s="9">
        <v>965</v>
      </c>
      <c r="AA66" s="73">
        <f t="shared" si="66"/>
        <v>0.3704414587332054</v>
      </c>
      <c r="AB66" s="9">
        <f t="shared" si="76"/>
        <v>29277.75</v>
      </c>
      <c r="AC66" s="9">
        <f t="shared" si="93"/>
        <v>6931</v>
      </c>
      <c r="AE66" s="9">
        <v>1150</v>
      </c>
      <c r="AF66" s="73">
        <f t="shared" si="67"/>
        <v>0.44145873320537427</v>
      </c>
      <c r="AG66" s="9">
        <f>AG65+AE66</f>
        <v>107238.99</v>
      </c>
      <c r="AH66" s="9">
        <f t="shared" si="94"/>
        <v>32421.24</v>
      </c>
      <c r="AI66" s="62"/>
      <c r="AJ66" s="56">
        <f t="shared" si="84"/>
        <v>2605</v>
      </c>
      <c r="AK66" s="4">
        <f>AJ66+AK65</f>
        <v>202481.64</v>
      </c>
      <c r="AN66" s="9">
        <f t="shared" si="95"/>
        <v>60346.240000000005</v>
      </c>
    </row>
    <row r="67" spans="1:40" ht="12.75">
      <c r="A67" s="1">
        <f t="shared" si="86"/>
        <v>36115</v>
      </c>
      <c r="B67" s="15">
        <f t="shared" si="87"/>
        <v>61</v>
      </c>
      <c r="C67" s="3">
        <v>9</v>
      </c>
      <c r="D67" s="8">
        <f t="shared" si="1"/>
        <v>450</v>
      </c>
      <c r="E67" s="8"/>
      <c r="F67" s="8"/>
      <c r="G67" s="8"/>
      <c r="H67" s="8"/>
      <c r="I67">
        <v>12</v>
      </c>
      <c r="J67" s="11">
        <f t="shared" si="20"/>
        <v>180</v>
      </c>
      <c r="K67" s="11"/>
      <c r="L67" s="11"/>
      <c r="M67" s="3">
        <f t="shared" si="88"/>
        <v>409</v>
      </c>
      <c r="N67" s="4">
        <f t="shared" si="89"/>
        <v>630</v>
      </c>
      <c r="O67" s="4">
        <f t="shared" si="91"/>
        <v>8795</v>
      </c>
      <c r="P67" s="16">
        <f t="shared" si="90"/>
        <v>555</v>
      </c>
      <c r="Q67" s="5">
        <v>0</v>
      </c>
      <c r="R67" s="13">
        <f>R66+28</f>
        <v>37527</v>
      </c>
      <c r="S67" s="27" t="s">
        <v>25</v>
      </c>
      <c r="U67" s="9">
        <v>4859</v>
      </c>
      <c r="V67" s="73">
        <f t="shared" si="65"/>
        <v>0.2590810328050227</v>
      </c>
      <c r="W67" s="9">
        <f>U67</f>
        <v>4859</v>
      </c>
      <c r="X67" s="9">
        <f t="shared" si="92"/>
        <v>24739</v>
      </c>
      <c r="Z67" s="9">
        <v>2443</v>
      </c>
      <c r="AA67" s="73">
        <f t="shared" si="66"/>
        <v>0.13026033404870765</v>
      </c>
      <c r="AB67" s="9">
        <f>Z67</f>
        <v>2443</v>
      </c>
      <c r="AC67" s="9">
        <f t="shared" si="93"/>
        <v>9374</v>
      </c>
      <c r="AE67" s="9">
        <v>9767.5</v>
      </c>
      <c r="AF67" s="73">
        <f t="shared" si="67"/>
        <v>0.5208013969794318</v>
      </c>
      <c r="AG67" s="9">
        <f>AE67</f>
        <v>9767.5</v>
      </c>
      <c r="AH67" s="9">
        <f t="shared" si="94"/>
        <v>42188.740000000005</v>
      </c>
      <c r="AI67" s="62">
        <v>1685.25</v>
      </c>
      <c r="AJ67" s="56">
        <f t="shared" si="84"/>
        <v>18754.75</v>
      </c>
      <c r="AK67" s="4">
        <f>AJ67</f>
        <v>18754.75</v>
      </c>
      <c r="AN67" s="9">
        <f t="shared" si="95"/>
        <v>79100.99</v>
      </c>
    </row>
    <row r="68" spans="1:40" ht="12.75">
      <c r="A68" s="1">
        <f t="shared" si="86"/>
        <v>36122</v>
      </c>
      <c r="B68" s="15">
        <f t="shared" si="87"/>
        <v>62</v>
      </c>
      <c r="C68" s="3">
        <v>1</v>
      </c>
      <c r="D68" s="8">
        <f t="shared" si="1"/>
        <v>50</v>
      </c>
      <c r="E68" s="8"/>
      <c r="F68" s="8"/>
      <c r="G68" s="8"/>
      <c r="H68" s="8"/>
      <c r="I68">
        <v>3</v>
      </c>
      <c r="J68" s="11">
        <v>42</v>
      </c>
      <c r="K68" s="11"/>
      <c r="L68" s="11"/>
      <c r="M68" s="3">
        <f t="shared" si="88"/>
        <v>410</v>
      </c>
      <c r="N68" s="4">
        <f t="shared" si="89"/>
        <v>92</v>
      </c>
      <c r="O68" s="4">
        <f t="shared" si="91"/>
        <v>8887</v>
      </c>
      <c r="P68" s="16">
        <f t="shared" si="90"/>
        <v>547.6346153846154</v>
      </c>
      <c r="Q68" s="5">
        <v>0</v>
      </c>
      <c r="R68" s="13">
        <f>R67+31</f>
        <v>37558</v>
      </c>
      <c r="S68" s="15" t="s">
        <v>26</v>
      </c>
      <c r="U68" s="9">
        <v>5740.5</v>
      </c>
      <c r="V68" s="73">
        <f t="shared" si="65"/>
        <v>0.23243949102614717</v>
      </c>
      <c r="W68" s="9">
        <f aca="true" t="shared" si="96" ref="W68:W73">W67+U68</f>
        <v>10599.5</v>
      </c>
      <c r="X68" s="9">
        <f t="shared" si="92"/>
        <v>30479.5</v>
      </c>
      <c r="Z68" s="9">
        <v>7547</v>
      </c>
      <c r="AA68" s="73">
        <f t="shared" si="66"/>
        <v>0.30558676748964947</v>
      </c>
      <c r="AB68" s="9">
        <f aca="true" t="shared" si="97" ref="AB68:AB78">AB67+Z68</f>
        <v>9990</v>
      </c>
      <c r="AC68" s="9">
        <f t="shared" si="93"/>
        <v>16921</v>
      </c>
      <c r="AE68" s="9">
        <v>9834.5</v>
      </c>
      <c r="AF68" s="73">
        <f t="shared" si="67"/>
        <v>0.3982102908277405</v>
      </c>
      <c r="AG68" s="9">
        <f aca="true" t="shared" si="98" ref="AG68:AG73">AG67+AE68</f>
        <v>19602</v>
      </c>
      <c r="AH68" s="9">
        <f t="shared" si="94"/>
        <v>52023.240000000005</v>
      </c>
      <c r="AI68" s="62">
        <v>1574.75</v>
      </c>
      <c r="AJ68" s="56">
        <f t="shared" si="84"/>
        <v>24696.75</v>
      </c>
      <c r="AK68" s="4">
        <f aca="true" t="shared" si="99" ref="AK68:AK73">AJ68+AK67</f>
        <v>43451.5</v>
      </c>
      <c r="AN68" s="9">
        <f t="shared" si="95"/>
        <v>103797.74</v>
      </c>
    </row>
    <row r="69" spans="1:40" ht="12.75">
      <c r="A69" s="1">
        <f t="shared" si="86"/>
        <v>36129</v>
      </c>
      <c r="B69" s="15">
        <f t="shared" si="87"/>
        <v>63</v>
      </c>
      <c r="C69">
        <v>6</v>
      </c>
      <c r="D69" s="8">
        <f t="shared" si="1"/>
        <v>300</v>
      </c>
      <c r="E69" s="8"/>
      <c r="F69" s="8"/>
      <c r="G69" s="8"/>
      <c r="H69" s="8"/>
      <c r="I69">
        <v>8</v>
      </c>
      <c r="J69" s="11">
        <f t="shared" si="20"/>
        <v>120</v>
      </c>
      <c r="K69" s="11"/>
      <c r="L69" s="11"/>
      <c r="M69" s="3">
        <f aca="true" t="shared" si="100" ref="M69:M76">C69+M68</f>
        <v>416</v>
      </c>
      <c r="N69" s="4">
        <f aca="true" t="shared" si="101" ref="N69:N76">D69+J69</f>
        <v>420</v>
      </c>
      <c r="O69" s="4">
        <f t="shared" si="91"/>
        <v>9307</v>
      </c>
      <c r="P69" s="16">
        <f aca="true" t="shared" si="102" ref="P69:P76">SUM(N18:N69)/52</f>
        <v>548.9807692307693</v>
      </c>
      <c r="Q69" s="5">
        <v>0</v>
      </c>
      <c r="R69" s="13">
        <f>R68+31</f>
        <v>37589</v>
      </c>
      <c r="S69" s="15" t="s">
        <v>27</v>
      </c>
      <c r="U69" s="9">
        <v>4025</v>
      </c>
      <c r="V69" s="73">
        <f t="shared" si="65"/>
        <v>0.1834423353006859</v>
      </c>
      <c r="W69" s="9">
        <f t="shared" si="96"/>
        <v>14624.5</v>
      </c>
      <c r="X69" s="9">
        <f t="shared" si="92"/>
        <v>34504.5</v>
      </c>
      <c r="Z69" s="9">
        <v>3929</v>
      </c>
      <c r="AA69" s="73">
        <f t="shared" si="66"/>
        <v>0.1790670646947565</v>
      </c>
      <c r="AB69" s="9">
        <f t="shared" si="97"/>
        <v>13919</v>
      </c>
      <c r="AC69" s="9">
        <f t="shared" si="93"/>
        <v>20850</v>
      </c>
      <c r="AE69" s="9">
        <v>13987.5</v>
      </c>
      <c r="AF69" s="73">
        <f t="shared" si="67"/>
        <v>0.6374906000045576</v>
      </c>
      <c r="AG69" s="9">
        <f t="shared" si="98"/>
        <v>33589.5</v>
      </c>
      <c r="AH69" s="9">
        <f t="shared" si="94"/>
        <v>66010.74</v>
      </c>
      <c r="AI69" s="62">
        <v>0</v>
      </c>
      <c r="AJ69" s="56">
        <f t="shared" si="84"/>
        <v>21941.5</v>
      </c>
      <c r="AK69" s="4">
        <f t="shared" si="99"/>
        <v>65393</v>
      </c>
      <c r="AN69" s="9">
        <f t="shared" si="95"/>
        <v>125739.24</v>
      </c>
    </row>
    <row r="70" spans="1:40" ht="12.75">
      <c r="A70" s="1">
        <f t="shared" si="86"/>
        <v>36136</v>
      </c>
      <c r="B70" s="15">
        <f t="shared" si="87"/>
        <v>64</v>
      </c>
      <c r="C70">
        <v>5</v>
      </c>
      <c r="D70" s="8">
        <f t="shared" si="1"/>
        <v>250</v>
      </c>
      <c r="E70" s="8"/>
      <c r="F70" s="8"/>
      <c r="G70" s="8"/>
      <c r="H70" s="8"/>
      <c r="I70">
        <v>27</v>
      </c>
      <c r="J70" s="11">
        <f t="shared" si="20"/>
        <v>405</v>
      </c>
      <c r="K70" s="11"/>
      <c r="L70" s="11"/>
      <c r="M70" s="3">
        <f t="shared" si="100"/>
        <v>421</v>
      </c>
      <c r="N70" s="4">
        <f t="shared" si="101"/>
        <v>655</v>
      </c>
      <c r="O70" s="4">
        <f t="shared" si="91"/>
        <v>9962</v>
      </c>
      <c r="P70" s="16">
        <f t="shared" si="102"/>
        <v>546</v>
      </c>
      <c r="Q70" s="5">
        <v>0</v>
      </c>
      <c r="R70" s="13">
        <f>R69+31</f>
        <v>37620</v>
      </c>
      <c r="S70" s="15" t="s">
        <v>28</v>
      </c>
      <c r="U70" s="9">
        <v>6366</v>
      </c>
      <c r="V70" s="73">
        <f t="shared" si="65"/>
        <v>0.40761965743556905</v>
      </c>
      <c r="W70" s="9">
        <f t="shared" si="96"/>
        <v>20990.5</v>
      </c>
      <c r="X70" s="9">
        <f t="shared" si="92"/>
        <v>40870.5</v>
      </c>
      <c r="Z70" s="9">
        <v>5189</v>
      </c>
      <c r="AA70" s="73">
        <f t="shared" si="66"/>
        <v>0.3322554826316632</v>
      </c>
      <c r="AB70" s="9">
        <f t="shared" si="97"/>
        <v>19108</v>
      </c>
      <c r="AC70" s="9">
        <f t="shared" si="93"/>
        <v>26039</v>
      </c>
      <c r="AE70" s="9">
        <v>4062.5</v>
      </c>
      <c r="AF70" s="73">
        <f t="shared" si="67"/>
        <v>0.26012485993276774</v>
      </c>
      <c r="AG70" s="9">
        <f t="shared" si="98"/>
        <v>37652</v>
      </c>
      <c r="AH70" s="9">
        <f t="shared" si="94"/>
        <v>70073.24</v>
      </c>
      <c r="AI70" s="62">
        <v>0</v>
      </c>
      <c r="AJ70" s="56">
        <f t="shared" si="84"/>
        <v>15617.5</v>
      </c>
      <c r="AK70" s="4">
        <f t="shared" si="99"/>
        <v>81010.5</v>
      </c>
      <c r="AN70" s="9">
        <f t="shared" si="95"/>
        <v>141356.74</v>
      </c>
    </row>
    <row r="71" spans="1:40" ht="12.75">
      <c r="A71" s="1">
        <f t="shared" si="86"/>
        <v>36143</v>
      </c>
      <c r="B71" s="15">
        <f t="shared" si="87"/>
        <v>65</v>
      </c>
      <c r="C71">
        <v>6</v>
      </c>
      <c r="D71" s="8">
        <f t="shared" si="1"/>
        <v>300</v>
      </c>
      <c r="E71" s="8"/>
      <c r="F71" s="8"/>
      <c r="G71" s="8"/>
      <c r="H71" s="8"/>
      <c r="I71">
        <v>19</v>
      </c>
      <c r="J71" s="11">
        <f t="shared" si="20"/>
        <v>285</v>
      </c>
      <c r="K71" s="11"/>
      <c r="L71" s="11"/>
      <c r="M71" s="3">
        <f t="shared" si="100"/>
        <v>427</v>
      </c>
      <c r="N71" s="4">
        <f t="shared" si="101"/>
        <v>585</v>
      </c>
      <c r="O71" s="4">
        <f aca="true" t="shared" si="103" ref="O71:O76">O70+N71</f>
        <v>10547</v>
      </c>
      <c r="P71" s="16">
        <f t="shared" si="102"/>
        <v>548.6923076923077</v>
      </c>
      <c r="Q71" s="5">
        <v>0</v>
      </c>
      <c r="R71" s="13">
        <f>R70+31</f>
        <v>37651</v>
      </c>
      <c r="S71" s="40" t="s">
        <v>29</v>
      </c>
      <c r="U71" s="9">
        <v>6195</v>
      </c>
      <c r="V71" s="73">
        <f t="shared" si="65"/>
        <v>0.2697583278902678</v>
      </c>
      <c r="W71" s="9">
        <f t="shared" si="96"/>
        <v>27185.5</v>
      </c>
      <c r="X71" s="9">
        <f>X70+U71</f>
        <v>47065.5</v>
      </c>
      <c r="Z71" s="9">
        <v>2235</v>
      </c>
      <c r="AA71" s="73">
        <f t="shared" si="66"/>
        <v>0.09732201175702156</v>
      </c>
      <c r="AB71" s="9">
        <f t="shared" si="97"/>
        <v>21343</v>
      </c>
      <c r="AC71" s="9">
        <f t="shared" si="93"/>
        <v>28274</v>
      </c>
      <c r="AE71" s="9">
        <v>13965</v>
      </c>
      <c r="AF71" s="73">
        <f t="shared" si="67"/>
        <v>0.6080992815153494</v>
      </c>
      <c r="AG71" s="9">
        <f t="shared" si="98"/>
        <v>51617</v>
      </c>
      <c r="AH71" s="9">
        <f>AH70+AE71</f>
        <v>84038.24</v>
      </c>
      <c r="AI71" s="62">
        <v>570</v>
      </c>
      <c r="AJ71" s="56">
        <f t="shared" si="84"/>
        <v>22965</v>
      </c>
      <c r="AK71" s="4">
        <f t="shared" si="99"/>
        <v>103975.5</v>
      </c>
      <c r="AN71" s="9">
        <f>AN70+AJ71</f>
        <v>164321.74</v>
      </c>
    </row>
    <row r="72" spans="1:40" ht="12.75">
      <c r="A72" s="1">
        <f t="shared" si="86"/>
        <v>36150</v>
      </c>
      <c r="B72" s="15">
        <f t="shared" si="87"/>
        <v>66</v>
      </c>
      <c r="C72">
        <v>0</v>
      </c>
      <c r="D72" s="8">
        <f t="shared" si="1"/>
        <v>0</v>
      </c>
      <c r="E72" s="8"/>
      <c r="F72" s="8"/>
      <c r="G72" s="8"/>
      <c r="H72" s="8"/>
      <c r="I72">
        <v>0</v>
      </c>
      <c r="J72" s="11">
        <f t="shared" si="20"/>
        <v>0</v>
      </c>
      <c r="K72" s="11"/>
      <c r="L72" s="11"/>
      <c r="M72" s="3">
        <f t="shared" si="100"/>
        <v>427</v>
      </c>
      <c r="N72" s="4">
        <f t="shared" si="101"/>
        <v>0</v>
      </c>
      <c r="O72" s="4">
        <f t="shared" si="103"/>
        <v>10547</v>
      </c>
      <c r="P72" s="16">
        <f t="shared" si="102"/>
        <v>548.6923076923077</v>
      </c>
      <c r="Q72" s="5">
        <v>0</v>
      </c>
      <c r="R72" s="13">
        <f>R71+26</f>
        <v>37677</v>
      </c>
      <c r="S72" s="40" t="s">
        <v>30</v>
      </c>
      <c r="U72" s="9">
        <v>8875</v>
      </c>
      <c r="V72" s="73">
        <f t="shared" si="65"/>
        <v>0.27174287459563895</v>
      </c>
      <c r="W72" s="9">
        <f t="shared" si="96"/>
        <v>36060.5</v>
      </c>
      <c r="X72" s="9">
        <f>X71+U72</f>
        <v>55940.5</v>
      </c>
      <c r="Z72" s="9">
        <v>2000</v>
      </c>
      <c r="AA72" s="73">
        <f t="shared" si="66"/>
        <v>0.06123783089479188</v>
      </c>
      <c r="AB72" s="9">
        <f t="shared" si="97"/>
        <v>23343</v>
      </c>
      <c r="AC72" s="9">
        <f t="shared" si="93"/>
        <v>30274</v>
      </c>
      <c r="AE72" s="9">
        <v>20712.5</v>
      </c>
      <c r="AF72" s="73">
        <f t="shared" si="67"/>
        <v>0.6341942862041884</v>
      </c>
      <c r="AG72" s="9">
        <f t="shared" si="98"/>
        <v>72329.5</v>
      </c>
      <c r="AH72" s="9">
        <f>AH71+AE72</f>
        <v>104750.74</v>
      </c>
      <c r="AI72" s="62">
        <v>1072.05</v>
      </c>
      <c r="AJ72" s="56">
        <f t="shared" si="84"/>
        <v>32659.55</v>
      </c>
      <c r="AK72" s="4">
        <f t="shared" si="99"/>
        <v>136635.05</v>
      </c>
      <c r="AN72" s="9">
        <f>AN71+AJ72</f>
        <v>196981.28999999998</v>
      </c>
    </row>
    <row r="73" spans="1:40" ht="12.75">
      <c r="A73" s="1">
        <f t="shared" si="86"/>
        <v>36157</v>
      </c>
      <c r="B73" s="15">
        <f t="shared" si="87"/>
        <v>67</v>
      </c>
      <c r="C73">
        <v>0</v>
      </c>
      <c r="D73" s="8">
        <f aca="true" t="shared" si="104" ref="D73:D97">C73*50</f>
        <v>0</v>
      </c>
      <c r="E73" s="8"/>
      <c r="F73" s="8"/>
      <c r="G73" s="8"/>
      <c r="H73" s="8"/>
      <c r="I73">
        <v>0</v>
      </c>
      <c r="J73" s="11">
        <f t="shared" si="20"/>
        <v>0</v>
      </c>
      <c r="K73" s="11"/>
      <c r="L73" s="11"/>
      <c r="M73" s="3">
        <f t="shared" si="100"/>
        <v>427</v>
      </c>
      <c r="N73" s="4">
        <f t="shared" si="101"/>
        <v>0</v>
      </c>
      <c r="O73" s="4">
        <f t="shared" si="103"/>
        <v>10547</v>
      </c>
      <c r="P73" s="16">
        <f t="shared" si="102"/>
        <v>537.1538461538462</v>
      </c>
      <c r="Q73" s="5">
        <v>0</v>
      </c>
      <c r="R73" s="13">
        <f aca="true" t="shared" si="105" ref="R73:R80">R72+31</f>
        <v>37708</v>
      </c>
      <c r="S73" s="40" t="s">
        <v>31</v>
      </c>
      <c r="U73" s="9">
        <v>6960</v>
      </c>
      <c r="V73" s="73">
        <f t="shared" si="65"/>
        <v>0.26845647938612954</v>
      </c>
      <c r="W73" s="9">
        <f t="shared" si="96"/>
        <v>43020.5</v>
      </c>
      <c r="X73" s="9">
        <f>X72+U73</f>
        <v>62900.5</v>
      </c>
      <c r="Z73" s="9">
        <v>3657</v>
      </c>
      <c r="AA73" s="73">
        <f t="shared" si="66"/>
        <v>0.14105536567745341</v>
      </c>
      <c r="AB73" s="9">
        <f t="shared" si="97"/>
        <v>27000</v>
      </c>
      <c r="AC73" s="9">
        <f t="shared" si="93"/>
        <v>33931</v>
      </c>
      <c r="AE73" s="9">
        <v>14966.24</v>
      </c>
      <c r="AF73" s="73">
        <f t="shared" si="67"/>
        <v>0.5772678304666476</v>
      </c>
      <c r="AG73" s="9">
        <f t="shared" si="98"/>
        <v>87295.74</v>
      </c>
      <c r="AH73" s="9">
        <f>AH72+AE73</f>
        <v>119716.98000000001</v>
      </c>
      <c r="AI73" s="62">
        <v>342.75</v>
      </c>
      <c r="AJ73" s="56">
        <f t="shared" si="84"/>
        <v>25925.989999999998</v>
      </c>
      <c r="AK73" s="4">
        <f t="shared" si="99"/>
        <v>162561.03999999998</v>
      </c>
      <c r="AN73" s="9">
        <f>AN72+AJ73</f>
        <v>222907.27999999997</v>
      </c>
    </row>
    <row r="74" spans="1:40" ht="12.75">
      <c r="A74" s="1">
        <f t="shared" si="86"/>
        <v>36164</v>
      </c>
      <c r="B74" s="15">
        <f t="shared" si="87"/>
        <v>68</v>
      </c>
      <c r="C74">
        <v>4</v>
      </c>
      <c r="D74" s="8">
        <f t="shared" si="104"/>
        <v>200</v>
      </c>
      <c r="E74" s="8"/>
      <c r="F74" s="8"/>
      <c r="G74" s="8"/>
      <c r="H74" s="8"/>
      <c r="I74">
        <v>24</v>
      </c>
      <c r="J74" s="11">
        <f t="shared" si="20"/>
        <v>360</v>
      </c>
      <c r="K74" s="11"/>
      <c r="L74" s="11"/>
      <c r="M74" s="3">
        <f t="shared" si="100"/>
        <v>431</v>
      </c>
      <c r="N74" s="4">
        <f t="shared" si="101"/>
        <v>560</v>
      </c>
      <c r="O74" s="4">
        <f t="shared" si="103"/>
        <v>11107</v>
      </c>
      <c r="P74" s="16">
        <f t="shared" si="102"/>
        <v>539.6538461538462</v>
      </c>
      <c r="Q74" s="5">
        <v>0</v>
      </c>
      <c r="R74" s="13">
        <f t="shared" si="105"/>
        <v>37739</v>
      </c>
      <c r="S74" s="40" t="s">
        <v>32</v>
      </c>
      <c r="U74" s="9">
        <v>2545</v>
      </c>
      <c r="V74" s="73">
        <f t="shared" si="65"/>
        <v>0.5550708833151581</v>
      </c>
      <c r="W74" s="9">
        <f>W73+U74</f>
        <v>45565.5</v>
      </c>
      <c r="X74" s="9">
        <f>X73+U74</f>
        <v>65445.5</v>
      </c>
      <c r="Z74" s="9">
        <v>815</v>
      </c>
      <c r="AA74" s="73">
        <f t="shared" si="66"/>
        <v>0.1777535441657579</v>
      </c>
      <c r="AB74" s="9">
        <f t="shared" si="97"/>
        <v>27815</v>
      </c>
      <c r="AC74" s="9">
        <f t="shared" si="93"/>
        <v>34746</v>
      </c>
      <c r="AE74" s="9">
        <v>1225</v>
      </c>
      <c r="AF74" s="73">
        <f t="shared" si="67"/>
        <v>0.26717557251908397</v>
      </c>
      <c r="AG74" s="9">
        <f>AG73+AE74</f>
        <v>88520.74</v>
      </c>
      <c r="AH74" s="9">
        <f>AH73+AE74</f>
        <v>120941.98000000001</v>
      </c>
      <c r="AI74" s="62"/>
      <c r="AJ74" s="56">
        <f t="shared" si="84"/>
        <v>4585</v>
      </c>
      <c r="AK74" s="4">
        <f>AJ74+AK73</f>
        <v>167146.03999999998</v>
      </c>
      <c r="AN74" s="9">
        <f>AN73+AJ74</f>
        <v>227492.27999999997</v>
      </c>
    </row>
    <row r="75" spans="1:40" ht="12.75">
      <c r="A75" s="1">
        <f t="shared" si="86"/>
        <v>36171</v>
      </c>
      <c r="B75" s="15">
        <f t="shared" si="87"/>
        <v>69</v>
      </c>
      <c r="C75">
        <v>5</v>
      </c>
      <c r="D75" s="8">
        <f t="shared" si="104"/>
        <v>250</v>
      </c>
      <c r="E75" s="8"/>
      <c r="F75" s="8"/>
      <c r="G75" s="8"/>
      <c r="H75" s="8"/>
      <c r="I75">
        <v>15</v>
      </c>
      <c r="J75" s="11">
        <f t="shared" si="20"/>
        <v>225</v>
      </c>
      <c r="K75" s="11"/>
      <c r="L75" s="11"/>
      <c r="M75" s="3">
        <f t="shared" si="100"/>
        <v>436</v>
      </c>
      <c r="N75" s="4">
        <f t="shared" si="101"/>
        <v>475</v>
      </c>
      <c r="O75" s="4">
        <f t="shared" si="103"/>
        <v>11582</v>
      </c>
      <c r="P75" s="16">
        <f t="shared" si="102"/>
        <v>536.3846153846154</v>
      </c>
      <c r="Q75" s="5">
        <v>0</v>
      </c>
      <c r="R75" s="13">
        <f t="shared" si="105"/>
        <v>37770</v>
      </c>
      <c r="S75" s="40" t="s">
        <v>33</v>
      </c>
      <c r="U75" s="9">
        <v>7950</v>
      </c>
      <c r="V75" s="73">
        <f t="shared" si="65"/>
        <v>0.3916835000246342</v>
      </c>
      <c r="W75" s="9">
        <f>W74+U75</f>
        <v>53515.5</v>
      </c>
      <c r="X75" s="9">
        <f>X74+U75</f>
        <v>73395.5</v>
      </c>
      <c r="Z75" s="9">
        <v>2733</v>
      </c>
      <c r="AA75" s="73">
        <f t="shared" si="66"/>
        <v>0.13465044095186482</v>
      </c>
      <c r="AB75" s="9">
        <f t="shared" si="97"/>
        <v>30548</v>
      </c>
      <c r="AC75" s="9">
        <f t="shared" si="93"/>
        <v>37479</v>
      </c>
      <c r="AE75" s="9">
        <v>9355</v>
      </c>
      <c r="AF75" s="73">
        <f t="shared" si="67"/>
        <v>0.46090555254471105</v>
      </c>
      <c r="AG75" s="9">
        <f>AG74+AE75</f>
        <v>97875.74</v>
      </c>
      <c r="AH75" s="9">
        <f>AH74+AE75</f>
        <v>130296.98000000001</v>
      </c>
      <c r="AI75" s="62">
        <v>259</v>
      </c>
      <c r="AJ75" s="56">
        <f t="shared" si="84"/>
        <v>20297</v>
      </c>
      <c r="AK75" s="4">
        <f>AJ75+AK74</f>
        <v>187443.03999999998</v>
      </c>
      <c r="AN75" s="9">
        <f>AN74+AJ75</f>
        <v>247789.27999999997</v>
      </c>
    </row>
    <row r="76" spans="1:40" ht="12.75">
      <c r="A76" s="1">
        <f t="shared" si="86"/>
        <v>36178</v>
      </c>
      <c r="B76" s="15">
        <f t="shared" si="87"/>
        <v>70</v>
      </c>
      <c r="C76">
        <v>9</v>
      </c>
      <c r="D76" s="8">
        <f t="shared" si="104"/>
        <v>450</v>
      </c>
      <c r="E76" s="8"/>
      <c r="F76" s="8"/>
      <c r="G76" s="8"/>
      <c r="H76" s="8"/>
      <c r="I76">
        <v>27</v>
      </c>
      <c r="J76" s="11">
        <f t="shared" si="20"/>
        <v>405</v>
      </c>
      <c r="K76" s="11"/>
      <c r="L76" s="11"/>
      <c r="M76" s="3">
        <f t="shared" si="100"/>
        <v>445</v>
      </c>
      <c r="N76" s="4">
        <f t="shared" si="101"/>
        <v>855</v>
      </c>
      <c r="O76" s="4">
        <f t="shared" si="103"/>
        <v>12437</v>
      </c>
      <c r="P76" s="16">
        <f t="shared" si="102"/>
        <v>536.0961538461538</v>
      </c>
      <c r="Q76" s="5">
        <v>0</v>
      </c>
      <c r="R76" s="13">
        <f t="shared" si="105"/>
        <v>37801</v>
      </c>
      <c r="S76" s="40" t="s">
        <v>34</v>
      </c>
      <c r="U76" s="9">
        <v>77747.5</v>
      </c>
      <c r="V76" s="73">
        <f t="shared" si="65"/>
        <v>0.789238601353169</v>
      </c>
      <c r="W76" s="9">
        <f>W75+U76</f>
        <v>131263</v>
      </c>
      <c r="X76" s="9">
        <f>U76</f>
        <v>77747.5</v>
      </c>
      <c r="Z76" s="9">
        <v>2069</v>
      </c>
      <c r="AA76" s="73">
        <f t="shared" si="66"/>
        <v>0.021003050467213822</v>
      </c>
      <c r="AB76" s="9">
        <f t="shared" si="97"/>
        <v>32617</v>
      </c>
      <c r="AC76" s="9">
        <f>Z76</f>
        <v>2069</v>
      </c>
      <c r="AE76" s="9">
        <v>18693</v>
      </c>
      <c r="AF76" s="73">
        <f t="shared" si="67"/>
        <v>0.1897583481796172</v>
      </c>
      <c r="AG76" s="9">
        <f>AG75+AE76</f>
        <v>116568.74</v>
      </c>
      <c r="AH76" s="9">
        <f>AE76</f>
        <v>18693</v>
      </c>
      <c r="AI76" s="62"/>
      <c r="AJ76" s="56">
        <f t="shared" si="84"/>
        <v>98509.5</v>
      </c>
      <c r="AK76" s="4">
        <f>AJ76+AK75</f>
        <v>285952.54</v>
      </c>
      <c r="AN76" s="9">
        <f>AJ76</f>
        <v>98509.5</v>
      </c>
    </row>
    <row r="77" spans="1:40" ht="12.75">
      <c r="A77" s="1">
        <f t="shared" si="86"/>
        <v>36185</v>
      </c>
      <c r="B77" s="15">
        <f t="shared" si="87"/>
        <v>71</v>
      </c>
      <c r="C77">
        <v>11</v>
      </c>
      <c r="D77" s="8">
        <f t="shared" si="104"/>
        <v>550</v>
      </c>
      <c r="E77" s="8"/>
      <c r="F77" s="8"/>
      <c r="G77" s="8"/>
      <c r="H77" s="8"/>
      <c r="I77">
        <v>23</v>
      </c>
      <c r="J77" s="11">
        <f t="shared" si="20"/>
        <v>345</v>
      </c>
      <c r="K77" s="11"/>
      <c r="L77" s="11"/>
      <c r="M77" s="3">
        <f aca="true" t="shared" si="106" ref="M77:M84">C77+M76</f>
        <v>456</v>
      </c>
      <c r="N77" s="4">
        <f aca="true" t="shared" si="107" ref="N77:N84">D77+J77</f>
        <v>895</v>
      </c>
      <c r="O77" s="4">
        <f aca="true" t="shared" si="108" ref="O77:O84">O76+N77</f>
        <v>13332</v>
      </c>
      <c r="P77" s="16">
        <f aca="true" t="shared" si="109" ref="P77:P84">SUM(N26:N77)/52</f>
        <v>533.7884615384615</v>
      </c>
      <c r="Q77" s="5">
        <v>0</v>
      </c>
      <c r="R77" s="13">
        <f t="shared" si="105"/>
        <v>37832</v>
      </c>
      <c r="S77" s="40" t="s">
        <v>35</v>
      </c>
      <c r="U77" s="9">
        <v>9645</v>
      </c>
      <c r="V77" s="73">
        <f t="shared" si="65"/>
        <v>0.2479625678072859</v>
      </c>
      <c r="W77" s="9">
        <f>W76+U77</f>
        <v>140908</v>
      </c>
      <c r="X77" s="9">
        <f aca="true" t="shared" si="110" ref="X77:X83">X76+U77</f>
        <v>87392.5</v>
      </c>
      <c r="Z77" s="9">
        <v>5469</v>
      </c>
      <c r="AA77" s="73">
        <f t="shared" si="66"/>
        <v>0.14060210298994782</v>
      </c>
      <c r="AB77" s="9">
        <f t="shared" si="97"/>
        <v>38086</v>
      </c>
      <c r="AC77" s="9">
        <f aca="true" t="shared" si="111" ref="AC77:AC87">AC76+Z77</f>
        <v>7538</v>
      </c>
      <c r="AE77" s="9">
        <v>23622.5</v>
      </c>
      <c r="AF77" s="73">
        <f t="shared" si="67"/>
        <v>0.6073090469702034</v>
      </c>
      <c r="AG77" s="9">
        <f>AG76+AE77</f>
        <v>140191.24</v>
      </c>
      <c r="AH77" s="9">
        <f aca="true" t="shared" si="112" ref="AH77:AH83">AH76+AE77</f>
        <v>42315.5</v>
      </c>
      <c r="AI77" s="62">
        <v>160.5</v>
      </c>
      <c r="AJ77" s="56">
        <f t="shared" si="84"/>
        <v>38897</v>
      </c>
      <c r="AK77" s="4">
        <f>AJ77+AK76</f>
        <v>324849.54</v>
      </c>
      <c r="AN77" s="9">
        <f aca="true" t="shared" si="113" ref="AN77:AN83">AN76+AJ77</f>
        <v>137406.5</v>
      </c>
    </row>
    <row r="78" spans="1:40" ht="12.75">
      <c r="A78" s="1">
        <f t="shared" si="86"/>
        <v>36192</v>
      </c>
      <c r="B78" s="15">
        <f t="shared" si="87"/>
        <v>72</v>
      </c>
      <c r="C78">
        <v>4</v>
      </c>
      <c r="D78" s="8">
        <f t="shared" si="104"/>
        <v>200</v>
      </c>
      <c r="E78" s="8"/>
      <c r="F78" s="8"/>
      <c r="G78" s="8"/>
      <c r="H78" s="8"/>
      <c r="I78">
        <v>33</v>
      </c>
      <c r="J78" s="11">
        <f t="shared" si="20"/>
        <v>495</v>
      </c>
      <c r="K78" s="11"/>
      <c r="L78" s="11"/>
      <c r="M78" s="3">
        <f t="shared" si="106"/>
        <v>460</v>
      </c>
      <c r="N78" s="4">
        <f t="shared" si="107"/>
        <v>695</v>
      </c>
      <c r="O78" s="4">
        <f t="shared" si="108"/>
        <v>14027</v>
      </c>
      <c r="P78" s="16">
        <f t="shared" si="109"/>
        <v>538.1153846153846</v>
      </c>
      <c r="Q78" s="5">
        <v>0</v>
      </c>
      <c r="R78" s="13">
        <f t="shared" si="105"/>
        <v>37863</v>
      </c>
      <c r="S78" s="40" t="s">
        <v>36</v>
      </c>
      <c r="U78" s="9">
        <v>525</v>
      </c>
      <c r="V78" s="73">
        <f t="shared" si="65"/>
        <v>0.13027295285359802</v>
      </c>
      <c r="W78" s="9">
        <f>W77+U78</f>
        <v>141433</v>
      </c>
      <c r="X78" s="9">
        <f t="shared" si="110"/>
        <v>87917.5</v>
      </c>
      <c r="Z78" s="9">
        <v>1055</v>
      </c>
      <c r="AA78" s="73">
        <f t="shared" si="66"/>
        <v>0.2617866004962779</v>
      </c>
      <c r="AB78" s="9">
        <f t="shared" si="97"/>
        <v>39141</v>
      </c>
      <c r="AC78" s="9">
        <f t="shared" si="111"/>
        <v>8593</v>
      </c>
      <c r="AE78" s="9">
        <v>2450</v>
      </c>
      <c r="AF78" s="73">
        <f t="shared" si="67"/>
        <v>0.607940446650124</v>
      </c>
      <c r="AG78" s="9">
        <f>AG77+AE78</f>
        <v>142641.24</v>
      </c>
      <c r="AH78" s="9">
        <f t="shared" si="112"/>
        <v>44765.5</v>
      </c>
      <c r="AI78" s="62"/>
      <c r="AJ78" s="56">
        <f t="shared" si="84"/>
        <v>4030</v>
      </c>
      <c r="AK78" s="4">
        <f>AJ78+AK77</f>
        <v>328879.54</v>
      </c>
      <c r="AN78" s="9">
        <f t="shared" si="113"/>
        <v>141436.5</v>
      </c>
    </row>
    <row r="79" spans="1:40" ht="12.75">
      <c r="A79" s="1">
        <f t="shared" si="86"/>
        <v>36199</v>
      </c>
      <c r="B79" s="15">
        <f t="shared" si="87"/>
        <v>73</v>
      </c>
      <c r="C79">
        <v>5</v>
      </c>
      <c r="D79" s="8">
        <f t="shared" si="104"/>
        <v>250</v>
      </c>
      <c r="E79" s="8"/>
      <c r="F79" s="8"/>
      <c r="G79" s="8"/>
      <c r="H79" s="8"/>
      <c r="I79">
        <v>32</v>
      </c>
      <c r="J79" s="11">
        <f t="shared" si="20"/>
        <v>480</v>
      </c>
      <c r="K79" s="11"/>
      <c r="L79" s="11"/>
      <c r="M79" s="3">
        <f t="shared" si="106"/>
        <v>465</v>
      </c>
      <c r="N79" s="4">
        <f t="shared" si="107"/>
        <v>730</v>
      </c>
      <c r="O79" s="4">
        <f t="shared" si="108"/>
        <v>14757</v>
      </c>
      <c r="P79" s="16">
        <f t="shared" si="109"/>
        <v>540.2307692307693</v>
      </c>
      <c r="Q79" s="5">
        <v>0</v>
      </c>
      <c r="R79" s="13">
        <f t="shared" si="105"/>
        <v>37894</v>
      </c>
      <c r="S79" s="27" t="s">
        <v>25</v>
      </c>
      <c r="U79" s="9">
        <v>8500</v>
      </c>
      <c r="V79" s="73">
        <f t="shared" si="65"/>
        <v>0.3683121553843987</v>
      </c>
      <c r="W79" s="9">
        <f>U79</f>
        <v>8500</v>
      </c>
      <c r="X79" s="9">
        <f t="shared" si="110"/>
        <v>96417.5</v>
      </c>
      <c r="Z79" s="9">
        <v>3200</v>
      </c>
      <c r="AA79" s="73">
        <f t="shared" si="66"/>
        <v>0.13865869379177365</v>
      </c>
      <c r="AB79" s="9">
        <f>Z79</f>
        <v>3200</v>
      </c>
      <c r="AC79" s="9">
        <f t="shared" si="111"/>
        <v>11793</v>
      </c>
      <c r="AE79" s="9">
        <v>10723.5</v>
      </c>
      <c r="AF79" s="73">
        <f t="shared" si="67"/>
        <v>0.46465828214877647</v>
      </c>
      <c r="AG79" s="9">
        <f>AE79</f>
        <v>10723.5</v>
      </c>
      <c r="AH79" s="9">
        <f t="shared" si="112"/>
        <v>55489</v>
      </c>
      <c r="AI79" s="62">
        <v>654.75</v>
      </c>
      <c r="AJ79" s="56">
        <f t="shared" si="84"/>
        <v>23078.25</v>
      </c>
      <c r="AK79" s="4">
        <f>AJ79</f>
        <v>23078.25</v>
      </c>
      <c r="AN79" s="9">
        <f t="shared" si="113"/>
        <v>164514.75</v>
      </c>
    </row>
    <row r="80" spans="1:40" ht="12.75">
      <c r="A80" s="1">
        <f t="shared" si="86"/>
        <v>36206</v>
      </c>
      <c r="B80" s="15">
        <f t="shared" si="87"/>
        <v>74</v>
      </c>
      <c r="C80">
        <v>2</v>
      </c>
      <c r="D80" s="8">
        <f t="shared" si="104"/>
        <v>100</v>
      </c>
      <c r="E80" s="8"/>
      <c r="F80" s="8"/>
      <c r="G80" s="8"/>
      <c r="H80" s="8"/>
      <c r="I80">
        <v>9</v>
      </c>
      <c r="J80" s="11">
        <f t="shared" si="20"/>
        <v>135</v>
      </c>
      <c r="K80" s="11"/>
      <c r="L80" s="11"/>
      <c r="M80" s="3">
        <f t="shared" si="106"/>
        <v>467</v>
      </c>
      <c r="N80" s="4">
        <f t="shared" si="107"/>
        <v>235</v>
      </c>
      <c r="O80" s="4">
        <f t="shared" si="108"/>
        <v>14992</v>
      </c>
      <c r="P80" s="16">
        <f t="shared" si="109"/>
        <v>538.3076923076923</v>
      </c>
      <c r="Q80" s="5">
        <v>0</v>
      </c>
      <c r="R80" s="13">
        <f t="shared" si="105"/>
        <v>37925</v>
      </c>
      <c r="S80" s="15" t="s">
        <v>26</v>
      </c>
      <c r="U80" s="9">
        <v>9810</v>
      </c>
      <c r="V80" s="73">
        <f t="shared" si="65"/>
        <v>0.3954388686175522</v>
      </c>
      <c r="W80" s="9">
        <f aca="true" t="shared" si="114" ref="W80:W85">W79+U80</f>
        <v>18310</v>
      </c>
      <c r="X80" s="9">
        <f t="shared" si="110"/>
        <v>106227.5</v>
      </c>
      <c r="Z80" s="9">
        <v>2940.88</v>
      </c>
      <c r="AA80" s="73">
        <f t="shared" si="66"/>
        <v>0.11854620386748081</v>
      </c>
      <c r="AB80" s="9">
        <f aca="true" t="shared" si="115" ref="AB80:AB90">AB79+Z80</f>
        <v>6140.88</v>
      </c>
      <c r="AC80" s="9">
        <f t="shared" si="111"/>
        <v>14733.880000000001</v>
      </c>
      <c r="AE80" s="9">
        <v>12057</v>
      </c>
      <c r="AF80" s="73">
        <f t="shared" si="67"/>
        <v>0.486014927514967</v>
      </c>
      <c r="AG80" s="9">
        <f aca="true" t="shared" si="116" ref="AG80:AG85">AG79+AE80</f>
        <v>22780.5</v>
      </c>
      <c r="AH80" s="9">
        <f t="shared" si="112"/>
        <v>67546</v>
      </c>
      <c r="AI80" s="62"/>
      <c r="AJ80" s="56">
        <f t="shared" si="84"/>
        <v>24807.88</v>
      </c>
      <c r="AK80" s="4">
        <f aca="true" t="shared" si="117" ref="AK80:AK85">AJ80+AK79</f>
        <v>47886.130000000005</v>
      </c>
      <c r="AN80" s="9">
        <f t="shared" si="113"/>
        <v>189322.63</v>
      </c>
    </row>
    <row r="81" spans="1:40" ht="12.75">
      <c r="A81" s="1">
        <f t="shared" si="86"/>
        <v>36213</v>
      </c>
      <c r="B81" s="15">
        <f t="shared" si="87"/>
        <v>75</v>
      </c>
      <c r="C81">
        <v>2</v>
      </c>
      <c r="D81" s="8">
        <f t="shared" si="104"/>
        <v>100</v>
      </c>
      <c r="E81" s="8"/>
      <c r="F81" s="8"/>
      <c r="G81" s="8"/>
      <c r="H81" s="8"/>
      <c r="I81">
        <v>0</v>
      </c>
      <c r="J81" s="11">
        <f>I81*15</f>
        <v>0</v>
      </c>
      <c r="K81" s="11"/>
      <c r="L81" s="11"/>
      <c r="M81" s="3">
        <f t="shared" si="106"/>
        <v>469</v>
      </c>
      <c r="N81" s="4">
        <f t="shared" si="107"/>
        <v>100</v>
      </c>
      <c r="O81" s="4">
        <f t="shared" si="108"/>
        <v>15092</v>
      </c>
      <c r="P81" s="16">
        <f t="shared" si="109"/>
        <v>538.6923076923077</v>
      </c>
      <c r="Q81" s="5">
        <v>0</v>
      </c>
      <c r="R81" s="13">
        <f>R80+28</f>
        <v>37953</v>
      </c>
      <c r="S81" s="15" t="s">
        <v>27</v>
      </c>
      <c r="U81" s="9">
        <v>6140</v>
      </c>
      <c r="V81" s="73">
        <f t="shared" si="65"/>
        <v>0.3157055814073065</v>
      </c>
      <c r="W81" s="9">
        <f t="shared" si="114"/>
        <v>24450</v>
      </c>
      <c r="X81" s="9">
        <f t="shared" si="110"/>
        <v>112367.5</v>
      </c>
      <c r="Z81" s="9">
        <v>1900</v>
      </c>
      <c r="AA81" s="73">
        <f t="shared" si="66"/>
        <v>0.09769390955600689</v>
      </c>
      <c r="AB81" s="9">
        <f t="shared" si="115"/>
        <v>8040.88</v>
      </c>
      <c r="AC81" s="9">
        <f t="shared" si="111"/>
        <v>16633.88</v>
      </c>
      <c r="AE81" s="9">
        <v>11032.5</v>
      </c>
      <c r="AF81" s="73">
        <f t="shared" si="67"/>
        <v>0.5672673985140242</v>
      </c>
      <c r="AG81" s="9">
        <f t="shared" si="116"/>
        <v>33813</v>
      </c>
      <c r="AH81" s="9">
        <f t="shared" si="112"/>
        <v>78578.5</v>
      </c>
      <c r="AI81" s="62">
        <v>376</v>
      </c>
      <c r="AJ81" s="56">
        <f t="shared" si="84"/>
        <v>19448.5</v>
      </c>
      <c r="AK81" s="4">
        <f t="shared" si="117"/>
        <v>67334.63</v>
      </c>
      <c r="AN81" s="9">
        <f t="shared" si="113"/>
        <v>208771.13</v>
      </c>
    </row>
    <row r="82" spans="1:40" ht="12.75">
      <c r="A82" s="1">
        <f t="shared" si="86"/>
        <v>36220</v>
      </c>
      <c r="B82" s="15">
        <f t="shared" si="87"/>
        <v>76</v>
      </c>
      <c r="C82">
        <v>2</v>
      </c>
      <c r="D82" s="8">
        <f t="shared" si="104"/>
        <v>100</v>
      </c>
      <c r="E82" s="8"/>
      <c r="F82" s="8"/>
      <c r="G82" s="8"/>
      <c r="H82" s="8"/>
      <c r="I82">
        <v>7</v>
      </c>
      <c r="J82" s="11">
        <f>I82*15</f>
        <v>105</v>
      </c>
      <c r="K82" s="11"/>
      <c r="L82" s="11"/>
      <c r="M82" s="3">
        <f t="shared" si="106"/>
        <v>471</v>
      </c>
      <c r="N82" s="4">
        <f t="shared" si="107"/>
        <v>205</v>
      </c>
      <c r="O82" s="4">
        <f t="shared" si="108"/>
        <v>15297</v>
      </c>
      <c r="P82" s="16">
        <f t="shared" si="109"/>
        <v>531.2884615384615</v>
      </c>
      <c r="Q82" s="5">
        <v>0</v>
      </c>
      <c r="R82" s="13">
        <f>R81+28</f>
        <v>37981</v>
      </c>
      <c r="S82" s="15" t="s">
        <v>28</v>
      </c>
      <c r="U82" s="9">
        <v>6140</v>
      </c>
      <c r="V82" s="73">
        <f t="shared" si="65"/>
        <v>0.3157055814073065</v>
      </c>
      <c r="W82" s="9">
        <f t="shared" si="114"/>
        <v>30590</v>
      </c>
      <c r="X82" s="9">
        <f t="shared" si="110"/>
        <v>118507.5</v>
      </c>
      <c r="Z82" s="9">
        <v>1900</v>
      </c>
      <c r="AA82" s="73">
        <f t="shared" si="66"/>
        <v>0.09769390955600689</v>
      </c>
      <c r="AB82" s="9">
        <f t="shared" si="115"/>
        <v>9940.880000000001</v>
      </c>
      <c r="AC82" s="9">
        <f t="shared" si="111"/>
        <v>18533.88</v>
      </c>
      <c r="AE82" s="9">
        <v>11032.5</v>
      </c>
      <c r="AF82" s="73">
        <f t="shared" si="67"/>
        <v>0.5672673985140242</v>
      </c>
      <c r="AG82" s="9">
        <f t="shared" si="116"/>
        <v>44845.5</v>
      </c>
      <c r="AH82" s="9">
        <f t="shared" si="112"/>
        <v>89611</v>
      </c>
      <c r="AI82" s="62">
        <v>376</v>
      </c>
      <c r="AJ82" s="56">
        <f t="shared" si="84"/>
        <v>19448.5</v>
      </c>
      <c r="AK82" s="4">
        <f t="shared" si="117"/>
        <v>86783.13</v>
      </c>
      <c r="AN82" s="9">
        <f t="shared" si="113"/>
        <v>228219.63</v>
      </c>
    </row>
    <row r="83" spans="1:40" ht="12.75">
      <c r="A83" s="1">
        <f t="shared" si="86"/>
        <v>36227</v>
      </c>
      <c r="B83" s="15">
        <f t="shared" si="87"/>
        <v>77</v>
      </c>
      <c r="C83">
        <v>9</v>
      </c>
      <c r="D83" s="8">
        <f t="shared" si="104"/>
        <v>450</v>
      </c>
      <c r="E83" s="8"/>
      <c r="F83" s="8"/>
      <c r="G83" s="8"/>
      <c r="H83" s="8"/>
      <c r="I83">
        <v>33</v>
      </c>
      <c r="J83" s="11">
        <f>I83*15</f>
        <v>495</v>
      </c>
      <c r="K83" s="11"/>
      <c r="L83" s="11"/>
      <c r="M83" s="3">
        <f t="shared" si="106"/>
        <v>480</v>
      </c>
      <c r="N83" s="4">
        <f t="shared" si="107"/>
        <v>945</v>
      </c>
      <c r="O83" s="4">
        <f t="shared" si="108"/>
        <v>16242</v>
      </c>
      <c r="P83" s="16">
        <f t="shared" si="109"/>
        <v>544.75</v>
      </c>
      <c r="Q83" s="5">
        <v>0</v>
      </c>
      <c r="R83" s="13">
        <f>R82+28</f>
        <v>38009</v>
      </c>
      <c r="S83" s="40" t="s">
        <v>29</v>
      </c>
      <c r="U83" s="9">
        <v>6140</v>
      </c>
      <c r="V83" s="73">
        <f t="shared" si="65"/>
        <v>0.23243488794669898</v>
      </c>
      <c r="W83" s="9">
        <f t="shared" si="114"/>
        <v>36730</v>
      </c>
      <c r="X83" s="9">
        <f t="shared" si="110"/>
        <v>124647.5</v>
      </c>
      <c r="Z83" s="9">
        <v>1900</v>
      </c>
      <c r="AA83" s="73">
        <f t="shared" si="66"/>
        <v>0.07192610539067232</v>
      </c>
      <c r="AB83" s="9">
        <f t="shared" si="115"/>
        <v>11840.880000000001</v>
      </c>
      <c r="AC83" s="9">
        <f t="shared" si="111"/>
        <v>20433.88</v>
      </c>
      <c r="AE83" s="9">
        <v>18000</v>
      </c>
      <c r="AF83" s="73">
        <f t="shared" si="67"/>
        <v>0.681405208964264</v>
      </c>
      <c r="AG83" s="9">
        <f t="shared" si="116"/>
        <v>62845.5</v>
      </c>
      <c r="AH83" s="9">
        <f t="shared" si="112"/>
        <v>107611</v>
      </c>
      <c r="AI83" s="62">
        <v>376</v>
      </c>
      <c r="AJ83" s="56">
        <f t="shared" si="84"/>
        <v>26416</v>
      </c>
      <c r="AK83" s="4">
        <f t="shared" si="117"/>
        <v>113199.13</v>
      </c>
      <c r="AN83" s="9">
        <f t="shared" si="113"/>
        <v>254635.63</v>
      </c>
    </row>
    <row r="84" spans="1:40" ht="12.75">
      <c r="A84" s="1">
        <f t="shared" si="86"/>
        <v>36234</v>
      </c>
      <c r="B84" s="15">
        <f t="shared" si="87"/>
        <v>78</v>
      </c>
      <c r="C84">
        <v>5</v>
      </c>
      <c r="D84" s="8">
        <f t="shared" si="104"/>
        <v>250</v>
      </c>
      <c r="E84" s="8"/>
      <c r="F84" s="8"/>
      <c r="G84" s="8"/>
      <c r="H84" s="8"/>
      <c r="I84">
        <v>11</v>
      </c>
      <c r="J84" s="11">
        <f>I84*15</f>
        <v>165</v>
      </c>
      <c r="K84" s="11"/>
      <c r="L84" s="11"/>
      <c r="M84" s="3">
        <f t="shared" si="106"/>
        <v>485</v>
      </c>
      <c r="N84" s="4">
        <f t="shared" si="107"/>
        <v>415</v>
      </c>
      <c r="O84" s="4">
        <f t="shared" si="108"/>
        <v>16657</v>
      </c>
      <c r="P84" s="16">
        <f t="shared" si="109"/>
        <v>542.5384615384615</v>
      </c>
      <c r="Q84" s="5">
        <f>(N84/N83)-1</f>
        <v>-0.5608465608465609</v>
      </c>
      <c r="R84" s="13">
        <f>R83+31</f>
        <v>38040</v>
      </c>
      <c r="S84" s="40" t="s">
        <v>30</v>
      </c>
      <c r="U84" s="9">
        <v>11625</v>
      </c>
      <c r="V84" s="73">
        <f t="shared" si="65"/>
        <v>0.2713680450996183</v>
      </c>
      <c r="W84" s="9">
        <f t="shared" si="114"/>
        <v>48355</v>
      </c>
      <c r="X84" s="9">
        <f>X83+U84</f>
        <v>136272.5</v>
      </c>
      <c r="Z84" s="9">
        <v>3846</v>
      </c>
      <c r="AA84" s="73">
        <f t="shared" si="66"/>
        <v>0.08977905388844147</v>
      </c>
      <c r="AB84" s="9">
        <f t="shared" si="115"/>
        <v>15686.880000000001</v>
      </c>
      <c r="AC84" s="9">
        <f t="shared" si="111"/>
        <v>24279.88</v>
      </c>
      <c r="AE84" s="9">
        <v>27217.5</v>
      </c>
      <c r="AF84" s="73">
        <f t="shared" si="67"/>
        <v>0.6353513778493645</v>
      </c>
      <c r="AG84" s="9">
        <f t="shared" si="116"/>
        <v>90063</v>
      </c>
      <c r="AH84" s="9">
        <f>AH83+AE84</f>
        <v>134828.5</v>
      </c>
      <c r="AI84" s="62">
        <v>150</v>
      </c>
      <c r="AJ84" s="56">
        <f t="shared" si="84"/>
        <v>42838.5</v>
      </c>
      <c r="AK84" s="4">
        <f t="shared" si="117"/>
        <v>156037.63</v>
      </c>
      <c r="AN84" s="9">
        <f>AN83+AJ84</f>
        <v>297474.13</v>
      </c>
    </row>
    <row r="85" spans="1:40" ht="12.75">
      <c r="A85" s="1">
        <f t="shared" si="86"/>
        <v>36241</v>
      </c>
      <c r="B85" s="15">
        <f t="shared" si="87"/>
        <v>79</v>
      </c>
      <c r="C85">
        <v>2</v>
      </c>
      <c r="D85" s="8">
        <f t="shared" si="104"/>
        <v>100</v>
      </c>
      <c r="E85" s="8"/>
      <c r="F85" s="8"/>
      <c r="G85" s="8"/>
      <c r="H85" s="8"/>
      <c r="I85">
        <v>0</v>
      </c>
      <c r="J85" s="11">
        <f aca="true" t="shared" si="118" ref="J85:J97">I85*15</f>
        <v>0</v>
      </c>
      <c r="K85" s="11"/>
      <c r="L85" s="11"/>
      <c r="M85" s="3">
        <f aca="true" t="shared" si="119" ref="M85:M94">C85+M84</f>
        <v>487</v>
      </c>
      <c r="N85" s="4">
        <f aca="true" t="shared" si="120" ref="N85:N94">D85+J85</f>
        <v>100</v>
      </c>
      <c r="O85" s="4">
        <f aca="true" t="shared" si="121" ref="O85:O94">O84+N85</f>
        <v>16757</v>
      </c>
      <c r="P85" s="16">
        <f aca="true" t="shared" si="122" ref="P85:P94">SUM(N34:N85)/52</f>
        <v>539.6538461538462</v>
      </c>
      <c r="Q85" s="5">
        <f aca="true" t="shared" si="123" ref="Q85:Q94">(N85/N84)-1</f>
        <v>-0.7590361445783133</v>
      </c>
      <c r="R85" s="13">
        <f aca="true" t="shared" si="124" ref="R85:R110">R84+31</f>
        <v>38071</v>
      </c>
      <c r="S85" s="40" t="s">
        <v>31</v>
      </c>
      <c r="U85" s="9">
        <v>4992</v>
      </c>
      <c r="V85" s="73">
        <f t="shared" si="65"/>
        <v>0.11978519289927199</v>
      </c>
      <c r="W85" s="9">
        <f t="shared" si="114"/>
        <v>53347</v>
      </c>
      <c r="X85" s="9">
        <f>X84+U85</f>
        <v>141264.5</v>
      </c>
      <c r="Z85" s="9">
        <v>6377.6</v>
      </c>
      <c r="AA85" s="73">
        <f t="shared" si="66"/>
        <v>0.15303326246682633</v>
      </c>
      <c r="AB85" s="9">
        <f t="shared" si="115"/>
        <v>22064.480000000003</v>
      </c>
      <c r="AC85" s="9">
        <f t="shared" si="111"/>
        <v>30657.480000000003</v>
      </c>
      <c r="AE85" s="9">
        <v>29830</v>
      </c>
      <c r="AF85" s="73">
        <f t="shared" si="67"/>
        <v>0.7157837147807058</v>
      </c>
      <c r="AG85" s="9">
        <f t="shared" si="116"/>
        <v>119893</v>
      </c>
      <c r="AH85" s="9">
        <f>AH84+AE85</f>
        <v>164658.5</v>
      </c>
      <c r="AI85" s="62">
        <v>475</v>
      </c>
      <c r="AJ85" s="56">
        <f t="shared" si="84"/>
        <v>41674.6</v>
      </c>
      <c r="AK85" s="4">
        <f t="shared" si="117"/>
        <v>197712.23</v>
      </c>
      <c r="AN85" s="9">
        <f>AN84+AJ85</f>
        <v>339148.73</v>
      </c>
    </row>
    <row r="86" spans="1:40" ht="12.75">
      <c r="A86" s="1">
        <f t="shared" si="86"/>
        <v>36248</v>
      </c>
      <c r="B86" s="15">
        <f t="shared" si="87"/>
        <v>80</v>
      </c>
      <c r="C86">
        <v>0</v>
      </c>
      <c r="D86" s="8">
        <f t="shared" si="104"/>
        <v>0</v>
      </c>
      <c r="E86" s="8"/>
      <c r="F86" s="8"/>
      <c r="G86" s="8"/>
      <c r="H86" s="8"/>
      <c r="I86">
        <v>0</v>
      </c>
      <c r="J86" s="11">
        <f t="shared" si="118"/>
        <v>0</v>
      </c>
      <c r="K86" s="11"/>
      <c r="L86" s="11"/>
      <c r="M86" s="3">
        <f t="shared" si="119"/>
        <v>487</v>
      </c>
      <c r="N86" s="4">
        <f t="shared" si="120"/>
        <v>0</v>
      </c>
      <c r="O86" s="4">
        <f t="shared" si="121"/>
        <v>16757</v>
      </c>
      <c r="P86" s="16">
        <f t="shared" si="122"/>
        <v>525.8076923076923</v>
      </c>
      <c r="Q86" s="5">
        <f t="shared" si="123"/>
        <v>-1</v>
      </c>
      <c r="R86" s="13">
        <f>R85+20</f>
        <v>38091</v>
      </c>
      <c r="S86" s="40" t="s">
        <v>32</v>
      </c>
      <c r="U86" s="9">
        <v>2165.5</v>
      </c>
      <c r="V86" s="73">
        <f t="shared" si="65"/>
        <v>0.38874427789246924</v>
      </c>
      <c r="W86" s="9">
        <f>W85+U86</f>
        <v>55512.5</v>
      </c>
      <c r="X86" s="9">
        <f>X85+U86</f>
        <v>143430</v>
      </c>
      <c r="Z86" s="9">
        <v>1693</v>
      </c>
      <c r="AA86" s="73">
        <f t="shared" si="66"/>
        <v>0.3039224486132304</v>
      </c>
      <c r="AB86" s="9">
        <f t="shared" si="115"/>
        <v>23757.480000000003</v>
      </c>
      <c r="AC86" s="9">
        <f t="shared" si="111"/>
        <v>32350.480000000003</v>
      </c>
      <c r="AE86" s="9">
        <v>1712</v>
      </c>
      <c r="AF86" s="73">
        <f t="shared" si="67"/>
        <v>0.30733327349430034</v>
      </c>
      <c r="AG86" s="9">
        <f>AG85+AE86</f>
        <v>121605</v>
      </c>
      <c r="AH86" s="9">
        <f>AH85+AE86</f>
        <v>166370.5</v>
      </c>
      <c r="AI86" s="62"/>
      <c r="AJ86" s="56">
        <f t="shared" si="84"/>
        <v>5570.5</v>
      </c>
      <c r="AK86" s="4">
        <f>AJ86+AK85</f>
        <v>203282.73</v>
      </c>
      <c r="AN86" s="9">
        <f>AN85+AJ86</f>
        <v>344719.23</v>
      </c>
    </row>
    <row r="87" spans="1:40" ht="12.75">
      <c r="A87" s="1">
        <f t="shared" si="86"/>
        <v>36255</v>
      </c>
      <c r="B87" s="15">
        <f t="shared" si="87"/>
        <v>81</v>
      </c>
      <c r="C87">
        <v>0</v>
      </c>
      <c r="D87" s="8">
        <f t="shared" si="104"/>
        <v>0</v>
      </c>
      <c r="E87" s="8"/>
      <c r="F87" s="8"/>
      <c r="G87" s="8"/>
      <c r="H87" s="8"/>
      <c r="I87">
        <v>0</v>
      </c>
      <c r="J87" s="11">
        <f t="shared" si="118"/>
        <v>0</v>
      </c>
      <c r="K87" s="11"/>
      <c r="L87" s="11"/>
      <c r="M87" s="3">
        <f t="shared" si="119"/>
        <v>487</v>
      </c>
      <c r="N87" s="4">
        <f t="shared" si="120"/>
        <v>0</v>
      </c>
      <c r="O87" s="4">
        <f t="shared" si="121"/>
        <v>16757</v>
      </c>
      <c r="P87" s="16">
        <f t="shared" si="122"/>
        <v>518.3076923076923</v>
      </c>
      <c r="Q87" s="5">
        <v>0</v>
      </c>
      <c r="R87" s="13">
        <f t="shared" si="124"/>
        <v>38122</v>
      </c>
      <c r="S87" s="40" t="s">
        <v>33</v>
      </c>
      <c r="U87" s="9">
        <v>5040</v>
      </c>
      <c r="V87" s="73">
        <f t="shared" si="65"/>
        <v>0.15242127546970097</v>
      </c>
      <c r="W87" s="9">
        <f>W86+U87</f>
        <v>60552.5</v>
      </c>
      <c r="X87" s="9">
        <f>X86+U87</f>
        <v>148470</v>
      </c>
      <c r="Z87" s="9">
        <v>4000</v>
      </c>
      <c r="AA87" s="73">
        <f t="shared" si="66"/>
        <v>0.12096926624579443</v>
      </c>
      <c r="AB87" s="9">
        <f t="shared" si="115"/>
        <v>27757.480000000003</v>
      </c>
      <c r="AC87" s="9">
        <f t="shared" si="111"/>
        <v>36350.48</v>
      </c>
      <c r="AE87" s="9">
        <v>24026.25</v>
      </c>
      <c r="AF87" s="73">
        <f t="shared" si="67"/>
        <v>0.7266094582845046</v>
      </c>
      <c r="AG87" s="9">
        <f>AG86+AE87</f>
        <v>145631.25</v>
      </c>
      <c r="AH87" s="9">
        <f>AH86+AE87</f>
        <v>190396.75</v>
      </c>
      <c r="AI87" s="62"/>
      <c r="AJ87" s="56">
        <f t="shared" si="84"/>
        <v>33066.25</v>
      </c>
      <c r="AK87" s="4">
        <f>AJ87+AK86</f>
        <v>236348.98</v>
      </c>
      <c r="AN87" s="9">
        <f>AN86+AJ87</f>
        <v>377785.48</v>
      </c>
    </row>
    <row r="88" spans="1:40" ht="12.75">
      <c r="A88" s="1">
        <f t="shared" si="86"/>
        <v>36262</v>
      </c>
      <c r="B88" s="15">
        <f t="shared" si="87"/>
        <v>82</v>
      </c>
      <c r="C88">
        <v>7</v>
      </c>
      <c r="D88" s="8">
        <f t="shared" si="104"/>
        <v>350</v>
      </c>
      <c r="E88" s="8"/>
      <c r="F88" s="8"/>
      <c r="G88" s="8"/>
      <c r="H88" s="8"/>
      <c r="I88">
        <v>0</v>
      </c>
      <c r="J88" s="11">
        <f t="shared" si="118"/>
        <v>0</v>
      </c>
      <c r="K88" s="11"/>
      <c r="L88" s="11"/>
      <c r="M88" s="3">
        <f t="shared" si="119"/>
        <v>494</v>
      </c>
      <c r="N88" s="4">
        <f t="shared" si="120"/>
        <v>350</v>
      </c>
      <c r="O88" s="4">
        <f t="shared" si="121"/>
        <v>17107</v>
      </c>
      <c r="P88" s="16">
        <f t="shared" si="122"/>
        <v>521.5769230769231</v>
      </c>
      <c r="Q88" s="5">
        <v>0</v>
      </c>
      <c r="R88" s="13">
        <f t="shared" si="124"/>
        <v>38153</v>
      </c>
      <c r="S88" s="40" t="s">
        <v>34</v>
      </c>
      <c r="U88" s="9">
        <v>6427.5</v>
      </c>
      <c r="V88" s="73">
        <f t="shared" si="65"/>
        <v>0.3389763468080057</v>
      </c>
      <c r="W88" s="9">
        <f>W87+U88</f>
        <v>66980</v>
      </c>
      <c r="X88" s="9">
        <f>U88</f>
        <v>6427.5</v>
      </c>
      <c r="Z88" s="9">
        <v>3474</v>
      </c>
      <c r="AA88" s="73">
        <f t="shared" si="66"/>
        <v>0.18321335337394193</v>
      </c>
      <c r="AB88" s="9">
        <f t="shared" si="115"/>
        <v>31231.480000000003</v>
      </c>
      <c r="AC88" s="9">
        <f>Z88</f>
        <v>3474</v>
      </c>
      <c r="AE88" s="9">
        <v>9060</v>
      </c>
      <c r="AF88" s="73">
        <f t="shared" si="67"/>
        <v>0.47781029981805234</v>
      </c>
      <c r="AG88" s="9">
        <f>AG87+AE88</f>
        <v>154691.25</v>
      </c>
      <c r="AH88" s="9">
        <f>AE88</f>
        <v>9060</v>
      </c>
      <c r="AI88" s="62"/>
      <c r="AJ88" s="56">
        <f t="shared" si="84"/>
        <v>18961.5</v>
      </c>
      <c r="AK88" s="4">
        <f>AJ88+AK87</f>
        <v>255310.48</v>
      </c>
      <c r="AN88" s="9">
        <f>AJ88</f>
        <v>18961.5</v>
      </c>
    </row>
    <row r="89" spans="1:40" ht="12.75">
      <c r="A89" s="1">
        <f t="shared" si="86"/>
        <v>36269</v>
      </c>
      <c r="B89" s="15">
        <f t="shared" si="87"/>
        <v>83</v>
      </c>
      <c r="C89">
        <v>0</v>
      </c>
      <c r="D89" s="8">
        <f t="shared" si="104"/>
        <v>0</v>
      </c>
      <c r="E89" s="8"/>
      <c r="F89" s="8"/>
      <c r="G89" s="8"/>
      <c r="H89" s="8"/>
      <c r="I89">
        <v>0</v>
      </c>
      <c r="J89" s="11">
        <f t="shared" si="118"/>
        <v>0</v>
      </c>
      <c r="K89" s="11"/>
      <c r="L89" s="11"/>
      <c r="M89" s="3">
        <f t="shared" si="119"/>
        <v>494</v>
      </c>
      <c r="N89" s="4">
        <f t="shared" si="120"/>
        <v>0</v>
      </c>
      <c r="O89" s="4">
        <f t="shared" si="121"/>
        <v>17107</v>
      </c>
      <c r="P89" s="16">
        <f t="shared" si="122"/>
        <v>521.5769230769231</v>
      </c>
      <c r="Q89" s="5">
        <f t="shared" si="123"/>
        <v>-1</v>
      </c>
      <c r="R89" s="13">
        <f t="shared" si="124"/>
        <v>38184</v>
      </c>
      <c r="S89" s="40" t="s">
        <v>35</v>
      </c>
      <c r="U89" s="9">
        <v>4542</v>
      </c>
      <c r="V89" s="73">
        <f t="shared" si="65"/>
        <v>0.09661157552166422</v>
      </c>
      <c r="W89" s="9">
        <f>W88+U89</f>
        <v>71522</v>
      </c>
      <c r="X89" s="9">
        <f aca="true" t="shared" si="125" ref="X89:X94">X88+U89</f>
        <v>10969.5</v>
      </c>
      <c r="Z89" s="9">
        <v>3541</v>
      </c>
      <c r="AA89" s="73">
        <f t="shared" si="66"/>
        <v>0.07531959245315126</v>
      </c>
      <c r="AB89" s="9">
        <f t="shared" si="115"/>
        <v>34772.48</v>
      </c>
      <c r="AC89" s="9">
        <f aca="true" t="shared" si="126" ref="AC89:AC99">AC88+Z89</f>
        <v>7015</v>
      </c>
      <c r="AE89" s="9">
        <v>38780</v>
      </c>
      <c r="AF89" s="73">
        <f t="shared" si="67"/>
        <v>0.824878225171761</v>
      </c>
      <c r="AG89" s="9">
        <f>AG88+AE89</f>
        <v>193471.25</v>
      </c>
      <c r="AH89" s="9">
        <f aca="true" t="shared" si="127" ref="AH89:AH94">AH88+AE89</f>
        <v>47840</v>
      </c>
      <c r="AI89" s="62">
        <v>150</v>
      </c>
      <c r="AJ89" s="56">
        <f t="shared" si="84"/>
        <v>47013</v>
      </c>
      <c r="AK89" s="4">
        <f>AJ89+AK88</f>
        <v>302323.48</v>
      </c>
      <c r="AN89" s="9">
        <f aca="true" t="shared" si="128" ref="AN89:AN103">AN88+AJ89</f>
        <v>65974.5</v>
      </c>
    </row>
    <row r="90" spans="1:40" ht="12.75">
      <c r="A90" s="1">
        <f t="shared" si="86"/>
        <v>36276</v>
      </c>
      <c r="B90" s="15">
        <f t="shared" si="87"/>
        <v>84</v>
      </c>
      <c r="C90">
        <v>1</v>
      </c>
      <c r="D90" s="8">
        <f t="shared" si="104"/>
        <v>50</v>
      </c>
      <c r="E90" s="8"/>
      <c r="F90" s="8"/>
      <c r="G90" s="8"/>
      <c r="H90" s="8"/>
      <c r="I90">
        <v>10</v>
      </c>
      <c r="J90" s="11">
        <f t="shared" si="118"/>
        <v>150</v>
      </c>
      <c r="K90" s="11"/>
      <c r="L90" s="11"/>
      <c r="M90" s="3">
        <f t="shared" si="119"/>
        <v>495</v>
      </c>
      <c r="N90" s="4">
        <f t="shared" si="120"/>
        <v>200</v>
      </c>
      <c r="O90" s="4">
        <f t="shared" si="121"/>
        <v>17307</v>
      </c>
      <c r="P90" s="16">
        <f t="shared" si="122"/>
        <v>517.6346153846154</v>
      </c>
      <c r="Q90" s="5">
        <v>0</v>
      </c>
      <c r="R90" s="13">
        <f t="shared" si="124"/>
        <v>38215</v>
      </c>
      <c r="S90" s="40" t="s">
        <v>36</v>
      </c>
      <c r="U90" s="9">
        <v>200</v>
      </c>
      <c r="V90" s="73">
        <f t="shared" si="65"/>
        <v>0.12618296529968454</v>
      </c>
      <c r="W90" s="9">
        <f>W89+U90</f>
        <v>71722</v>
      </c>
      <c r="X90" s="9">
        <f t="shared" si="125"/>
        <v>11169.5</v>
      </c>
      <c r="Z90" s="9">
        <v>885</v>
      </c>
      <c r="AA90" s="73">
        <f t="shared" si="66"/>
        <v>0.5583596214511041</v>
      </c>
      <c r="AB90" s="9">
        <f t="shared" si="115"/>
        <v>35657.48</v>
      </c>
      <c r="AC90" s="9">
        <f t="shared" si="126"/>
        <v>7900</v>
      </c>
      <c r="AE90" s="9">
        <v>500</v>
      </c>
      <c r="AF90" s="73">
        <f t="shared" si="67"/>
        <v>0.31545741324921134</v>
      </c>
      <c r="AG90" s="9">
        <f>AG89+AE90</f>
        <v>193971.25</v>
      </c>
      <c r="AH90" s="9">
        <f t="shared" si="127"/>
        <v>48340</v>
      </c>
      <c r="AI90" s="62"/>
      <c r="AJ90" s="56">
        <f t="shared" si="84"/>
        <v>1585</v>
      </c>
      <c r="AK90" s="4">
        <f>AJ90+AK89</f>
        <v>303908.48</v>
      </c>
      <c r="AN90" s="9">
        <f t="shared" si="128"/>
        <v>67559.5</v>
      </c>
    </row>
    <row r="91" spans="1:40" ht="12.75">
      <c r="A91" s="1">
        <f t="shared" si="86"/>
        <v>36283</v>
      </c>
      <c r="B91" s="15">
        <f t="shared" si="87"/>
        <v>85</v>
      </c>
      <c r="C91">
        <v>5</v>
      </c>
      <c r="D91" s="8">
        <f t="shared" si="104"/>
        <v>250</v>
      </c>
      <c r="E91" s="8"/>
      <c r="F91" s="8"/>
      <c r="G91" s="8"/>
      <c r="H91" s="8"/>
      <c r="I91">
        <v>7</v>
      </c>
      <c r="J91" s="11">
        <f t="shared" si="118"/>
        <v>105</v>
      </c>
      <c r="K91" s="11"/>
      <c r="L91" s="11"/>
      <c r="M91" s="3">
        <f t="shared" si="119"/>
        <v>500</v>
      </c>
      <c r="N91" s="4">
        <f t="shared" si="120"/>
        <v>355</v>
      </c>
      <c r="O91" s="4">
        <f t="shared" si="121"/>
        <v>17662</v>
      </c>
      <c r="P91" s="16">
        <f t="shared" si="122"/>
        <v>513.9807692307693</v>
      </c>
      <c r="Q91" s="5">
        <f t="shared" si="123"/>
        <v>0.7749999999999999</v>
      </c>
      <c r="R91" s="13">
        <f t="shared" si="124"/>
        <v>38246</v>
      </c>
      <c r="S91" s="27" t="s">
        <v>25</v>
      </c>
      <c r="U91" s="9">
        <v>3662.5</v>
      </c>
      <c r="V91" s="73">
        <f t="shared" si="65"/>
        <v>0.4123276104700253</v>
      </c>
      <c r="W91" s="9">
        <f>U91</f>
        <v>3662.5</v>
      </c>
      <c r="X91" s="9">
        <f t="shared" si="125"/>
        <v>14832</v>
      </c>
      <c r="Z91" s="9">
        <v>2680</v>
      </c>
      <c r="AA91" s="73">
        <f t="shared" si="66"/>
        <v>0.3017168589924008</v>
      </c>
      <c r="AB91" s="9">
        <f>Z91</f>
        <v>2680</v>
      </c>
      <c r="AC91" s="9">
        <f t="shared" si="126"/>
        <v>10580</v>
      </c>
      <c r="AE91" s="9">
        <v>2540</v>
      </c>
      <c r="AF91" s="73">
        <f t="shared" si="67"/>
        <v>0.2859555305375739</v>
      </c>
      <c r="AG91" s="9">
        <f>AE91</f>
        <v>2540</v>
      </c>
      <c r="AH91" s="9">
        <f t="shared" si="127"/>
        <v>50880</v>
      </c>
      <c r="AI91" s="62"/>
      <c r="AJ91" s="56">
        <f t="shared" si="84"/>
        <v>8882.5</v>
      </c>
      <c r="AK91" s="4">
        <f>AJ91</f>
        <v>8882.5</v>
      </c>
      <c r="AN91" s="9">
        <f t="shared" si="128"/>
        <v>76442</v>
      </c>
    </row>
    <row r="92" spans="1:40" ht="12.75">
      <c r="A92" s="1">
        <f t="shared" si="86"/>
        <v>36290</v>
      </c>
      <c r="B92" s="15">
        <f t="shared" si="87"/>
        <v>86</v>
      </c>
      <c r="C92">
        <v>14</v>
      </c>
      <c r="D92" s="8">
        <f t="shared" si="104"/>
        <v>700</v>
      </c>
      <c r="E92" s="8"/>
      <c r="F92" s="8"/>
      <c r="G92" s="8"/>
      <c r="H92" s="8"/>
      <c r="I92">
        <v>17</v>
      </c>
      <c r="J92" s="11">
        <f t="shared" si="118"/>
        <v>255</v>
      </c>
      <c r="K92" s="11"/>
      <c r="L92" s="11"/>
      <c r="M92" s="3">
        <f t="shared" si="119"/>
        <v>514</v>
      </c>
      <c r="N92" s="4">
        <f t="shared" si="120"/>
        <v>955</v>
      </c>
      <c r="O92" s="4">
        <f t="shared" si="121"/>
        <v>18617</v>
      </c>
      <c r="P92" s="16">
        <f t="shared" si="122"/>
        <v>520.1346153846154</v>
      </c>
      <c r="Q92" s="5">
        <f t="shared" si="123"/>
        <v>1.6901408450704225</v>
      </c>
      <c r="R92" s="13">
        <f t="shared" si="124"/>
        <v>38277</v>
      </c>
      <c r="S92" s="15" t="s">
        <v>26</v>
      </c>
      <c r="U92" s="9">
        <v>10154</v>
      </c>
      <c r="V92" s="73">
        <f t="shared" si="65"/>
        <v>0.21046592271916834</v>
      </c>
      <c r="W92" s="9">
        <f aca="true" t="shared" si="129" ref="W92:W98">W91+U92</f>
        <v>13816.5</v>
      </c>
      <c r="X92" s="9">
        <f t="shared" si="125"/>
        <v>24986</v>
      </c>
      <c r="Z92" s="9">
        <v>6618.84</v>
      </c>
      <c r="AA92" s="73">
        <f t="shared" si="66"/>
        <v>0.13719128106465828</v>
      </c>
      <c r="AB92" s="9">
        <f aca="true" t="shared" si="130" ref="AB92:AB101">AB91+Z92</f>
        <v>9298.84</v>
      </c>
      <c r="AC92" s="9">
        <f t="shared" si="126"/>
        <v>17198.84</v>
      </c>
      <c r="AE92" s="9">
        <v>31472.5</v>
      </c>
      <c r="AF92" s="73">
        <f t="shared" si="67"/>
        <v>0.6523427962161734</v>
      </c>
      <c r="AG92" s="9">
        <f aca="true" t="shared" si="131" ref="AG92:AG98">AG91+AE92</f>
        <v>34012.5</v>
      </c>
      <c r="AH92" s="9">
        <f t="shared" si="127"/>
        <v>82352.5</v>
      </c>
      <c r="AI92" s="62"/>
      <c r="AJ92" s="56">
        <f t="shared" si="84"/>
        <v>48245.34</v>
      </c>
      <c r="AK92" s="4">
        <f aca="true" t="shared" si="132" ref="AK92:AK98">AJ92+AK91</f>
        <v>57127.84</v>
      </c>
      <c r="AN92" s="9">
        <f t="shared" si="128"/>
        <v>124687.34</v>
      </c>
    </row>
    <row r="93" spans="1:40" ht="12.75">
      <c r="A93" s="1">
        <f t="shared" si="86"/>
        <v>36297</v>
      </c>
      <c r="B93" s="15">
        <f t="shared" si="87"/>
        <v>87</v>
      </c>
      <c r="C93">
        <v>4</v>
      </c>
      <c r="D93" s="8">
        <f t="shared" si="104"/>
        <v>200</v>
      </c>
      <c r="E93" s="8"/>
      <c r="F93" s="8"/>
      <c r="G93" s="8"/>
      <c r="H93" s="8"/>
      <c r="I93">
        <v>13</v>
      </c>
      <c r="J93" s="11">
        <f t="shared" si="118"/>
        <v>195</v>
      </c>
      <c r="K93" s="11"/>
      <c r="L93" s="11"/>
      <c r="M93" s="3">
        <f t="shared" si="119"/>
        <v>518</v>
      </c>
      <c r="N93" s="4">
        <f t="shared" si="120"/>
        <v>395</v>
      </c>
      <c r="O93" s="4">
        <f t="shared" si="121"/>
        <v>19012</v>
      </c>
      <c r="P93" s="16">
        <f t="shared" si="122"/>
        <v>513.3076923076923</v>
      </c>
      <c r="Q93" s="5">
        <f t="shared" si="123"/>
        <v>-0.5863874345549738</v>
      </c>
      <c r="R93" s="13">
        <f t="shared" si="124"/>
        <v>38308</v>
      </c>
      <c r="S93" s="15" t="s">
        <v>27</v>
      </c>
      <c r="U93" s="9">
        <v>7744</v>
      </c>
      <c r="V93" s="73">
        <f t="shared" si="65"/>
        <v>0.2371677079505084</v>
      </c>
      <c r="W93" s="9">
        <f t="shared" si="129"/>
        <v>21560.5</v>
      </c>
      <c r="X93" s="9">
        <f t="shared" si="125"/>
        <v>32730</v>
      </c>
      <c r="Z93" s="9">
        <v>5195</v>
      </c>
      <c r="AA93" s="73">
        <f t="shared" si="66"/>
        <v>0.15910204581648904</v>
      </c>
      <c r="AB93" s="9">
        <f t="shared" si="130"/>
        <v>14493.84</v>
      </c>
      <c r="AC93" s="9">
        <f t="shared" si="126"/>
        <v>22393.84</v>
      </c>
      <c r="AE93" s="9">
        <v>19413</v>
      </c>
      <c r="AF93" s="73">
        <f t="shared" si="67"/>
        <v>0.594542447629548</v>
      </c>
      <c r="AG93" s="9">
        <f t="shared" si="131"/>
        <v>53425.5</v>
      </c>
      <c r="AH93" s="9">
        <f t="shared" si="127"/>
        <v>101765.5</v>
      </c>
      <c r="AI93" s="62">
        <v>300</v>
      </c>
      <c r="AJ93" s="56">
        <f t="shared" si="84"/>
        <v>32652</v>
      </c>
      <c r="AK93" s="4">
        <f t="shared" si="132"/>
        <v>89779.84</v>
      </c>
      <c r="AN93" s="9">
        <f t="shared" si="128"/>
        <v>157339.34</v>
      </c>
    </row>
    <row r="94" spans="1:40" ht="12.75">
      <c r="A94" s="1">
        <f t="shared" si="86"/>
        <v>36304</v>
      </c>
      <c r="B94" s="15">
        <f t="shared" si="87"/>
        <v>88</v>
      </c>
      <c r="C94">
        <v>2</v>
      </c>
      <c r="D94" s="8">
        <f t="shared" si="104"/>
        <v>100</v>
      </c>
      <c r="E94" s="8"/>
      <c r="F94" s="8"/>
      <c r="G94" s="8"/>
      <c r="H94" s="8"/>
      <c r="I94">
        <v>24</v>
      </c>
      <c r="J94" s="11">
        <f t="shared" si="118"/>
        <v>360</v>
      </c>
      <c r="K94" s="11"/>
      <c r="L94" s="11"/>
      <c r="M94" s="3">
        <f t="shared" si="119"/>
        <v>520</v>
      </c>
      <c r="N94" s="4">
        <f t="shared" si="120"/>
        <v>460</v>
      </c>
      <c r="O94" s="4">
        <f t="shared" si="121"/>
        <v>19472</v>
      </c>
      <c r="P94" s="16">
        <f t="shared" si="122"/>
        <v>514.3653846153846</v>
      </c>
      <c r="Q94" s="5">
        <f t="shared" si="123"/>
        <v>0.16455696202531644</v>
      </c>
      <c r="R94" s="13">
        <f t="shared" si="124"/>
        <v>38339</v>
      </c>
      <c r="S94" s="15" t="s">
        <v>28</v>
      </c>
      <c r="U94" s="9">
        <v>4394</v>
      </c>
      <c r="V94" s="73">
        <f t="shared" si="65"/>
        <v>0.16088166373755125</v>
      </c>
      <c r="W94" s="9">
        <f t="shared" si="129"/>
        <v>25954.5</v>
      </c>
      <c r="X94" s="9">
        <f t="shared" si="125"/>
        <v>37124</v>
      </c>
      <c r="Z94" s="9">
        <v>3395</v>
      </c>
      <c r="AA94" s="73">
        <f t="shared" si="66"/>
        <v>0.12430433509080258</v>
      </c>
      <c r="AB94" s="9">
        <f t="shared" si="130"/>
        <v>17888.84</v>
      </c>
      <c r="AC94" s="9">
        <f t="shared" si="126"/>
        <v>25788.84</v>
      </c>
      <c r="AE94" s="9">
        <v>19523</v>
      </c>
      <c r="AF94" s="73">
        <f t="shared" si="67"/>
        <v>0.7148140011716462</v>
      </c>
      <c r="AG94" s="9">
        <f t="shared" si="131"/>
        <v>72948.5</v>
      </c>
      <c r="AH94" s="9">
        <f t="shared" si="127"/>
        <v>121288.5</v>
      </c>
      <c r="AI94" s="62"/>
      <c r="AJ94" s="56">
        <f t="shared" si="84"/>
        <v>27312</v>
      </c>
      <c r="AK94" s="4">
        <f t="shared" si="132"/>
        <v>117091.84</v>
      </c>
      <c r="AN94" s="9">
        <f t="shared" si="128"/>
        <v>184651.34</v>
      </c>
    </row>
    <row r="95" spans="1:40" ht="12.75">
      <c r="A95" s="1">
        <f aca="true" t="shared" si="133" ref="A95:A110">A94+7</f>
        <v>36311</v>
      </c>
      <c r="B95" s="15">
        <f aca="true" t="shared" si="134" ref="B95:B110">B94+1</f>
        <v>89</v>
      </c>
      <c r="C95">
        <v>3</v>
      </c>
      <c r="D95" s="8">
        <f t="shared" si="104"/>
        <v>150</v>
      </c>
      <c r="E95" s="8"/>
      <c r="F95" s="8"/>
      <c r="G95" s="8"/>
      <c r="H95" s="8"/>
      <c r="I95">
        <v>4</v>
      </c>
      <c r="J95" s="11">
        <f t="shared" si="118"/>
        <v>60</v>
      </c>
      <c r="K95" s="11"/>
      <c r="L95" s="11"/>
      <c r="M95" s="3">
        <f aca="true" t="shared" si="135" ref="M95:M100">C95+M94</f>
        <v>523</v>
      </c>
      <c r="N95" s="4">
        <f>D95+J95</f>
        <v>210</v>
      </c>
      <c r="O95" s="4">
        <f aca="true" t="shared" si="136" ref="O95:O100">O94+N95</f>
        <v>19682</v>
      </c>
      <c r="P95" s="16">
        <f>SUM(N44:N95)/52</f>
        <v>511.86538461538464</v>
      </c>
      <c r="Q95" s="5">
        <f aca="true" t="shared" si="137" ref="Q95:Q100">(N95/N94)-1</f>
        <v>-0.5434782608695652</v>
      </c>
      <c r="R95" s="13">
        <f t="shared" si="124"/>
        <v>38370</v>
      </c>
      <c r="S95" s="40" t="s">
        <v>29</v>
      </c>
      <c r="U95" s="9">
        <v>4984</v>
      </c>
      <c r="V95" s="73">
        <f t="shared" si="65"/>
        <v>0.18873783466505092</v>
      </c>
      <c r="W95" s="9">
        <f t="shared" si="129"/>
        <v>30938.5</v>
      </c>
      <c r="X95" s="9">
        <f>X94+U95</f>
        <v>42108</v>
      </c>
      <c r="Z95" s="9">
        <v>3588</v>
      </c>
      <c r="AA95" s="73">
        <f t="shared" si="66"/>
        <v>0.13587306396031357</v>
      </c>
      <c r="AB95" s="9">
        <f t="shared" si="130"/>
        <v>21476.84</v>
      </c>
      <c r="AC95" s="9">
        <f t="shared" si="126"/>
        <v>29376.84</v>
      </c>
      <c r="AE95" s="9">
        <v>17535</v>
      </c>
      <c r="AF95" s="73">
        <f t="shared" si="67"/>
        <v>0.6640284772976862</v>
      </c>
      <c r="AG95" s="9">
        <f t="shared" si="131"/>
        <v>90483.5</v>
      </c>
      <c r="AH95" s="9">
        <f>AH94+AE95</f>
        <v>138823.5</v>
      </c>
      <c r="AI95" s="62">
        <v>300</v>
      </c>
      <c r="AJ95" s="56">
        <f t="shared" si="84"/>
        <v>26407</v>
      </c>
      <c r="AK95" s="4">
        <f t="shared" si="132"/>
        <v>143498.84</v>
      </c>
      <c r="AN95" s="9">
        <f t="shared" si="128"/>
        <v>211058.34</v>
      </c>
    </row>
    <row r="96" spans="1:40" ht="12.75">
      <c r="A96" s="1">
        <f t="shared" si="133"/>
        <v>36318</v>
      </c>
      <c r="B96" s="15">
        <f t="shared" si="134"/>
        <v>90</v>
      </c>
      <c r="C96">
        <v>4</v>
      </c>
      <c r="D96" s="8">
        <f t="shared" si="104"/>
        <v>200</v>
      </c>
      <c r="E96" s="8"/>
      <c r="F96" s="8"/>
      <c r="G96" s="8"/>
      <c r="H96" s="8"/>
      <c r="I96">
        <v>35</v>
      </c>
      <c r="J96" s="11">
        <f t="shared" si="118"/>
        <v>525</v>
      </c>
      <c r="K96" s="11"/>
      <c r="L96" s="11"/>
      <c r="M96" s="3">
        <f t="shared" si="135"/>
        <v>527</v>
      </c>
      <c r="N96" s="4">
        <v>662</v>
      </c>
      <c r="O96" s="4">
        <f t="shared" si="136"/>
        <v>20344</v>
      </c>
      <c r="P96" s="16">
        <f>SUM(N45:N96)/52</f>
        <v>510.1730769230769</v>
      </c>
      <c r="Q96" s="5">
        <f t="shared" si="137"/>
        <v>2.1523809523809523</v>
      </c>
      <c r="R96" s="13">
        <f t="shared" si="124"/>
        <v>38401</v>
      </c>
      <c r="S96" s="40" t="s">
        <v>30</v>
      </c>
      <c r="U96" s="9">
        <v>5723</v>
      </c>
      <c r="V96" s="73">
        <f t="shared" si="65"/>
        <v>0.17669579178116027</v>
      </c>
      <c r="W96" s="9">
        <f t="shared" si="129"/>
        <v>36661.5</v>
      </c>
      <c r="X96" s="9">
        <f>X95+U96</f>
        <v>47831</v>
      </c>
      <c r="Z96" s="9">
        <v>4141</v>
      </c>
      <c r="AA96" s="73">
        <f t="shared" si="66"/>
        <v>0.12785204853499646</v>
      </c>
      <c r="AB96" s="9">
        <f t="shared" si="130"/>
        <v>25617.84</v>
      </c>
      <c r="AC96" s="9">
        <f t="shared" si="126"/>
        <v>33517.84</v>
      </c>
      <c r="AE96" s="9">
        <v>22525</v>
      </c>
      <c r="AF96" s="73">
        <f t="shared" si="67"/>
        <v>0.6954521596838433</v>
      </c>
      <c r="AG96" s="9">
        <f t="shared" si="131"/>
        <v>113008.5</v>
      </c>
      <c r="AH96" s="9">
        <f>AH95+AE96</f>
        <v>161348.5</v>
      </c>
      <c r="AI96" s="62"/>
      <c r="AJ96" s="56">
        <f t="shared" si="84"/>
        <v>32389</v>
      </c>
      <c r="AK96" s="4">
        <f t="shared" si="132"/>
        <v>175887.84</v>
      </c>
      <c r="AN96" s="9">
        <f t="shared" si="128"/>
        <v>243447.34</v>
      </c>
    </row>
    <row r="97" spans="1:40" ht="12.75">
      <c r="A97" s="1">
        <f t="shared" si="133"/>
        <v>36325</v>
      </c>
      <c r="B97" s="15">
        <f t="shared" si="134"/>
        <v>91</v>
      </c>
      <c r="C97">
        <v>5</v>
      </c>
      <c r="D97" s="8">
        <f t="shared" si="104"/>
        <v>250</v>
      </c>
      <c r="E97" s="8"/>
      <c r="F97" s="8"/>
      <c r="G97" s="8"/>
      <c r="H97" s="8"/>
      <c r="I97">
        <v>26</v>
      </c>
      <c r="J97" s="11">
        <f t="shared" si="118"/>
        <v>390</v>
      </c>
      <c r="K97" s="11"/>
      <c r="L97" s="11"/>
      <c r="M97" s="3">
        <f t="shared" si="135"/>
        <v>532</v>
      </c>
      <c r="N97" s="4">
        <f>D97+J97</f>
        <v>640</v>
      </c>
      <c r="O97" s="4">
        <f t="shared" si="136"/>
        <v>20984</v>
      </c>
      <c r="P97" s="16">
        <f>SUM(N46:N97)/52</f>
        <v>501.90384615384613</v>
      </c>
      <c r="Q97" s="5">
        <f t="shared" si="137"/>
        <v>-0.033232628398791486</v>
      </c>
      <c r="R97" s="13">
        <f t="shared" si="124"/>
        <v>38432</v>
      </c>
      <c r="S97" s="40" t="s">
        <v>31</v>
      </c>
      <c r="U97" s="9">
        <v>6298.9</v>
      </c>
      <c r="V97" s="73">
        <f t="shared" si="65"/>
        <v>0.11540589662223068</v>
      </c>
      <c r="W97" s="9">
        <f t="shared" si="129"/>
        <v>42960.4</v>
      </c>
      <c r="X97" s="9">
        <f>X96+U97</f>
        <v>54129.9</v>
      </c>
      <c r="Z97" s="9">
        <v>7065</v>
      </c>
      <c r="AA97" s="73">
        <f t="shared" si="66"/>
        <v>0.12944207077998696</v>
      </c>
      <c r="AB97" s="9">
        <f t="shared" si="130"/>
        <v>32682.84</v>
      </c>
      <c r="AC97" s="9">
        <f t="shared" si="126"/>
        <v>40582.84</v>
      </c>
      <c r="AE97" s="9">
        <v>41216.5</v>
      </c>
      <c r="AF97" s="73">
        <f t="shared" si="67"/>
        <v>0.7551520325977823</v>
      </c>
      <c r="AG97" s="9">
        <f t="shared" si="131"/>
        <v>154225</v>
      </c>
      <c r="AH97" s="9">
        <f>AH96+AE97</f>
        <v>202565</v>
      </c>
      <c r="AI97" s="62"/>
      <c r="AJ97" s="56">
        <f t="shared" si="84"/>
        <v>54580.4</v>
      </c>
      <c r="AK97" s="4">
        <f t="shared" si="132"/>
        <v>230468.24</v>
      </c>
      <c r="AN97" s="9">
        <f t="shared" si="128"/>
        <v>298027.74</v>
      </c>
    </row>
    <row r="98" spans="1:40" ht="12.75">
      <c r="A98" s="1">
        <f t="shared" si="133"/>
        <v>36332</v>
      </c>
      <c r="B98" s="15">
        <f t="shared" si="134"/>
        <v>92</v>
      </c>
      <c r="C98">
        <v>29</v>
      </c>
      <c r="D98" s="8">
        <f aca="true" t="shared" si="138" ref="D98:D138">C98*50</f>
        <v>1450</v>
      </c>
      <c r="E98" s="8"/>
      <c r="F98" s="8"/>
      <c r="G98" s="8"/>
      <c r="H98" s="8"/>
      <c r="I98">
        <v>96</v>
      </c>
      <c r="J98" s="11">
        <f>I98*15</f>
        <v>1440</v>
      </c>
      <c r="K98" s="11"/>
      <c r="L98" s="11"/>
      <c r="M98" s="3">
        <f t="shared" si="135"/>
        <v>561</v>
      </c>
      <c r="N98" s="4">
        <f>D98+J98</f>
        <v>2890</v>
      </c>
      <c r="O98" s="4">
        <f t="shared" si="136"/>
        <v>23874</v>
      </c>
      <c r="P98" s="16">
        <f aca="true" t="shared" si="139" ref="P98:P108">SUM(N47:N98)/52</f>
        <v>530.0769230769231</v>
      </c>
      <c r="Q98" s="5">
        <f t="shared" si="137"/>
        <v>3.515625</v>
      </c>
      <c r="R98" s="13">
        <f t="shared" si="124"/>
        <v>38463</v>
      </c>
      <c r="S98" s="40" t="s">
        <v>32</v>
      </c>
      <c r="U98" s="9">
        <v>4151</v>
      </c>
      <c r="V98" s="73">
        <f t="shared" si="65"/>
        <v>0.43731563421828906</v>
      </c>
      <c r="W98" s="9">
        <f t="shared" si="129"/>
        <v>47111.4</v>
      </c>
      <c r="X98" s="9">
        <f>X97+U98</f>
        <v>58280.9</v>
      </c>
      <c r="Z98" s="9">
        <v>806</v>
      </c>
      <c r="AA98" s="73">
        <f t="shared" si="66"/>
        <v>0.08491361146228403</v>
      </c>
      <c r="AB98" s="9">
        <f t="shared" si="130"/>
        <v>33488.84</v>
      </c>
      <c r="AC98" s="9">
        <f t="shared" si="126"/>
        <v>41388.84</v>
      </c>
      <c r="AE98" s="9">
        <v>4535</v>
      </c>
      <c r="AF98" s="73">
        <f t="shared" si="67"/>
        <v>0.4777707543194269</v>
      </c>
      <c r="AG98" s="9">
        <f t="shared" si="131"/>
        <v>158760</v>
      </c>
      <c r="AH98" s="9">
        <f>AH97+AE98</f>
        <v>207100</v>
      </c>
      <c r="AI98" s="62"/>
      <c r="AJ98" s="56">
        <f t="shared" si="84"/>
        <v>9492</v>
      </c>
      <c r="AK98" s="4">
        <f t="shared" si="132"/>
        <v>239960.24</v>
      </c>
      <c r="AN98" s="9">
        <f t="shared" si="128"/>
        <v>307519.74</v>
      </c>
    </row>
    <row r="99" spans="1:40" ht="12.75">
      <c r="A99" s="1">
        <f t="shared" si="133"/>
        <v>36339</v>
      </c>
      <c r="B99" s="15">
        <f t="shared" si="134"/>
        <v>93</v>
      </c>
      <c r="C99">
        <v>15</v>
      </c>
      <c r="D99" s="8">
        <f t="shared" si="138"/>
        <v>750</v>
      </c>
      <c r="E99" s="8"/>
      <c r="F99" s="8"/>
      <c r="G99" s="8"/>
      <c r="H99" s="8"/>
      <c r="I99">
        <v>67</v>
      </c>
      <c r="J99" s="11">
        <f>I99*15</f>
        <v>1005</v>
      </c>
      <c r="K99" s="11"/>
      <c r="L99" s="11"/>
      <c r="M99" s="3">
        <f t="shared" si="135"/>
        <v>576</v>
      </c>
      <c r="N99" s="4">
        <f>D99+J99</f>
        <v>1755</v>
      </c>
      <c r="O99" s="4">
        <f t="shared" si="136"/>
        <v>25629</v>
      </c>
      <c r="P99" s="16">
        <f t="shared" si="139"/>
        <v>550.2692307692307</v>
      </c>
      <c r="Q99" s="5">
        <f t="shared" si="137"/>
        <v>-0.39273356401384085</v>
      </c>
      <c r="R99" s="13">
        <f t="shared" si="124"/>
        <v>38494</v>
      </c>
      <c r="S99" s="40" t="s">
        <v>33</v>
      </c>
      <c r="U99" s="9">
        <v>3425</v>
      </c>
      <c r="V99" s="73">
        <f t="shared" si="65"/>
        <v>0.08903504211292503</v>
      </c>
      <c r="W99" s="9">
        <f>W98+U99</f>
        <v>50536.4</v>
      </c>
      <c r="X99" s="9">
        <f>X98+U99</f>
        <v>61705.9</v>
      </c>
      <c r="Z99" s="9">
        <v>4665.5</v>
      </c>
      <c r="AA99" s="73">
        <f t="shared" si="66"/>
        <v>0.1212826245190808</v>
      </c>
      <c r="AB99" s="9">
        <f t="shared" si="130"/>
        <v>38154.34</v>
      </c>
      <c r="AC99" s="9">
        <f t="shared" si="126"/>
        <v>46054.34</v>
      </c>
      <c r="AE99" s="9">
        <v>30377.5</v>
      </c>
      <c r="AF99" s="73">
        <f t="shared" si="67"/>
        <v>0.7896823333679942</v>
      </c>
      <c r="AG99" s="9">
        <f>AG98+AE99</f>
        <v>189137.5</v>
      </c>
      <c r="AH99" s="9">
        <f>AH98+AE99</f>
        <v>237477.5</v>
      </c>
      <c r="AI99" s="62"/>
      <c r="AJ99" s="56">
        <f t="shared" si="84"/>
        <v>38468</v>
      </c>
      <c r="AK99" s="4">
        <f>AJ99+AK98</f>
        <v>278428.24</v>
      </c>
      <c r="AN99" s="9">
        <f t="shared" si="128"/>
        <v>345987.74</v>
      </c>
    </row>
    <row r="100" spans="1:40" ht="12.75">
      <c r="A100" s="1">
        <f t="shared" si="133"/>
        <v>36346</v>
      </c>
      <c r="B100" s="15">
        <f t="shared" si="134"/>
        <v>94</v>
      </c>
      <c r="C100">
        <v>8</v>
      </c>
      <c r="D100" s="8">
        <f t="shared" si="138"/>
        <v>400</v>
      </c>
      <c r="E100" s="8"/>
      <c r="F100" s="8"/>
      <c r="G100" s="8"/>
      <c r="H100" s="8"/>
      <c r="I100">
        <v>61</v>
      </c>
      <c r="J100" s="11">
        <f>I100*15</f>
        <v>915</v>
      </c>
      <c r="K100" s="11"/>
      <c r="L100" s="11"/>
      <c r="M100" s="3">
        <f t="shared" si="135"/>
        <v>584</v>
      </c>
      <c r="N100" s="4">
        <f>D100+J100</f>
        <v>1315</v>
      </c>
      <c r="O100" s="4">
        <f t="shared" si="136"/>
        <v>26944</v>
      </c>
      <c r="P100" s="16">
        <f t="shared" si="139"/>
        <v>564.8846153846154</v>
      </c>
      <c r="Q100" s="5">
        <f t="shared" si="137"/>
        <v>-0.2507122507122507</v>
      </c>
      <c r="R100" s="13">
        <f t="shared" si="124"/>
        <v>38525</v>
      </c>
      <c r="S100" s="40" t="s">
        <v>34</v>
      </c>
      <c r="T100" s="20"/>
      <c r="U100" s="9">
        <v>6323.5</v>
      </c>
      <c r="V100" s="73">
        <f t="shared" si="65"/>
        <v>0.13404785954811446</v>
      </c>
      <c r="W100" s="9">
        <f>W99+U100</f>
        <v>56859.9</v>
      </c>
      <c r="X100" s="9">
        <f>U100</f>
        <v>6323.5</v>
      </c>
      <c r="Z100" s="9">
        <v>6244.45</v>
      </c>
      <c r="AA100" s="73">
        <f t="shared" si="66"/>
        <v>0.1323721288139833</v>
      </c>
      <c r="AB100" s="9">
        <f t="shared" si="130"/>
        <v>44398.78999999999</v>
      </c>
      <c r="AC100" s="9">
        <f>Z100</f>
        <v>6244.45</v>
      </c>
      <c r="AE100" s="9">
        <v>34605.5</v>
      </c>
      <c r="AF100" s="73">
        <f t="shared" si="67"/>
        <v>0.7335800116379023</v>
      </c>
      <c r="AG100" s="9">
        <f>AG99+AE100</f>
        <v>223743</v>
      </c>
      <c r="AH100" s="9">
        <f>AE100</f>
        <v>34605.5</v>
      </c>
      <c r="AI100" s="62"/>
      <c r="AJ100" s="56">
        <f t="shared" si="84"/>
        <v>47173.45</v>
      </c>
      <c r="AK100" s="4">
        <f>AJ100+AK99</f>
        <v>325601.69</v>
      </c>
      <c r="AN100" s="9">
        <f>AJ100</f>
        <v>47173.45</v>
      </c>
    </row>
    <row r="101" spans="1:40" ht="12.75">
      <c r="A101" s="1">
        <f t="shared" si="133"/>
        <v>36353</v>
      </c>
      <c r="B101" s="15">
        <f t="shared" si="134"/>
        <v>95</v>
      </c>
      <c r="C101">
        <v>8</v>
      </c>
      <c r="D101" s="8">
        <f t="shared" si="138"/>
        <v>400</v>
      </c>
      <c r="E101" s="8"/>
      <c r="F101" s="8"/>
      <c r="G101" s="8"/>
      <c r="H101" s="8"/>
      <c r="I101">
        <v>73</v>
      </c>
      <c r="J101" s="11">
        <f>I101*15</f>
        <v>1095</v>
      </c>
      <c r="K101" s="11"/>
      <c r="L101" s="11"/>
      <c r="M101" s="3">
        <f>C101+M100</f>
        <v>592</v>
      </c>
      <c r="N101" s="4">
        <f>D101+J101</f>
        <v>1495</v>
      </c>
      <c r="O101" s="4">
        <f>O100+N101</f>
        <v>28439</v>
      </c>
      <c r="P101" s="16">
        <f t="shared" si="139"/>
        <v>583.6346153846154</v>
      </c>
      <c r="Q101" s="5">
        <f>(N101/N100)-1</f>
        <v>0.1368821292775666</v>
      </c>
      <c r="R101" s="13">
        <f t="shared" si="124"/>
        <v>38556</v>
      </c>
      <c r="S101" s="40" t="s">
        <v>35</v>
      </c>
      <c r="T101" s="20"/>
      <c r="U101" s="9">
        <v>2760</v>
      </c>
      <c r="V101" s="73">
        <f t="shared" si="65"/>
        <v>0.07695632171088403</v>
      </c>
      <c r="W101" s="9">
        <f>W100+U101</f>
        <v>59619.9</v>
      </c>
      <c r="X101" s="9">
        <f aca="true" t="shared" si="140" ref="X101:X107">X100+U101</f>
        <v>9083.5</v>
      </c>
      <c r="Z101" s="9">
        <v>2366</v>
      </c>
      <c r="AA101" s="73">
        <f t="shared" si="66"/>
        <v>0.06597052795940275</v>
      </c>
      <c r="AB101" s="9">
        <f t="shared" si="130"/>
        <v>46764.78999999999</v>
      </c>
      <c r="AC101" s="9">
        <f aca="true" t="shared" si="141" ref="AC101:AC107">AC100+Z101</f>
        <v>8610.45</v>
      </c>
      <c r="AE101" s="9">
        <v>30738.5</v>
      </c>
      <c r="AF101" s="73">
        <f t="shared" si="67"/>
        <v>0.8570731503297132</v>
      </c>
      <c r="AG101" s="9">
        <f>AG100+AE101</f>
        <v>254481.5</v>
      </c>
      <c r="AH101" s="9">
        <f aca="true" t="shared" si="142" ref="AH101:AH107">AH100+AE101</f>
        <v>65344</v>
      </c>
      <c r="AI101" s="62"/>
      <c r="AJ101" s="56">
        <f t="shared" si="84"/>
        <v>35864.5</v>
      </c>
      <c r="AK101" s="4">
        <f>AJ101+AK100</f>
        <v>361466.19</v>
      </c>
      <c r="AN101" s="9">
        <f t="shared" si="128"/>
        <v>83037.95</v>
      </c>
    </row>
    <row r="102" spans="1:40" ht="12.75">
      <c r="A102" s="1">
        <f t="shared" si="133"/>
        <v>36360</v>
      </c>
      <c r="B102" s="15">
        <f t="shared" si="134"/>
        <v>96</v>
      </c>
      <c r="C102">
        <v>5</v>
      </c>
      <c r="D102" s="8">
        <f t="shared" si="138"/>
        <v>250</v>
      </c>
      <c r="E102" s="8"/>
      <c r="F102" s="8"/>
      <c r="G102" s="8"/>
      <c r="H102" s="8"/>
      <c r="I102">
        <v>33</v>
      </c>
      <c r="J102" s="11">
        <f aca="true" t="shared" si="143" ref="J102:J177">I102*15</f>
        <v>495</v>
      </c>
      <c r="K102" s="11"/>
      <c r="L102" s="11"/>
      <c r="M102" s="3">
        <f aca="true" t="shared" si="144" ref="M102:M107">C102+M101</f>
        <v>597</v>
      </c>
      <c r="N102" s="4">
        <f aca="true" t="shared" si="145" ref="N102:N107">D102+J102</f>
        <v>745</v>
      </c>
      <c r="O102" s="4">
        <f aca="true" t="shared" si="146" ref="O102:O107">O101+N102</f>
        <v>29184</v>
      </c>
      <c r="P102" s="16">
        <f t="shared" si="139"/>
        <v>589.3076923076923</v>
      </c>
      <c r="Q102" s="5">
        <f>(N102/N101)-1</f>
        <v>-0.5016722408026756</v>
      </c>
      <c r="R102" s="13">
        <f t="shared" si="124"/>
        <v>38587</v>
      </c>
      <c r="S102" s="40" t="s">
        <v>36</v>
      </c>
      <c r="T102" s="20"/>
      <c r="U102" s="9">
        <v>950</v>
      </c>
      <c r="V102" s="73">
        <f aca="true" t="shared" si="147" ref="V102:V107">U102/AJ102</f>
        <v>0.1351159152325416</v>
      </c>
      <c r="W102" s="9">
        <f>W101+U102</f>
        <v>60569.9</v>
      </c>
      <c r="X102" s="9">
        <f t="shared" si="140"/>
        <v>10033.5</v>
      </c>
      <c r="Z102" s="9">
        <v>2976</v>
      </c>
      <c r="AA102" s="73">
        <f aca="true" t="shared" si="148" ref="AA102:AA107">Z102/AJ102</f>
        <v>0.42326838287583557</v>
      </c>
      <c r="AB102" s="9">
        <f>AB101+Z102</f>
        <v>49740.78999999999</v>
      </c>
      <c r="AC102" s="9">
        <f t="shared" si="141"/>
        <v>11586.45</v>
      </c>
      <c r="AE102" s="9">
        <v>3105</v>
      </c>
      <c r="AF102" s="73">
        <f aca="true" t="shared" si="149" ref="AF102:AF107">AE102/AJ102</f>
        <v>0.4416157018916228</v>
      </c>
      <c r="AG102" s="9">
        <f>AG101+AE102</f>
        <v>257586.5</v>
      </c>
      <c r="AH102" s="9">
        <f t="shared" si="142"/>
        <v>68449</v>
      </c>
      <c r="AI102" s="62"/>
      <c r="AJ102" s="56">
        <f aca="true" t="shared" si="150" ref="AJ102:AJ107">U102+Z102+AE102+AI102</f>
        <v>7031</v>
      </c>
      <c r="AK102" s="4">
        <f>AJ102+AK101</f>
        <v>368497.19</v>
      </c>
      <c r="AN102" s="9">
        <f t="shared" si="128"/>
        <v>90068.95</v>
      </c>
    </row>
    <row r="103" spans="1:40" ht="12.75">
      <c r="A103" s="1">
        <f t="shared" si="133"/>
        <v>36367</v>
      </c>
      <c r="B103" s="15">
        <f t="shared" si="134"/>
        <v>97</v>
      </c>
      <c r="C103">
        <v>0</v>
      </c>
      <c r="D103" s="8">
        <f t="shared" si="138"/>
        <v>0</v>
      </c>
      <c r="E103" s="8"/>
      <c r="F103" s="8"/>
      <c r="G103" s="8"/>
      <c r="H103" s="8"/>
      <c r="I103">
        <v>0</v>
      </c>
      <c r="J103" s="11">
        <f t="shared" si="143"/>
        <v>0</v>
      </c>
      <c r="K103" s="11"/>
      <c r="L103" s="11"/>
      <c r="M103" s="3">
        <f t="shared" si="144"/>
        <v>597</v>
      </c>
      <c r="N103" s="4">
        <f t="shared" si="145"/>
        <v>0</v>
      </c>
      <c r="O103" s="4">
        <f t="shared" si="146"/>
        <v>29184</v>
      </c>
      <c r="P103" s="16">
        <f t="shared" si="139"/>
        <v>579.9807692307693</v>
      </c>
      <c r="Q103" s="5">
        <f>(N103/N102)-1</f>
        <v>-1</v>
      </c>
      <c r="R103" s="13">
        <f t="shared" si="124"/>
        <v>38618</v>
      </c>
      <c r="S103" s="27" t="s">
        <v>25</v>
      </c>
      <c r="T103" s="20"/>
      <c r="U103" s="9">
        <v>7210</v>
      </c>
      <c r="V103" s="73">
        <f t="shared" si="147"/>
        <v>0.20626744046995793</v>
      </c>
      <c r="W103" s="9">
        <f>U103</f>
        <v>7210</v>
      </c>
      <c r="X103" s="9">
        <f t="shared" si="140"/>
        <v>17243.5</v>
      </c>
      <c r="Z103" s="9">
        <f>5545.5-85</f>
        <v>5460.5</v>
      </c>
      <c r="AA103" s="73">
        <f t="shared" si="148"/>
        <v>0.1562168319953128</v>
      </c>
      <c r="AB103" s="9">
        <f>Z103</f>
        <v>5460.5</v>
      </c>
      <c r="AC103" s="9">
        <f t="shared" si="141"/>
        <v>17046.95</v>
      </c>
      <c r="AE103" s="9">
        <f>22199.12+85</f>
        <v>22284.12</v>
      </c>
      <c r="AF103" s="73">
        <f t="shared" si="149"/>
        <v>0.6375157275347294</v>
      </c>
      <c r="AG103" s="9">
        <f>AE103</f>
        <v>22284.12</v>
      </c>
      <c r="AH103" s="9">
        <f t="shared" si="142"/>
        <v>90733.12</v>
      </c>
      <c r="AI103" s="62"/>
      <c r="AJ103" s="56">
        <f t="shared" si="150"/>
        <v>34954.619999999995</v>
      </c>
      <c r="AK103" s="4">
        <f>AJ103</f>
        <v>34954.619999999995</v>
      </c>
      <c r="AN103" s="9">
        <f t="shared" si="128"/>
        <v>125023.56999999999</v>
      </c>
    </row>
    <row r="104" spans="1:40" ht="12.75">
      <c r="A104" s="1">
        <f t="shared" si="133"/>
        <v>36374</v>
      </c>
      <c r="B104" s="15">
        <f t="shared" si="134"/>
        <v>98</v>
      </c>
      <c r="C104">
        <v>0</v>
      </c>
      <c r="D104" s="8">
        <f t="shared" si="138"/>
        <v>0</v>
      </c>
      <c r="E104" s="8"/>
      <c r="F104" s="8"/>
      <c r="G104" s="8"/>
      <c r="H104" s="8"/>
      <c r="I104">
        <v>0</v>
      </c>
      <c r="J104" s="11">
        <f t="shared" si="143"/>
        <v>0</v>
      </c>
      <c r="K104" s="11"/>
      <c r="L104" s="11"/>
      <c r="M104" s="3">
        <f t="shared" si="144"/>
        <v>597</v>
      </c>
      <c r="N104" s="4">
        <f t="shared" si="145"/>
        <v>0</v>
      </c>
      <c r="O104" s="4">
        <f t="shared" si="146"/>
        <v>29184</v>
      </c>
      <c r="P104" s="16">
        <f t="shared" si="139"/>
        <v>574.6923076923077</v>
      </c>
      <c r="Q104" s="5">
        <v>0</v>
      </c>
      <c r="R104" s="13">
        <f t="shared" si="124"/>
        <v>38649</v>
      </c>
      <c r="S104" s="15" t="s">
        <v>26</v>
      </c>
      <c r="T104" s="20"/>
      <c r="U104" s="9">
        <v>8460</v>
      </c>
      <c r="V104" s="73">
        <f t="shared" si="147"/>
        <v>0.19755046760616002</v>
      </c>
      <c r="W104" s="9">
        <f aca="true" t="shared" si="151" ref="W104:W110">W103+U104</f>
        <v>15670</v>
      </c>
      <c r="X104" s="9">
        <f t="shared" si="140"/>
        <v>25703.5</v>
      </c>
      <c r="Z104" s="9">
        <f>8359.5+675</f>
        <v>9034.5</v>
      </c>
      <c r="AA104" s="73">
        <f t="shared" si="148"/>
        <v>0.21096568553047904</v>
      </c>
      <c r="AB104" s="9">
        <f aca="true" t="shared" si="152" ref="AB104:AB110">AB103+Z104</f>
        <v>14495</v>
      </c>
      <c r="AC104" s="9">
        <f t="shared" si="141"/>
        <v>26081.45</v>
      </c>
      <c r="AE104" s="9">
        <v>24180</v>
      </c>
      <c r="AF104" s="73">
        <f t="shared" si="149"/>
        <v>0.5646300598956205</v>
      </c>
      <c r="AG104" s="9">
        <f aca="true" t="shared" si="153" ref="AG104:AG110">AG103+AE104</f>
        <v>46464.119999999995</v>
      </c>
      <c r="AH104" s="9">
        <f t="shared" si="142"/>
        <v>114913.12</v>
      </c>
      <c r="AI104" s="62">
        <v>1150</v>
      </c>
      <c r="AJ104" s="56">
        <f t="shared" si="150"/>
        <v>42824.5</v>
      </c>
      <c r="AK104" s="4">
        <f aca="true" t="shared" si="154" ref="AK104:AK110">AJ104+AK103</f>
        <v>77779.12</v>
      </c>
      <c r="AN104" s="9">
        <f aca="true" t="shared" si="155" ref="AN104:AN110">AN103+AJ104</f>
        <v>167848.07</v>
      </c>
    </row>
    <row r="105" spans="1:40" ht="11.25" customHeight="1">
      <c r="A105" s="1">
        <f t="shared" si="133"/>
        <v>36381</v>
      </c>
      <c r="B105" s="15">
        <f t="shared" si="134"/>
        <v>99</v>
      </c>
      <c r="C105">
        <v>0</v>
      </c>
      <c r="D105" s="8">
        <f t="shared" si="138"/>
        <v>0</v>
      </c>
      <c r="E105" s="8"/>
      <c r="F105" s="8"/>
      <c r="G105" s="8"/>
      <c r="H105" s="8"/>
      <c r="I105">
        <v>0</v>
      </c>
      <c r="J105" s="11">
        <f t="shared" si="143"/>
        <v>0</v>
      </c>
      <c r="K105" s="11"/>
      <c r="L105" s="11"/>
      <c r="M105" s="3">
        <f t="shared" si="144"/>
        <v>597</v>
      </c>
      <c r="N105" s="4">
        <f t="shared" si="145"/>
        <v>0</v>
      </c>
      <c r="O105" s="4">
        <f t="shared" si="146"/>
        <v>29184</v>
      </c>
      <c r="P105" s="16">
        <f t="shared" si="139"/>
        <v>574.6923076923077</v>
      </c>
      <c r="Q105" s="5">
        <v>0</v>
      </c>
      <c r="R105" s="13">
        <f t="shared" si="124"/>
        <v>38680</v>
      </c>
      <c r="S105" s="15" t="s">
        <v>27</v>
      </c>
      <c r="T105" s="20"/>
      <c r="U105" s="9">
        <v>4733</v>
      </c>
      <c r="V105" s="73">
        <f t="shared" si="147"/>
        <v>0.16081136178309324</v>
      </c>
      <c r="W105" s="9">
        <f t="shared" si="151"/>
        <v>20403</v>
      </c>
      <c r="X105" s="9">
        <f t="shared" si="140"/>
        <v>30436.5</v>
      </c>
      <c r="Z105" s="9">
        <f>2132+770</f>
        <v>2902</v>
      </c>
      <c r="AA105" s="73">
        <f t="shared" si="148"/>
        <v>0.0986001630877956</v>
      </c>
      <c r="AB105" s="9">
        <f t="shared" si="152"/>
        <v>17397</v>
      </c>
      <c r="AC105" s="9">
        <f t="shared" si="141"/>
        <v>28983.45</v>
      </c>
      <c r="AE105" s="9">
        <v>21692</v>
      </c>
      <c r="AF105" s="73">
        <f t="shared" si="149"/>
        <v>0.7370209296004349</v>
      </c>
      <c r="AG105" s="9">
        <f t="shared" si="153"/>
        <v>68156.12</v>
      </c>
      <c r="AH105" s="9">
        <f t="shared" si="142"/>
        <v>136605.12</v>
      </c>
      <c r="AI105" s="62">
        <v>105</v>
      </c>
      <c r="AJ105" s="56">
        <f t="shared" si="150"/>
        <v>29432</v>
      </c>
      <c r="AK105" s="4">
        <f t="shared" si="154"/>
        <v>107211.12</v>
      </c>
      <c r="AN105" s="9">
        <f t="shared" si="155"/>
        <v>197280.07</v>
      </c>
    </row>
    <row r="106" spans="1:40" ht="12.75">
      <c r="A106" s="1">
        <f t="shared" si="133"/>
        <v>36388</v>
      </c>
      <c r="B106" s="15">
        <f t="shared" si="134"/>
        <v>100</v>
      </c>
      <c r="C106">
        <v>0</v>
      </c>
      <c r="D106" s="8">
        <f t="shared" si="138"/>
        <v>0</v>
      </c>
      <c r="E106" s="8"/>
      <c r="F106" s="8"/>
      <c r="G106" s="8"/>
      <c r="H106" s="8"/>
      <c r="I106">
        <v>0</v>
      </c>
      <c r="J106" s="11">
        <f t="shared" si="143"/>
        <v>0</v>
      </c>
      <c r="K106" s="11"/>
      <c r="L106" s="11"/>
      <c r="M106" s="3">
        <f t="shared" si="144"/>
        <v>597</v>
      </c>
      <c r="N106" s="4">
        <f t="shared" si="145"/>
        <v>0</v>
      </c>
      <c r="O106" s="4">
        <f t="shared" si="146"/>
        <v>29184</v>
      </c>
      <c r="P106" s="16">
        <f t="shared" si="139"/>
        <v>571.6153846153846</v>
      </c>
      <c r="Q106" s="5">
        <v>0</v>
      </c>
      <c r="R106" s="13">
        <f t="shared" si="124"/>
        <v>38711</v>
      </c>
      <c r="S106" s="15" t="s">
        <v>28</v>
      </c>
      <c r="T106" s="20"/>
      <c r="U106" s="9">
        <v>2610</v>
      </c>
      <c r="V106" s="73">
        <f t="shared" si="147"/>
        <v>0.10023811352638451</v>
      </c>
      <c r="W106" s="9">
        <f t="shared" si="151"/>
        <v>23013</v>
      </c>
      <c r="X106" s="9">
        <f t="shared" si="140"/>
        <v>33046.5</v>
      </c>
      <c r="Z106" s="9">
        <v>3548</v>
      </c>
      <c r="AA106" s="73">
        <f t="shared" si="148"/>
        <v>0.13626238574391275</v>
      </c>
      <c r="AB106" s="9">
        <f t="shared" si="152"/>
        <v>20945</v>
      </c>
      <c r="AC106" s="9">
        <f t="shared" si="141"/>
        <v>32531.45</v>
      </c>
      <c r="AE106" s="9">
        <v>19880</v>
      </c>
      <c r="AF106" s="73">
        <f t="shared" si="149"/>
        <v>0.7634995007297027</v>
      </c>
      <c r="AG106" s="9">
        <f t="shared" si="153"/>
        <v>88036.12</v>
      </c>
      <c r="AH106" s="9">
        <f t="shared" si="142"/>
        <v>156485.12</v>
      </c>
      <c r="AI106" s="62"/>
      <c r="AJ106" s="56">
        <f t="shared" si="150"/>
        <v>26038</v>
      </c>
      <c r="AK106" s="4">
        <f t="shared" si="154"/>
        <v>133249.12</v>
      </c>
      <c r="AN106" s="9">
        <f t="shared" si="155"/>
        <v>223318.07</v>
      </c>
    </row>
    <row r="107" spans="1:40" ht="12.75">
      <c r="A107" s="1">
        <f t="shared" si="133"/>
        <v>36395</v>
      </c>
      <c r="B107" s="15">
        <f t="shared" si="134"/>
        <v>101</v>
      </c>
      <c r="C107">
        <v>8</v>
      </c>
      <c r="D107" s="8">
        <f t="shared" si="138"/>
        <v>400</v>
      </c>
      <c r="E107" s="8"/>
      <c r="F107" s="8"/>
      <c r="G107" s="8"/>
      <c r="H107" s="8"/>
      <c r="I107">
        <v>35</v>
      </c>
      <c r="J107" s="11">
        <f t="shared" si="143"/>
        <v>525</v>
      </c>
      <c r="K107" s="11"/>
      <c r="L107" s="11"/>
      <c r="M107" s="3">
        <f t="shared" si="144"/>
        <v>605</v>
      </c>
      <c r="N107" s="4">
        <f t="shared" si="145"/>
        <v>925</v>
      </c>
      <c r="O107" s="4">
        <f t="shared" si="146"/>
        <v>30109</v>
      </c>
      <c r="P107" s="16">
        <f t="shared" si="139"/>
        <v>589.4038461538462</v>
      </c>
      <c r="Q107" s="5">
        <v>0</v>
      </c>
      <c r="R107" s="13">
        <f t="shared" si="124"/>
        <v>38742</v>
      </c>
      <c r="S107" s="40" t="s">
        <v>29</v>
      </c>
      <c r="T107" s="20"/>
      <c r="U107" s="9">
        <v>12523</v>
      </c>
      <c r="V107" s="73">
        <f t="shared" si="147"/>
        <v>0.25680919648846284</v>
      </c>
      <c r="W107" s="9">
        <f t="shared" si="151"/>
        <v>35536</v>
      </c>
      <c r="X107" s="9">
        <f t="shared" si="140"/>
        <v>45569.5</v>
      </c>
      <c r="Z107" s="9">
        <v>5142.2</v>
      </c>
      <c r="AA107" s="73">
        <f t="shared" si="148"/>
        <v>0.10545110997228888</v>
      </c>
      <c r="AB107" s="9">
        <f t="shared" si="152"/>
        <v>26087.2</v>
      </c>
      <c r="AC107" s="9">
        <f t="shared" si="141"/>
        <v>37673.65</v>
      </c>
      <c r="AE107" s="9">
        <v>31098.63</v>
      </c>
      <c r="AF107" s="73">
        <f t="shared" si="149"/>
        <v>0.6377396935392482</v>
      </c>
      <c r="AG107" s="9">
        <f t="shared" si="153"/>
        <v>119134.75</v>
      </c>
      <c r="AH107" s="9">
        <f t="shared" si="142"/>
        <v>187583.75</v>
      </c>
      <c r="AI107" s="62"/>
      <c r="AJ107" s="56">
        <f t="shared" si="150"/>
        <v>48763.83</v>
      </c>
      <c r="AK107" s="4">
        <f t="shared" si="154"/>
        <v>182012.95</v>
      </c>
      <c r="AN107" s="9">
        <f t="shared" si="155"/>
        <v>272081.9</v>
      </c>
    </row>
    <row r="108" spans="1:40" ht="12.75">
      <c r="A108" s="1">
        <f t="shared" si="133"/>
        <v>36402</v>
      </c>
      <c r="B108" s="15">
        <f t="shared" si="134"/>
        <v>102</v>
      </c>
      <c r="C108">
        <v>3</v>
      </c>
      <c r="D108" s="46">
        <f t="shared" si="138"/>
        <v>150</v>
      </c>
      <c r="E108" s="46"/>
      <c r="F108" s="46"/>
      <c r="G108" s="46"/>
      <c r="H108" s="46"/>
      <c r="I108" s="47">
        <v>38</v>
      </c>
      <c r="J108" s="48">
        <f t="shared" si="143"/>
        <v>570</v>
      </c>
      <c r="K108" s="48"/>
      <c r="L108" s="48"/>
      <c r="M108" s="49">
        <f aca="true" t="shared" si="156" ref="M108:M113">C108+M107</f>
        <v>608</v>
      </c>
      <c r="N108" s="44">
        <f>D108+J108</f>
        <v>720</v>
      </c>
      <c r="O108" s="44">
        <f>O107+N108</f>
        <v>30829</v>
      </c>
      <c r="P108" s="50">
        <f t="shared" si="139"/>
        <v>592.8653846153846</v>
      </c>
      <c r="Q108" s="51">
        <f aca="true" t="shared" si="157" ref="Q108:Q113">(N108/N107)-1</f>
        <v>-0.22162162162162158</v>
      </c>
      <c r="R108" s="13">
        <f>R107+20</f>
        <v>38762</v>
      </c>
      <c r="S108" s="40" t="s">
        <v>30</v>
      </c>
      <c r="T108" s="20"/>
      <c r="U108" s="9">
        <v>6017.5</v>
      </c>
      <c r="V108" s="73">
        <f aca="true" t="shared" si="158" ref="V108:V115">U108/AJ108</f>
        <v>0.18588307977449997</v>
      </c>
      <c r="W108" s="9">
        <f t="shared" si="151"/>
        <v>41553.5</v>
      </c>
      <c r="X108" s="9">
        <f aca="true" t="shared" si="159" ref="X108:X115">X107+U108</f>
        <v>51587</v>
      </c>
      <c r="Z108" s="9">
        <f>11925-7000+435</f>
        <v>5360</v>
      </c>
      <c r="AA108" s="73">
        <f aca="true" t="shared" si="160" ref="AA108:AA115">Z108/AJ108</f>
        <v>0.16557263109120396</v>
      </c>
      <c r="AB108" s="9">
        <f t="shared" si="152"/>
        <v>31447.2</v>
      </c>
      <c r="AC108" s="9">
        <f>AC107+Z108</f>
        <v>43033.65</v>
      </c>
      <c r="AE108" s="9">
        <v>20995</v>
      </c>
      <c r="AF108" s="73">
        <f aca="true" t="shared" si="161" ref="AF108:AF115">AE108/AJ108</f>
        <v>0.6485442891342961</v>
      </c>
      <c r="AG108" s="9">
        <f t="shared" si="153"/>
        <v>140129.75</v>
      </c>
      <c r="AH108" s="9">
        <f>AH107+AE108</f>
        <v>208578.75</v>
      </c>
      <c r="AI108" s="62"/>
      <c r="AJ108" s="56">
        <f aca="true" t="shared" si="162" ref="AJ108:AJ115">U108+Z108+AE108+AI108</f>
        <v>32372.5</v>
      </c>
      <c r="AK108" s="4">
        <f t="shared" si="154"/>
        <v>214385.45</v>
      </c>
      <c r="AN108" s="9">
        <f t="shared" si="155"/>
        <v>304454.4</v>
      </c>
    </row>
    <row r="109" spans="1:40" ht="12.75">
      <c r="A109" s="34">
        <f t="shared" si="133"/>
        <v>36409</v>
      </c>
      <c r="B109" s="27">
        <f t="shared" si="134"/>
        <v>103</v>
      </c>
      <c r="C109" s="33">
        <v>9</v>
      </c>
      <c r="D109" s="8">
        <f t="shared" si="138"/>
        <v>450</v>
      </c>
      <c r="E109" s="52">
        <v>2</v>
      </c>
      <c r="F109" s="8">
        <f aca="true" t="shared" si="163" ref="F109:F177">E109*50</f>
        <v>100</v>
      </c>
      <c r="G109" s="52"/>
      <c r="H109" s="8">
        <f aca="true" t="shared" si="164" ref="H109:H177">G109*25</f>
        <v>0</v>
      </c>
      <c r="I109">
        <v>41</v>
      </c>
      <c r="J109" s="11">
        <f t="shared" si="143"/>
        <v>615</v>
      </c>
      <c r="K109" s="11"/>
      <c r="L109" s="11"/>
      <c r="M109" s="3">
        <f t="shared" si="156"/>
        <v>617</v>
      </c>
      <c r="N109" s="4">
        <f aca="true" t="shared" si="165" ref="N109:N114">D109+J109+F109+H109</f>
        <v>1165</v>
      </c>
      <c r="O109" s="4">
        <f>N109</f>
        <v>1165</v>
      </c>
      <c r="P109" s="16">
        <f aca="true" t="shared" si="166" ref="P109:P114">SUM(N58:N109)/52</f>
        <v>605.75</v>
      </c>
      <c r="Q109" s="5">
        <f t="shared" si="157"/>
        <v>0.6180555555555556</v>
      </c>
      <c r="R109" s="13">
        <f t="shared" si="124"/>
        <v>38793</v>
      </c>
      <c r="S109" s="40" t="s">
        <v>31</v>
      </c>
      <c r="U109" s="9">
        <v>17070</v>
      </c>
      <c r="V109" s="73">
        <f t="shared" si="158"/>
        <v>0.2595132037034222</v>
      </c>
      <c r="W109" s="9">
        <f t="shared" si="151"/>
        <v>58623.5</v>
      </c>
      <c r="X109" s="9">
        <f t="shared" si="159"/>
        <v>68657</v>
      </c>
      <c r="Z109" s="9">
        <f>11617.5+1262.5-7000</f>
        <v>5880</v>
      </c>
      <c r="AA109" s="73">
        <f t="shared" si="160"/>
        <v>0.08939294890311203</v>
      </c>
      <c r="AB109" s="9">
        <f t="shared" si="152"/>
        <v>37327.2</v>
      </c>
      <c r="AC109" s="9">
        <f>AC108+Z109</f>
        <v>48913.65</v>
      </c>
      <c r="AE109" s="9">
        <v>42427</v>
      </c>
      <c r="AF109" s="73">
        <f t="shared" si="161"/>
        <v>0.6450126944068595</v>
      </c>
      <c r="AG109" s="9">
        <f t="shared" si="153"/>
        <v>182556.75</v>
      </c>
      <c r="AH109" s="9">
        <f>AH108+AE109</f>
        <v>251005.75</v>
      </c>
      <c r="AI109" s="62">
        <v>400</v>
      </c>
      <c r="AJ109" s="56">
        <f t="shared" si="162"/>
        <v>65777</v>
      </c>
      <c r="AK109" s="4">
        <f t="shared" si="154"/>
        <v>280162.45</v>
      </c>
      <c r="AN109" s="9">
        <f t="shared" si="155"/>
        <v>370231.4</v>
      </c>
    </row>
    <row r="110" spans="1:40" ht="12.75">
      <c r="A110" s="1">
        <f t="shared" si="133"/>
        <v>36416</v>
      </c>
      <c r="B110" s="15">
        <f t="shared" si="134"/>
        <v>104</v>
      </c>
      <c r="C110">
        <v>2</v>
      </c>
      <c r="D110" s="8">
        <f t="shared" si="138"/>
        <v>100</v>
      </c>
      <c r="E110" s="52">
        <v>2</v>
      </c>
      <c r="F110" s="8">
        <f t="shared" si="163"/>
        <v>100</v>
      </c>
      <c r="G110" s="52">
        <v>2</v>
      </c>
      <c r="H110" s="8">
        <f t="shared" si="164"/>
        <v>50</v>
      </c>
      <c r="I110">
        <v>16</v>
      </c>
      <c r="J110" s="11">
        <f t="shared" si="143"/>
        <v>240</v>
      </c>
      <c r="K110" s="11"/>
      <c r="L110" s="11"/>
      <c r="M110" s="3">
        <f t="shared" si="156"/>
        <v>619</v>
      </c>
      <c r="N110" s="4">
        <f t="shared" si="165"/>
        <v>490</v>
      </c>
      <c r="O110" s="4">
        <f aca="true" t="shared" si="167" ref="O110:O115">O109+N110</f>
        <v>1655</v>
      </c>
      <c r="P110" s="16">
        <f t="shared" si="166"/>
        <v>592.7692307692307</v>
      </c>
      <c r="Q110" s="5">
        <f t="shared" si="157"/>
        <v>-0.5793991416309012</v>
      </c>
      <c r="R110" s="13">
        <f t="shared" si="124"/>
        <v>38824</v>
      </c>
      <c r="S110" s="40" t="s">
        <v>32</v>
      </c>
      <c r="U110" s="9">
        <v>3400</v>
      </c>
      <c r="V110" s="73">
        <f t="shared" si="158"/>
        <v>0.14304646906620105</v>
      </c>
      <c r="W110" s="9">
        <f t="shared" si="151"/>
        <v>62023.5</v>
      </c>
      <c r="X110" s="9">
        <f t="shared" si="159"/>
        <v>72057</v>
      </c>
      <c r="Z110" s="9">
        <f>1022.5+673.5</f>
        <v>1696</v>
      </c>
      <c r="AA110" s="73">
        <f t="shared" si="160"/>
        <v>0.07135494456949323</v>
      </c>
      <c r="AB110" s="9">
        <f t="shared" si="152"/>
        <v>39023.2</v>
      </c>
      <c r="AC110" s="9">
        <f>AC109+Z110</f>
        <v>50609.65</v>
      </c>
      <c r="AE110" s="9">
        <v>18672.5</v>
      </c>
      <c r="AF110" s="73">
        <f t="shared" si="161"/>
        <v>0.7855985863643057</v>
      </c>
      <c r="AG110" s="9">
        <f t="shared" si="153"/>
        <v>201229.25</v>
      </c>
      <c r="AH110" s="9">
        <f>AH109+AE110</f>
        <v>269678.25</v>
      </c>
      <c r="AI110" s="62"/>
      <c r="AJ110" s="56">
        <f t="shared" si="162"/>
        <v>23768.5</v>
      </c>
      <c r="AK110" s="4">
        <f t="shared" si="154"/>
        <v>303930.95</v>
      </c>
      <c r="AN110" s="9">
        <f t="shared" si="155"/>
        <v>393999.9</v>
      </c>
    </row>
    <row r="111" spans="1:40" ht="12.75">
      <c r="A111" s="1">
        <f aca="true" t="shared" si="168" ref="A111:A120">A110+7</f>
        <v>36423</v>
      </c>
      <c r="B111" s="15">
        <f aca="true" t="shared" si="169" ref="B111:B120">B110+1</f>
        <v>105</v>
      </c>
      <c r="C111">
        <v>2</v>
      </c>
      <c r="D111" s="8">
        <f t="shared" si="138"/>
        <v>100</v>
      </c>
      <c r="E111" s="52">
        <v>2</v>
      </c>
      <c r="F111" s="8">
        <f t="shared" si="163"/>
        <v>100</v>
      </c>
      <c r="G111" s="52">
        <v>2</v>
      </c>
      <c r="H111" s="8">
        <f t="shared" si="164"/>
        <v>50</v>
      </c>
      <c r="I111">
        <v>28</v>
      </c>
      <c r="J111" s="11">
        <f t="shared" si="143"/>
        <v>420</v>
      </c>
      <c r="K111" s="11"/>
      <c r="L111" s="11"/>
      <c r="M111" s="3">
        <f t="shared" si="156"/>
        <v>621</v>
      </c>
      <c r="N111" s="4">
        <f t="shared" si="165"/>
        <v>670</v>
      </c>
      <c r="O111" s="4">
        <f t="shared" si="167"/>
        <v>2325</v>
      </c>
      <c r="P111" s="16">
        <f t="shared" si="166"/>
        <v>574.3076923076923</v>
      </c>
      <c r="Q111" s="5">
        <f t="shared" si="157"/>
        <v>0.36734693877551017</v>
      </c>
      <c r="R111" s="13">
        <f>R110+31</f>
        <v>38855</v>
      </c>
      <c r="S111" s="40" t="s">
        <v>33</v>
      </c>
      <c r="U111" s="9">
        <v>6844</v>
      </c>
      <c r="V111" s="73">
        <f t="shared" si="158"/>
        <v>0.1667174159287724</v>
      </c>
      <c r="W111" s="9">
        <f>W110+U111</f>
        <v>68867.5</v>
      </c>
      <c r="X111" s="9">
        <f t="shared" si="159"/>
        <v>78901</v>
      </c>
      <c r="Z111" s="9">
        <f>3437+632.5+35</f>
        <v>4104.5</v>
      </c>
      <c r="AA111" s="73">
        <f t="shared" si="160"/>
        <v>0.099984166230223</v>
      </c>
      <c r="AB111" s="9">
        <f>AB110+Z111</f>
        <v>43127.7</v>
      </c>
      <c r="AC111" s="9">
        <f>AC110+Z111</f>
        <v>54714.15</v>
      </c>
      <c r="AE111" s="9">
        <v>30103</v>
      </c>
      <c r="AF111" s="73">
        <f t="shared" si="161"/>
        <v>0.7332984178410046</v>
      </c>
      <c r="AG111" s="9">
        <f>AG110+AE111</f>
        <v>231332.25</v>
      </c>
      <c r="AH111" s="9">
        <f>AH110+AE111</f>
        <v>299781.25</v>
      </c>
      <c r="AI111" s="62"/>
      <c r="AJ111" s="56">
        <f t="shared" si="162"/>
        <v>41051.5</v>
      </c>
      <c r="AK111" s="4">
        <f>AJ111+AK110</f>
        <v>344982.45</v>
      </c>
      <c r="AN111" s="9">
        <f>AN110+AJ111</f>
        <v>435051.4</v>
      </c>
    </row>
    <row r="112" spans="1:40" ht="12.75">
      <c r="A112" s="1">
        <f t="shared" si="168"/>
        <v>36430</v>
      </c>
      <c r="B112" s="15">
        <f t="shared" si="169"/>
        <v>106</v>
      </c>
      <c r="C112">
        <v>7</v>
      </c>
      <c r="D112" s="8">
        <f t="shared" si="138"/>
        <v>350</v>
      </c>
      <c r="E112" s="52">
        <v>4</v>
      </c>
      <c r="F112" s="8">
        <f t="shared" si="163"/>
        <v>200</v>
      </c>
      <c r="G112" s="52">
        <v>3</v>
      </c>
      <c r="H112" s="8">
        <f t="shared" si="164"/>
        <v>75</v>
      </c>
      <c r="I112">
        <v>51</v>
      </c>
      <c r="J112" s="11">
        <f t="shared" si="143"/>
        <v>765</v>
      </c>
      <c r="K112" s="11"/>
      <c r="L112" s="11"/>
      <c r="M112" s="3">
        <f t="shared" si="156"/>
        <v>628</v>
      </c>
      <c r="N112" s="4">
        <f t="shared" si="165"/>
        <v>1390</v>
      </c>
      <c r="O112" s="4">
        <f t="shared" si="167"/>
        <v>3715</v>
      </c>
      <c r="P112" s="16">
        <f t="shared" si="166"/>
        <v>589.2115384615385</v>
      </c>
      <c r="Q112" s="5">
        <f t="shared" si="157"/>
        <v>1.0746268656716418</v>
      </c>
      <c r="R112" s="13">
        <f>R111+31</f>
        <v>38886</v>
      </c>
      <c r="S112" s="40" t="s">
        <v>34</v>
      </c>
      <c r="U112" s="9">
        <v>7480</v>
      </c>
      <c r="V112" s="73">
        <f t="shared" si="158"/>
        <v>0.17651500849537474</v>
      </c>
      <c r="W112" s="9">
        <f>W111+U112</f>
        <v>76347.5</v>
      </c>
      <c r="X112" s="9">
        <f>U112</f>
        <v>7480</v>
      </c>
      <c r="Z112" s="9">
        <f>3698+1868</f>
        <v>5566</v>
      </c>
      <c r="AA112" s="73">
        <f t="shared" si="160"/>
        <v>0.1313479327921465</v>
      </c>
      <c r="AB112" s="9">
        <f>AB111+Z112</f>
        <v>48693.7</v>
      </c>
      <c r="AC112" s="9">
        <f>Z112</f>
        <v>5566</v>
      </c>
      <c r="AE112" s="9">
        <v>27780</v>
      </c>
      <c r="AF112" s="73">
        <f t="shared" si="161"/>
        <v>0.655559750802341</v>
      </c>
      <c r="AG112" s="9">
        <f>AG111+AE112</f>
        <v>259112.25</v>
      </c>
      <c r="AH112" s="9">
        <f>AE112</f>
        <v>27780</v>
      </c>
      <c r="AI112" s="62">
        <v>1550</v>
      </c>
      <c r="AJ112" s="56">
        <f t="shared" si="162"/>
        <v>42376</v>
      </c>
      <c r="AK112" s="4">
        <f>AJ112+AK111</f>
        <v>387358.45</v>
      </c>
      <c r="AN112" s="9">
        <f>AJ112</f>
        <v>42376</v>
      </c>
    </row>
    <row r="113" spans="1:40" ht="12.75">
      <c r="A113" s="1">
        <f t="shared" si="168"/>
        <v>36437</v>
      </c>
      <c r="B113" s="15">
        <f t="shared" si="169"/>
        <v>107</v>
      </c>
      <c r="C113">
        <v>2</v>
      </c>
      <c r="D113" s="8">
        <f t="shared" si="138"/>
        <v>100</v>
      </c>
      <c r="E113" s="52">
        <v>0</v>
      </c>
      <c r="F113" s="8">
        <f t="shared" si="163"/>
        <v>0</v>
      </c>
      <c r="G113" s="52">
        <v>0</v>
      </c>
      <c r="H113" s="8">
        <f t="shared" si="164"/>
        <v>0</v>
      </c>
      <c r="I113">
        <v>33</v>
      </c>
      <c r="J113" s="11">
        <f t="shared" si="143"/>
        <v>495</v>
      </c>
      <c r="K113" s="11"/>
      <c r="L113" s="11"/>
      <c r="M113" s="3">
        <f t="shared" si="156"/>
        <v>630</v>
      </c>
      <c r="N113" s="4">
        <f t="shared" si="165"/>
        <v>595</v>
      </c>
      <c r="O113" s="4">
        <f t="shared" si="167"/>
        <v>4310</v>
      </c>
      <c r="P113" s="16">
        <f t="shared" si="166"/>
        <v>584.5961538461538</v>
      </c>
      <c r="Q113" s="5">
        <f t="shared" si="157"/>
        <v>-0.5719424460431655</v>
      </c>
      <c r="R113" s="13">
        <f>R112+31</f>
        <v>38917</v>
      </c>
      <c r="S113" s="40" t="s">
        <v>35</v>
      </c>
      <c r="U113" s="9">
        <v>4512.5</v>
      </c>
      <c r="V113" s="73">
        <f t="shared" si="158"/>
        <v>0.11812756101206721</v>
      </c>
      <c r="W113" s="9">
        <f>W112+U113</f>
        <v>80860</v>
      </c>
      <c r="X113" s="9">
        <f t="shared" si="159"/>
        <v>11992.5</v>
      </c>
      <c r="Z113" s="9">
        <f>6318.1+429.13</f>
        <v>6747.2300000000005</v>
      </c>
      <c r="AA113" s="73">
        <f t="shared" si="160"/>
        <v>0.17662799412464272</v>
      </c>
      <c r="AB113" s="9">
        <f>AB112+Z113</f>
        <v>55440.93</v>
      </c>
      <c r="AC113" s="9">
        <f aca="true" t="shared" si="170" ref="AC113:AC118">AC112+Z113</f>
        <v>12313.23</v>
      </c>
      <c r="AE113" s="9">
        <v>26940.5</v>
      </c>
      <c r="AF113" s="73">
        <f t="shared" si="161"/>
        <v>0.7052444448632902</v>
      </c>
      <c r="AG113" s="9">
        <f>AG112+AE113</f>
        <v>286052.75</v>
      </c>
      <c r="AH113" s="9">
        <f aca="true" t="shared" si="171" ref="AH113:AH118">AH112+AE113</f>
        <v>54720.5</v>
      </c>
      <c r="AI113" s="62"/>
      <c r="AJ113" s="56">
        <f t="shared" si="162"/>
        <v>38200.229999999996</v>
      </c>
      <c r="AK113" s="4">
        <f>AJ113+AK112</f>
        <v>425558.68</v>
      </c>
      <c r="AN113" s="9">
        <f aca="true" t="shared" si="172" ref="AN113:AN118">AN112+AJ113</f>
        <v>80576.23</v>
      </c>
    </row>
    <row r="114" spans="1:40" ht="12.75">
      <c r="A114" s="1">
        <f t="shared" si="168"/>
        <v>36444</v>
      </c>
      <c r="B114" s="15">
        <f t="shared" si="169"/>
        <v>108</v>
      </c>
      <c r="C114">
        <v>1</v>
      </c>
      <c r="D114" s="8">
        <f t="shared" si="138"/>
        <v>50</v>
      </c>
      <c r="E114" s="52">
        <v>1</v>
      </c>
      <c r="F114" s="8">
        <f t="shared" si="163"/>
        <v>50</v>
      </c>
      <c r="G114" s="52">
        <v>1</v>
      </c>
      <c r="H114" s="8">
        <f t="shared" si="164"/>
        <v>25</v>
      </c>
      <c r="I114">
        <v>15</v>
      </c>
      <c r="J114" s="11">
        <f t="shared" si="143"/>
        <v>225</v>
      </c>
      <c r="K114" s="11"/>
      <c r="L114" s="11"/>
      <c r="M114" s="3">
        <f aca="true" t="shared" si="173" ref="M114:M119">C114+M113</f>
        <v>631</v>
      </c>
      <c r="N114" s="4">
        <f t="shared" si="165"/>
        <v>350</v>
      </c>
      <c r="O114" s="4">
        <f t="shared" si="167"/>
        <v>4660</v>
      </c>
      <c r="P114" s="16">
        <f t="shared" si="166"/>
        <v>575.2692307692307</v>
      </c>
      <c r="Q114" s="5">
        <f aca="true" t="shared" si="174" ref="Q114:Q119">(N114/N113)-1</f>
        <v>-0.4117647058823529</v>
      </c>
      <c r="R114" s="13">
        <f>R113+31</f>
        <v>38948</v>
      </c>
      <c r="S114" s="40" t="s">
        <v>36</v>
      </c>
      <c r="U114" s="9">
        <v>1220</v>
      </c>
      <c r="V114" s="73">
        <f t="shared" si="158"/>
        <v>0.23079833522512297</v>
      </c>
      <c r="W114" s="9">
        <f>W113+U114</f>
        <v>82080</v>
      </c>
      <c r="X114" s="9">
        <f t="shared" si="159"/>
        <v>13212.5</v>
      </c>
      <c r="Z114" s="9">
        <v>621</v>
      </c>
      <c r="AA114" s="73">
        <f t="shared" si="160"/>
        <v>0.11748013620885357</v>
      </c>
      <c r="AB114" s="9">
        <f>AB113+Z114</f>
        <v>56061.93</v>
      </c>
      <c r="AC114" s="9">
        <f t="shared" si="170"/>
        <v>12934.23</v>
      </c>
      <c r="AE114" s="9">
        <v>3445</v>
      </c>
      <c r="AF114" s="73">
        <f t="shared" si="161"/>
        <v>0.6517215285660235</v>
      </c>
      <c r="AG114" s="9">
        <f>AG113+AE114</f>
        <v>289497.75</v>
      </c>
      <c r="AH114" s="9">
        <f t="shared" si="171"/>
        <v>58165.5</v>
      </c>
      <c r="AI114" s="62"/>
      <c r="AJ114" s="56">
        <f t="shared" si="162"/>
        <v>5286</v>
      </c>
      <c r="AK114" s="4">
        <f>AJ114+AK113</f>
        <v>430844.68</v>
      </c>
      <c r="AN114" s="9">
        <f t="shared" si="172"/>
        <v>85862.23</v>
      </c>
    </row>
    <row r="115" spans="1:40" ht="12.75">
      <c r="A115" s="1">
        <f t="shared" si="168"/>
        <v>36451</v>
      </c>
      <c r="B115" s="15">
        <f t="shared" si="169"/>
        <v>109</v>
      </c>
      <c r="C115">
        <v>5</v>
      </c>
      <c r="D115" s="8">
        <f t="shared" si="138"/>
        <v>250</v>
      </c>
      <c r="E115" s="52">
        <v>3</v>
      </c>
      <c r="F115" s="8">
        <f t="shared" si="163"/>
        <v>150</v>
      </c>
      <c r="G115" s="52">
        <v>4</v>
      </c>
      <c r="H115" s="8">
        <f t="shared" si="164"/>
        <v>100</v>
      </c>
      <c r="I115">
        <v>29</v>
      </c>
      <c r="J115" s="11">
        <f t="shared" si="143"/>
        <v>435</v>
      </c>
      <c r="K115" s="11"/>
      <c r="L115" s="11"/>
      <c r="M115" s="3">
        <f t="shared" si="173"/>
        <v>636</v>
      </c>
      <c r="N115" s="4">
        <f aca="true" t="shared" si="175" ref="N115:N120">D115+J115+F115+H115</f>
        <v>935</v>
      </c>
      <c r="O115" s="4">
        <f t="shared" si="167"/>
        <v>5595</v>
      </c>
      <c r="P115" s="16">
        <f aca="true" t="shared" si="176" ref="P115:P120">SUM(N64:N115)/52</f>
        <v>584.3076923076923</v>
      </c>
      <c r="Q115" s="5">
        <f t="shared" si="174"/>
        <v>1.6714285714285713</v>
      </c>
      <c r="R115" s="13">
        <f aca="true" t="shared" si="177" ref="R115:R150">R114+31</f>
        <v>38979</v>
      </c>
      <c r="S115" s="27" t="s">
        <v>25</v>
      </c>
      <c r="U115" s="9">
        <v>6810</v>
      </c>
      <c r="V115" s="73">
        <f t="shared" si="158"/>
        <v>0.2857262733909541</v>
      </c>
      <c r="W115" s="9">
        <f>U115</f>
        <v>6810</v>
      </c>
      <c r="X115" s="9">
        <f t="shared" si="159"/>
        <v>20022.5</v>
      </c>
      <c r="Z115" s="9">
        <f>3687+70+125</f>
        <v>3882</v>
      </c>
      <c r="AA115" s="73">
        <f t="shared" si="160"/>
        <v>0.16287656289334565</v>
      </c>
      <c r="AB115" s="9">
        <f>Z115</f>
        <v>3882</v>
      </c>
      <c r="AC115" s="9">
        <f t="shared" si="170"/>
        <v>16816.23</v>
      </c>
      <c r="AE115" s="9">
        <v>12642</v>
      </c>
      <c r="AF115" s="73">
        <f t="shared" si="161"/>
        <v>0.5304187295460266</v>
      </c>
      <c r="AG115" s="9">
        <f>AE115</f>
        <v>12642</v>
      </c>
      <c r="AH115" s="9">
        <f t="shared" si="171"/>
        <v>70807.5</v>
      </c>
      <c r="AI115" s="62">
        <v>500</v>
      </c>
      <c r="AJ115" s="56">
        <f t="shared" si="162"/>
        <v>23834</v>
      </c>
      <c r="AK115" s="4">
        <f>AJ115</f>
        <v>23834</v>
      </c>
      <c r="AN115" s="9">
        <f t="shared" si="172"/>
        <v>109696.23</v>
      </c>
    </row>
    <row r="116" spans="1:40" ht="12.75">
      <c r="A116" s="1">
        <f t="shared" si="168"/>
        <v>36458</v>
      </c>
      <c r="B116" s="15">
        <f t="shared" si="169"/>
        <v>110</v>
      </c>
      <c r="C116">
        <v>2</v>
      </c>
      <c r="D116" s="8">
        <f t="shared" si="138"/>
        <v>100</v>
      </c>
      <c r="E116" s="52">
        <v>0</v>
      </c>
      <c r="F116" s="8">
        <f t="shared" si="163"/>
        <v>0</v>
      </c>
      <c r="G116" s="52">
        <v>3</v>
      </c>
      <c r="H116" s="8">
        <f t="shared" si="164"/>
        <v>75</v>
      </c>
      <c r="I116">
        <v>0</v>
      </c>
      <c r="J116" s="11">
        <f t="shared" si="143"/>
        <v>0</v>
      </c>
      <c r="K116" s="11"/>
      <c r="L116" s="11"/>
      <c r="M116" s="3">
        <f t="shared" si="173"/>
        <v>638</v>
      </c>
      <c r="N116" s="4">
        <f t="shared" si="175"/>
        <v>175</v>
      </c>
      <c r="O116" s="4">
        <f aca="true" t="shared" si="178" ref="O116:O121">O115+N116</f>
        <v>5770</v>
      </c>
      <c r="P116" s="16">
        <f t="shared" si="176"/>
        <v>580.4615384615385</v>
      </c>
      <c r="Q116" s="5">
        <f t="shared" si="174"/>
        <v>-0.8128342245989305</v>
      </c>
      <c r="R116" s="13">
        <f t="shared" si="177"/>
        <v>39010</v>
      </c>
      <c r="S116" s="15" t="s">
        <v>26</v>
      </c>
      <c r="U116" s="9">
        <f>10123+180</f>
        <v>10303</v>
      </c>
      <c r="V116" s="73">
        <f aca="true" t="shared" si="179" ref="V116:V123">U116/AJ116</f>
        <v>0.32379261307835544</v>
      </c>
      <c r="W116" s="9">
        <f aca="true" t="shared" si="180" ref="W116:W123">U116+W115</f>
        <v>17113</v>
      </c>
      <c r="X116" s="9">
        <f aca="true" t="shared" si="181" ref="X116:X123">X115+U116</f>
        <v>30325.5</v>
      </c>
      <c r="Z116" s="9">
        <f>4218.25+711-180</f>
        <v>4749.25</v>
      </c>
      <c r="AA116" s="73">
        <f aca="true" t="shared" si="182" ref="AA116:AA123">Z116/AJ116</f>
        <v>0.1492547867283684</v>
      </c>
      <c r="AB116" s="9">
        <f aca="true" t="shared" si="183" ref="AB116:AB123">Z116+AB115</f>
        <v>8631.25</v>
      </c>
      <c r="AC116" s="9">
        <f t="shared" si="170"/>
        <v>21565.48</v>
      </c>
      <c r="AE116" s="9">
        <v>16767.5</v>
      </c>
      <c r="AF116" s="73">
        <f aca="true" t="shared" si="184" ref="AF116:AF123">AE116/AJ116</f>
        <v>0.5269526001932762</v>
      </c>
      <c r="AG116" s="9">
        <f aca="true" t="shared" si="185" ref="AG116:AG123">AG115+AE116</f>
        <v>29409.5</v>
      </c>
      <c r="AH116" s="9">
        <f t="shared" si="171"/>
        <v>87575</v>
      </c>
      <c r="AI116" s="62"/>
      <c r="AJ116" s="56">
        <f aca="true" t="shared" si="186" ref="AJ116:AJ123">U116+Z116+AE116+AI116</f>
        <v>31819.75</v>
      </c>
      <c r="AK116" s="4">
        <f aca="true" t="shared" si="187" ref="AK116:AK123">AJ116+AK115</f>
        <v>55653.75</v>
      </c>
      <c r="AN116" s="9">
        <f t="shared" si="172"/>
        <v>141515.97999999998</v>
      </c>
    </row>
    <row r="117" spans="1:40" ht="12.75">
      <c r="A117" s="1">
        <f t="shared" si="168"/>
        <v>36465</v>
      </c>
      <c r="B117" s="15">
        <f t="shared" si="169"/>
        <v>111</v>
      </c>
      <c r="C117">
        <v>0</v>
      </c>
      <c r="D117" s="8">
        <f t="shared" si="138"/>
        <v>0</v>
      </c>
      <c r="E117" s="52">
        <v>0</v>
      </c>
      <c r="F117" s="8">
        <f t="shared" si="163"/>
        <v>0</v>
      </c>
      <c r="G117" s="52">
        <v>0</v>
      </c>
      <c r="H117" s="8">
        <f t="shared" si="164"/>
        <v>0</v>
      </c>
      <c r="I117">
        <v>27</v>
      </c>
      <c r="J117" s="11">
        <f t="shared" si="143"/>
        <v>405</v>
      </c>
      <c r="K117" s="11"/>
      <c r="L117" s="11"/>
      <c r="M117" s="3">
        <f t="shared" si="173"/>
        <v>638</v>
      </c>
      <c r="N117" s="4">
        <f t="shared" si="175"/>
        <v>405</v>
      </c>
      <c r="O117" s="4">
        <f t="shared" si="178"/>
        <v>6175</v>
      </c>
      <c r="P117" s="16">
        <f t="shared" si="176"/>
        <v>588.25</v>
      </c>
      <c r="Q117" s="5">
        <f t="shared" si="174"/>
        <v>1.3142857142857145</v>
      </c>
      <c r="R117" s="13">
        <f t="shared" si="177"/>
        <v>39041</v>
      </c>
      <c r="S117" s="15" t="s">
        <v>27</v>
      </c>
      <c r="U117" s="9">
        <f>5470+420</f>
        <v>5890</v>
      </c>
      <c r="V117" s="73">
        <f t="shared" si="179"/>
        <v>0.0984859252075478</v>
      </c>
      <c r="W117" s="9">
        <f t="shared" si="180"/>
        <v>23003</v>
      </c>
      <c r="X117" s="9">
        <f t="shared" si="181"/>
        <v>36215.5</v>
      </c>
      <c r="Z117" s="9">
        <f>10393.5-5544-420</f>
        <v>4429.5</v>
      </c>
      <c r="AA117" s="73">
        <f t="shared" si="182"/>
        <v>0.07406509434750984</v>
      </c>
      <c r="AB117" s="9">
        <f t="shared" si="183"/>
        <v>13060.75</v>
      </c>
      <c r="AC117" s="9">
        <f t="shared" si="170"/>
        <v>25994.98</v>
      </c>
      <c r="AE117" s="9">
        <f>40292+5544</f>
        <v>45836</v>
      </c>
      <c r="AF117" s="73">
        <f t="shared" si="184"/>
        <v>0.76641780438254</v>
      </c>
      <c r="AG117" s="9">
        <f t="shared" si="185"/>
        <v>75245.5</v>
      </c>
      <c r="AH117" s="9">
        <f t="shared" si="171"/>
        <v>133411</v>
      </c>
      <c r="AI117" s="62">
        <v>3650</v>
      </c>
      <c r="AJ117" s="56">
        <f t="shared" si="186"/>
        <v>59805.5</v>
      </c>
      <c r="AK117" s="4">
        <f t="shared" si="187"/>
        <v>115459.25</v>
      </c>
      <c r="AN117" s="9">
        <f t="shared" si="172"/>
        <v>201321.47999999998</v>
      </c>
    </row>
    <row r="118" spans="1:40" ht="12.75">
      <c r="A118" s="1">
        <f t="shared" si="168"/>
        <v>36472</v>
      </c>
      <c r="B118" s="15">
        <f t="shared" si="169"/>
        <v>112</v>
      </c>
      <c r="C118">
        <v>6</v>
      </c>
      <c r="D118" s="8">
        <f t="shared" si="138"/>
        <v>300</v>
      </c>
      <c r="E118" s="52">
        <v>6</v>
      </c>
      <c r="F118" s="8">
        <f t="shared" si="163"/>
        <v>300</v>
      </c>
      <c r="G118" s="52">
        <v>9</v>
      </c>
      <c r="H118" s="8">
        <f t="shared" si="164"/>
        <v>225</v>
      </c>
      <c r="I118">
        <v>99</v>
      </c>
      <c r="J118" s="11">
        <f t="shared" si="143"/>
        <v>1485</v>
      </c>
      <c r="K118" s="11"/>
      <c r="L118" s="11"/>
      <c r="M118" s="3">
        <f t="shared" si="173"/>
        <v>644</v>
      </c>
      <c r="N118" s="4">
        <f t="shared" si="175"/>
        <v>2310</v>
      </c>
      <c r="O118" s="4">
        <f t="shared" si="178"/>
        <v>8485</v>
      </c>
      <c r="P118" s="16">
        <f t="shared" si="176"/>
        <v>599.0192307692307</v>
      </c>
      <c r="Q118" s="5">
        <f t="shared" si="174"/>
        <v>4.703703703703703</v>
      </c>
      <c r="R118" s="13">
        <f t="shared" si="177"/>
        <v>39072</v>
      </c>
      <c r="S118" s="15" t="s">
        <v>28</v>
      </c>
      <c r="U118" s="9">
        <v>3929</v>
      </c>
      <c r="V118" s="73">
        <f t="shared" si="179"/>
        <v>0.08857389935263728</v>
      </c>
      <c r="W118" s="9">
        <f t="shared" si="180"/>
        <v>26932</v>
      </c>
      <c r="X118" s="9">
        <f t="shared" si="181"/>
        <v>40144.5</v>
      </c>
      <c r="Z118" s="9">
        <f>6462.7+597-600-1035-954</f>
        <v>4470.7</v>
      </c>
      <c r="AA118" s="73">
        <f t="shared" si="182"/>
        <v>0.10078578056396932</v>
      </c>
      <c r="AB118" s="9">
        <f t="shared" si="183"/>
        <v>17531.45</v>
      </c>
      <c r="AC118" s="9">
        <f t="shared" si="170"/>
        <v>30465.68</v>
      </c>
      <c r="AE118" s="9">
        <f>32319.74+600+1035+954</f>
        <v>34908.740000000005</v>
      </c>
      <c r="AF118" s="73">
        <f t="shared" si="184"/>
        <v>0.7869695147079113</v>
      </c>
      <c r="AG118" s="9">
        <f t="shared" si="185"/>
        <v>110154.24</v>
      </c>
      <c r="AH118" s="9">
        <f t="shared" si="171"/>
        <v>168319.74</v>
      </c>
      <c r="AI118" s="62">
        <v>1050</v>
      </c>
      <c r="AJ118" s="56">
        <f t="shared" si="186"/>
        <v>44358.44</v>
      </c>
      <c r="AK118" s="4">
        <f t="shared" si="187"/>
        <v>159817.69</v>
      </c>
      <c r="AN118" s="9">
        <f t="shared" si="172"/>
        <v>245679.91999999998</v>
      </c>
    </row>
    <row r="119" spans="1:40" ht="12.75">
      <c r="A119" s="1">
        <f t="shared" si="168"/>
        <v>36479</v>
      </c>
      <c r="B119" s="15">
        <f t="shared" si="169"/>
        <v>113</v>
      </c>
      <c r="C119">
        <v>3</v>
      </c>
      <c r="D119" s="8">
        <f t="shared" si="138"/>
        <v>150</v>
      </c>
      <c r="E119" s="52">
        <v>2</v>
      </c>
      <c r="F119" s="8">
        <f t="shared" si="163"/>
        <v>100</v>
      </c>
      <c r="G119" s="52">
        <v>8</v>
      </c>
      <c r="H119" s="8">
        <f t="shared" si="164"/>
        <v>200</v>
      </c>
      <c r="I119">
        <v>30</v>
      </c>
      <c r="J119" s="11">
        <f t="shared" si="143"/>
        <v>450</v>
      </c>
      <c r="K119" s="11"/>
      <c r="L119" s="11"/>
      <c r="M119" s="3">
        <f t="shared" si="173"/>
        <v>647</v>
      </c>
      <c r="N119" s="4">
        <f t="shared" si="175"/>
        <v>900</v>
      </c>
      <c r="O119" s="4">
        <f t="shared" si="178"/>
        <v>9385</v>
      </c>
      <c r="P119" s="16">
        <f t="shared" si="176"/>
        <v>604.2115384615385</v>
      </c>
      <c r="Q119" s="5">
        <f t="shared" si="174"/>
        <v>-0.6103896103896104</v>
      </c>
      <c r="R119" s="13">
        <f t="shared" si="177"/>
        <v>39103</v>
      </c>
      <c r="S119" s="40" t="s">
        <v>29</v>
      </c>
      <c r="U119" s="9">
        <f>7473+234</f>
        <v>7707</v>
      </c>
      <c r="V119" s="73">
        <f t="shared" si="179"/>
        <v>0.14038438033875497</v>
      </c>
      <c r="W119" s="9">
        <f t="shared" si="180"/>
        <v>34639</v>
      </c>
      <c r="X119" s="9">
        <f t="shared" si="181"/>
        <v>47851.5</v>
      </c>
      <c r="Z119" s="9">
        <f>7644+696.5-2395-234</f>
        <v>5711.5</v>
      </c>
      <c r="AA119" s="73">
        <f t="shared" si="182"/>
        <v>0.10403599173540924</v>
      </c>
      <c r="AB119" s="9">
        <f t="shared" si="183"/>
        <v>23242.95</v>
      </c>
      <c r="AC119" s="9">
        <f>AC118+Z119</f>
        <v>36177.18</v>
      </c>
      <c r="AE119" s="9">
        <f>36940.77+2395</f>
        <v>39335.77</v>
      </c>
      <c r="AF119" s="73">
        <f t="shared" si="184"/>
        <v>0.7165080701437377</v>
      </c>
      <c r="AG119" s="9">
        <f t="shared" si="185"/>
        <v>149490.01</v>
      </c>
      <c r="AH119" s="9">
        <f>AH118+AE119</f>
        <v>207655.50999999998</v>
      </c>
      <c r="AI119" s="62">
        <f>2075+70</f>
        <v>2145</v>
      </c>
      <c r="AJ119" s="56">
        <f t="shared" si="186"/>
        <v>54899.27</v>
      </c>
      <c r="AK119" s="4">
        <f t="shared" si="187"/>
        <v>214716.96</v>
      </c>
      <c r="AN119" s="9">
        <f>AN118+AJ119</f>
        <v>300579.19</v>
      </c>
    </row>
    <row r="120" spans="1:40" ht="12.75">
      <c r="A120" s="1">
        <f t="shared" si="168"/>
        <v>36486</v>
      </c>
      <c r="B120" s="15">
        <f t="shared" si="169"/>
        <v>114</v>
      </c>
      <c r="C120">
        <v>5</v>
      </c>
      <c r="D120" s="8">
        <f t="shared" si="138"/>
        <v>250</v>
      </c>
      <c r="E120" s="52">
        <v>2</v>
      </c>
      <c r="F120" s="8">
        <f t="shared" si="163"/>
        <v>100</v>
      </c>
      <c r="G120" s="52">
        <v>3</v>
      </c>
      <c r="H120" s="8">
        <f t="shared" si="164"/>
        <v>75</v>
      </c>
      <c r="I120">
        <v>20</v>
      </c>
      <c r="J120" s="11">
        <f t="shared" si="143"/>
        <v>300</v>
      </c>
      <c r="K120" s="11"/>
      <c r="L120" s="11"/>
      <c r="M120" s="3">
        <f>C120+M119</f>
        <v>652</v>
      </c>
      <c r="N120" s="4">
        <f t="shared" si="175"/>
        <v>725</v>
      </c>
      <c r="O120" s="4">
        <f t="shared" si="178"/>
        <v>10110</v>
      </c>
      <c r="P120" s="16">
        <f t="shared" si="176"/>
        <v>616.3846153846154</v>
      </c>
      <c r="Q120" s="5">
        <f>(N120/N119)-1</f>
        <v>-0.19444444444444442</v>
      </c>
      <c r="R120" s="13">
        <f t="shared" si="177"/>
        <v>39134</v>
      </c>
      <c r="S120" s="40" t="s">
        <v>30</v>
      </c>
      <c r="U120" s="9">
        <f>4430+180</f>
        <v>4610</v>
      </c>
      <c r="V120" s="73">
        <f t="shared" si="179"/>
        <v>0.13123434297426553</v>
      </c>
      <c r="W120" s="9">
        <f t="shared" si="180"/>
        <v>39249</v>
      </c>
      <c r="X120" s="9">
        <f t="shared" si="181"/>
        <v>52461.5</v>
      </c>
      <c r="Z120" s="9">
        <f>6675+470-(50+240+300+480+100+180)</f>
        <v>5795</v>
      </c>
      <c r="AA120" s="73">
        <f t="shared" si="182"/>
        <v>0.16496811660214075</v>
      </c>
      <c r="AB120" s="9">
        <f t="shared" si="183"/>
        <v>29037.95</v>
      </c>
      <c r="AC120" s="9">
        <f>AC119+Z120</f>
        <v>41972.18</v>
      </c>
      <c r="AE120" s="9">
        <f>22553+50+240+300+480+100</f>
        <v>23723</v>
      </c>
      <c r="AF120" s="73">
        <f t="shared" si="184"/>
        <v>0.6753302209063995</v>
      </c>
      <c r="AG120" s="9">
        <f t="shared" si="185"/>
        <v>173213.01</v>
      </c>
      <c r="AH120" s="9">
        <f>AH119+AE120</f>
        <v>231378.50999999998</v>
      </c>
      <c r="AI120" s="62">
        <v>1000</v>
      </c>
      <c r="AJ120" s="56">
        <f t="shared" si="186"/>
        <v>35128</v>
      </c>
      <c r="AK120" s="4">
        <f t="shared" si="187"/>
        <v>249844.96</v>
      </c>
      <c r="AN120" s="9">
        <f>AN119+AJ120</f>
        <v>335707.19</v>
      </c>
    </row>
    <row r="121" spans="1:40" ht="12.75">
      <c r="A121" s="1">
        <f>A120+7</f>
        <v>36493</v>
      </c>
      <c r="B121" s="15">
        <f>B120+1</f>
        <v>115</v>
      </c>
      <c r="C121">
        <v>0</v>
      </c>
      <c r="D121" s="8">
        <f t="shared" si="138"/>
        <v>0</v>
      </c>
      <c r="E121" s="52">
        <v>1</v>
      </c>
      <c r="F121" s="8">
        <f t="shared" si="163"/>
        <v>50</v>
      </c>
      <c r="G121" s="52">
        <v>3</v>
      </c>
      <c r="H121" s="8">
        <f t="shared" si="164"/>
        <v>75</v>
      </c>
      <c r="I121">
        <v>20</v>
      </c>
      <c r="J121" s="11">
        <f t="shared" si="143"/>
        <v>300</v>
      </c>
      <c r="K121" s="11"/>
      <c r="L121" s="11"/>
      <c r="M121" s="3">
        <f>C121+M120</f>
        <v>652</v>
      </c>
      <c r="N121" s="4">
        <f>D121+J121+F121+H121</f>
        <v>425</v>
      </c>
      <c r="O121" s="4">
        <f t="shared" si="178"/>
        <v>10535</v>
      </c>
      <c r="P121" s="16">
        <f>SUM(N70:N121)/52</f>
        <v>616.4807692307693</v>
      </c>
      <c r="Q121" s="5">
        <f>(N121/N120)-1</f>
        <v>-0.4137931034482759</v>
      </c>
      <c r="R121" s="13">
        <f t="shared" si="177"/>
        <v>39165</v>
      </c>
      <c r="S121" s="40" t="s">
        <v>31</v>
      </c>
      <c r="U121" s="9">
        <f>4942+354</f>
        <v>5296</v>
      </c>
      <c r="V121" s="73">
        <f t="shared" si="179"/>
        <v>0.17009522891875833</v>
      </c>
      <c r="W121" s="9">
        <f t="shared" si="180"/>
        <v>44545</v>
      </c>
      <c r="X121" s="9">
        <f t="shared" si="181"/>
        <v>57757.5</v>
      </c>
      <c r="Z121" s="9">
        <f>5544.5+879-(25+360+150+375)-354</f>
        <v>5159.5</v>
      </c>
      <c r="AA121" s="73">
        <f t="shared" si="182"/>
        <v>0.1657111657111657</v>
      </c>
      <c r="AB121" s="9">
        <f t="shared" si="183"/>
        <v>34197.45</v>
      </c>
      <c r="AC121" s="9">
        <f>AC120+Z121</f>
        <v>47131.68</v>
      </c>
      <c r="AE121" s="9">
        <f>18520+25+360+150+375</f>
        <v>19430</v>
      </c>
      <c r="AF121" s="73">
        <f t="shared" si="184"/>
        <v>0.6240465063994476</v>
      </c>
      <c r="AG121" s="9">
        <f t="shared" si="185"/>
        <v>192643.01</v>
      </c>
      <c r="AH121" s="9">
        <f>AH120+AE121</f>
        <v>250808.50999999998</v>
      </c>
      <c r="AI121" s="62">
        <v>1250</v>
      </c>
      <c r="AJ121" s="56">
        <f t="shared" si="186"/>
        <v>31135.5</v>
      </c>
      <c r="AK121" s="4">
        <f t="shared" si="187"/>
        <v>280980.45999999996</v>
      </c>
      <c r="AN121" s="9">
        <f>AN120+AJ121</f>
        <v>366842.69</v>
      </c>
    </row>
    <row r="122" spans="1:40" ht="12.75">
      <c r="A122" s="1">
        <f>A121+7</f>
        <v>36500</v>
      </c>
      <c r="B122" s="15">
        <f>B121+1</f>
        <v>116</v>
      </c>
      <c r="C122">
        <v>1</v>
      </c>
      <c r="D122" s="8">
        <f t="shared" si="138"/>
        <v>50</v>
      </c>
      <c r="E122" s="52">
        <v>2</v>
      </c>
      <c r="F122" s="8">
        <f t="shared" si="163"/>
        <v>100</v>
      </c>
      <c r="G122" s="52">
        <v>0</v>
      </c>
      <c r="H122" s="8">
        <f t="shared" si="164"/>
        <v>0</v>
      </c>
      <c r="I122">
        <v>14</v>
      </c>
      <c r="J122" s="11">
        <f t="shared" si="143"/>
        <v>210</v>
      </c>
      <c r="K122" s="11"/>
      <c r="L122" s="11"/>
      <c r="M122" s="3">
        <f>C122+M121</f>
        <v>653</v>
      </c>
      <c r="N122" s="4">
        <f>D122+J122+F122+H122</f>
        <v>360</v>
      </c>
      <c r="O122" s="4">
        <f>O121+N122</f>
        <v>10895</v>
      </c>
      <c r="P122" s="16">
        <f>SUM(N71:N122)/52</f>
        <v>610.8076923076923</v>
      </c>
      <c r="Q122" s="5">
        <f>(N122/N121)-1</f>
        <v>-0.15294117647058825</v>
      </c>
      <c r="R122" s="13">
        <f t="shared" si="177"/>
        <v>39196</v>
      </c>
      <c r="S122" s="40" t="s">
        <v>32</v>
      </c>
      <c r="U122" s="9">
        <f>2333</f>
        <v>2333</v>
      </c>
      <c r="V122" s="73">
        <f t="shared" si="179"/>
        <v>0.09461816117126982</v>
      </c>
      <c r="W122" s="9">
        <f t="shared" si="180"/>
        <v>46878</v>
      </c>
      <c r="X122" s="9">
        <f t="shared" si="181"/>
        <v>60090.5</v>
      </c>
      <c r="Z122" s="9">
        <f>1664.5+55-240-300-300</f>
        <v>879.5</v>
      </c>
      <c r="AA122" s="73">
        <f t="shared" si="182"/>
        <v>0.03566938394776331</v>
      </c>
      <c r="AB122" s="9">
        <f t="shared" si="183"/>
        <v>35076.95</v>
      </c>
      <c r="AC122" s="9">
        <f>AC121+Z122</f>
        <v>48011.18</v>
      </c>
      <c r="AE122" s="9">
        <f>20104.5+240+300+300</f>
        <v>20944.5</v>
      </c>
      <c r="AF122" s="73">
        <f t="shared" si="184"/>
        <v>0.8494342377418177</v>
      </c>
      <c r="AG122" s="9">
        <f t="shared" si="185"/>
        <v>213587.51</v>
      </c>
      <c r="AH122" s="9">
        <f>AH121+AE122</f>
        <v>271753.01</v>
      </c>
      <c r="AI122" s="62">
        <v>500</v>
      </c>
      <c r="AJ122" s="56">
        <f t="shared" si="186"/>
        <v>24657</v>
      </c>
      <c r="AK122" s="4">
        <f t="shared" si="187"/>
        <v>305637.45999999996</v>
      </c>
      <c r="AN122" s="9">
        <f>AN121+AJ122</f>
        <v>391499.69</v>
      </c>
    </row>
    <row r="123" spans="1:40" ht="12.75">
      <c r="A123" s="1">
        <f>A122+7</f>
        <v>36507</v>
      </c>
      <c r="B123" s="15">
        <f>B122+1</f>
        <v>117</v>
      </c>
      <c r="C123">
        <v>3</v>
      </c>
      <c r="D123" s="8">
        <f t="shared" si="138"/>
        <v>150</v>
      </c>
      <c r="E123" s="52">
        <v>2</v>
      </c>
      <c r="F123" s="8">
        <f t="shared" si="163"/>
        <v>100</v>
      </c>
      <c r="G123" s="52">
        <v>5</v>
      </c>
      <c r="H123" s="8">
        <f t="shared" si="164"/>
        <v>125</v>
      </c>
      <c r="I123">
        <v>22</v>
      </c>
      <c r="J123" s="11">
        <f>(I123*15)-20</f>
        <v>310</v>
      </c>
      <c r="K123" s="11"/>
      <c r="L123" s="11"/>
      <c r="M123" s="3">
        <f>C123+M122</f>
        <v>656</v>
      </c>
      <c r="N123" s="4">
        <f>D123+J123+F123+H123</f>
        <v>685</v>
      </c>
      <c r="O123" s="4">
        <f>O122+N123</f>
        <v>11580</v>
      </c>
      <c r="P123" s="16">
        <f>SUM(N72:N123)/52</f>
        <v>612.7307692307693</v>
      </c>
      <c r="Q123" s="5">
        <f>(N123/N122)-1</f>
        <v>0.9027777777777777</v>
      </c>
      <c r="R123" s="13">
        <f t="shared" si="177"/>
        <v>39227</v>
      </c>
      <c r="S123" s="40" t="s">
        <v>33</v>
      </c>
      <c r="U123" s="9">
        <f>3969+60</f>
        <v>4029</v>
      </c>
      <c r="V123" s="73">
        <f t="shared" si="179"/>
        <v>0.1268237404976628</v>
      </c>
      <c r="W123" s="9">
        <f t="shared" si="180"/>
        <v>50907</v>
      </c>
      <c r="X123" s="9">
        <f t="shared" si="181"/>
        <v>64119.5</v>
      </c>
      <c r="Z123" s="9">
        <f>4965+165-(275+120+450+360)-60</f>
        <v>3865</v>
      </c>
      <c r="AA123" s="73">
        <f t="shared" si="182"/>
        <v>0.12166139414829155</v>
      </c>
      <c r="AB123" s="9">
        <f t="shared" si="183"/>
        <v>38941.95</v>
      </c>
      <c r="AC123" s="9">
        <f>AC122+Z123</f>
        <v>51876.18</v>
      </c>
      <c r="AE123" s="9">
        <f>22169.5+275+120+450+360</f>
        <v>23374.5</v>
      </c>
      <c r="AF123" s="73">
        <f t="shared" si="184"/>
        <v>0.7357760045327919</v>
      </c>
      <c r="AG123" s="9">
        <f t="shared" si="185"/>
        <v>236962.01</v>
      </c>
      <c r="AH123" s="9">
        <f>AH122+AE123</f>
        <v>295127.51</v>
      </c>
      <c r="AI123" s="62">
        <v>500</v>
      </c>
      <c r="AJ123" s="56">
        <f t="shared" si="186"/>
        <v>31768.5</v>
      </c>
      <c r="AK123" s="4">
        <f t="shared" si="187"/>
        <v>337405.95999999996</v>
      </c>
      <c r="AN123" s="9">
        <f>AN122+AJ123</f>
        <v>423268.19</v>
      </c>
    </row>
    <row r="124" spans="1:40" ht="12.75">
      <c r="A124" s="1">
        <f>A123+7</f>
        <v>36514</v>
      </c>
      <c r="B124" s="15">
        <f>B123+1</f>
        <v>118</v>
      </c>
      <c r="C124">
        <v>0</v>
      </c>
      <c r="D124" s="8">
        <f t="shared" si="138"/>
        <v>0</v>
      </c>
      <c r="E124" s="52">
        <v>0</v>
      </c>
      <c r="F124" s="8">
        <f t="shared" si="163"/>
        <v>0</v>
      </c>
      <c r="G124" s="52">
        <v>0</v>
      </c>
      <c r="H124" s="8">
        <f t="shared" si="164"/>
        <v>0</v>
      </c>
      <c r="I124">
        <v>0</v>
      </c>
      <c r="J124" s="11">
        <f t="shared" si="143"/>
        <v>0</v>
      </c>
      <c r="K124" s="11"/>
      <c r="L124" s="11"/>
      <c r="M124" s="3">
        <f>C124+M123</f>
        <v>656</v>
      </c>
      <c r="N124" s="4">
        <f>D124+J124+F124+H124</f>
        <v>0</v>
      </c>
      <c r="O124" s="4">
        <f>O123+N124</f>
        <v>11580</v>
      </c>
      <c r="P124" s="16">
        <f>SUM(N73:N124)/52</f>
        <v>612.7307692307693</v>
      </c>
      <c r="Q124" s="5">
        <f>(N124/N123)-1</f>
        <v>-1</v>
      </c>
      <c r="R124" s="13">
        <f t="shared" si="177"/>
        <v>39258</v>
      </c>
      <c r="S124" s="40" t="s">
        <v>34</v>
      </c>
      <c r="U124" s="9">
        <f>2853+180</f>
        <v>3033</v>
      </c>
      <c r="V124" s="73">
        <f aca="true" t="shared" si="188" ref="V124:V129">U124/AJ124</f>
        <v>0.09972545086885758</v>
      </c>
      <c r="W124" s="9">
        <f>U124+W123</f>
        <v>53940</v>
      </c>
      <c r="X124" s="9">
        <f>U124</f>
        <v>3033</v>
      </c>
      <c r="Z124" s="9">
        <f>2946+55+35-(50+228+435+423)-180</f>
        <v>1720</v>
      </c>
      <c r="AA124" s="73">
        <f aca="true" t="shared" si="189" ref="AA124:AA129">Z124/AJ124</f>
        <v>0.05655383300179197</v>
      </c>
      <c r="AB124" s="9">
        <f>Z124+AB123</f>
        <v>40661.95</v>
      </c>
      <c r="AC124" s="9">
        <f>Z124</f>
        <v>1720</v>
      </c>
      <c r="AE124" s="9">
        <f>24024.5+50+228+435+423</f>
        <v>25160.5</v>
      </c>
      <c r="AF124" s="73">
        <f aca="true" t="shared" si="190" ref="AF124:AF129">AE124/AJ124</f>
        <v>0.8272806483962714</v>
      </c>
      <c r="AG124" s="9">
        <f>AG123+AE124</f>
        <v>262122.51</v>
      </c>
      <c r="AH124" s="9">
        <f>AE124</f>
        <v>25160.5</v>
      </c>
      <c r="AI124" s="62">
        <v>500</v>
      </c>
      <c r="AJ124" s="56">
        <f aca="true" t="shared" si="191" ref="AJ124:AJ129">U124+Z124+AE124+AI124</f>
        <v>30413.5</v>
      </c>
      <c r="AK124" s="4">
        <f>AJ124+AK123</f>
        <v>367819.45999999996</v>
      </c>
      <c r="AN124" s="9">
        <f>AJ124</f>
        <v>30413.5</v>
      </c>
    </row>
    <row r="125" spans="1:40" ht="12.75">
      <c r="A125" s="1">
        <f>A124+7</f>
        <v>36521</v>
      </c>
      <c r="B125" s="15">
        <f>B124+1</f>
        <v>119</v>
      </c>
      <c r="C125">
        <v>0</v>
      </c>
      <c r="D125" s="8">
        <f t="shared" si="138"/>
        <v>0</v>
      </c>
      <c r="E125" s="52">
        <v>0</v>
      </c>
      <c r="F125" s="8">
        <f t="shared" si="163"/>
        <v>0</v>
      </c>
      <c r="G125" s="52">
        <v>0</v>
      </c>
      <c r="H125" s="8">
        <f t="shared" si="164"/>
        <v>0</v>
      </c>
      <c r="I125">
        <v>0</v>
      </c>
      <c r="J125" s="11">
        <f t="shared" si="143"/>
        <v>0</v>
      </c>
      <c r="K125" s="11"/>
      <c r="L125" s="11"/>
      <c r="M125" s="3">
        <f aca="true" t="shared" si="192" ref="M125:M130">C125+M124</f>
        <v>656</v>
      </c>
      <c r="N125" s="4">
        <f aca="true" t="shared" si="193" ref="N125:N130">D125+J125+F125+H125</f>
        <v>0</v>
      </c>
      <c r="O125" s="4">
        <f aca="true" t="shared" si="194" ref="O125:O130">O124+N125</f>
        <v>11580</v>
      </c>
      <c r="P125" s="16">
        <f aca="true" t="shared" si="195" ref="P125:P130">SUM(N74:N125)/52</f>
        <v>612.7307692307693</v>
      </c>
      <c r="Q125" s="5">
        <v>0</v>
      </c>
      <c r="R125" s="13">
        <f t="shared" si="177"/>
        <v>39289</v>
      </c>
      <c r="S125" s="40" t="s">
        <v>35</v>
      </c>
      <c r="U125" s="9">
        <f>5215+114</f>
        <v>5329</v>
      </c>
      <c r="V125" s="73">
        <f t="shared" si="188"/>
        <v>0.16027655751579456</v>
      </c>
      <c r="W125" s="9">
        <f>U125+W124</f>
        <v>59269</v>
      </c>
      <c r="X125" s="9">
        <f aca="true" t="shared" si="196" ref="X125:X134">X124+U125</f>
        <v>8362</v>
      </c>
      <c r="Z125" s="9">
        <f>5339.28-(25+120+585+429)-114</f>
        <v>4066.2799999999997</v>
      </c>
      <c r="AA125" s="73">
        <f t="shared" si="189"/>
        <v>0.12229862268630608</v>
      </c>
      <c r="AB125" s="9">
        <f>Z125+AB124</f>
        <v>44728.229999999996</v>
      </c>
      <c r="AC125" s="9">
        <f aca="true" t="shared" si="197" ref="AC125:AC134">AC124+Z125</f>
        <v>5786.28</v>
      </c>
      <c r="AE125" s="9">
        <f>21344.5+(25+120+585+429)</f>
        <v>22503.5</v>
      </c>
      <c r="AF125" s="73">
        <f t="shared" si="190"/>
        <v>0.6768218262444518</v>
      </c>
      <c r="AG125" s="9">
        <f>AG124+AE125</f>
        <v>284626.01</v>
      </c>
      <c r="AH125" s="9">
        <f aca="true" t="shared" si="198" ref="AH125:AH134">AH124+AE125</f>
        <v>47664</v>
      </c>
      <c r="AI125" s="62">
        <v>1350</v>
      </c>
      <c r="AJ125" s="56">
        <f t="shared" si="191"/>
        <v>33248.78</v>
      </c>
      <c r="AK125" s="4">
        <f>AJ125+AK124</f>
        <v>401068.24</v>
      </c>
      <c r="AN125" s="9">
        <f aca="true" t="shared" si="199" ref="AN125:AN134">AN124+AJ125</f>
        <v>63662.28</v>
      </c>
    </row>
    <row r="126" spans="1:40" ht="12.75">
      <c r="A126" s="1">
        <f aca="true" t="shared" si="200" ref="A126:A184">A125+7</f>
        <v>36528</v>
      </c>
      <c r="B126" s="15">
        <f aca="true" t="shared" si="201" ref="B126:B164">B125+1</f>
        <v>120</v>
      </c>
      <c r="C126">
        <v>0</v>
      </c>
      <c r="D126" s="8">
        <f t="shared" si="138"/>
        <v>0</v>
      </c>
      <c r="E126" s="52">
        <v>0</v>
      </c>
      <c r="F126" s="8">
        <f t="shared" si="163"/>
        <v>0</v>
      </c>
      <c r="G126" s="52">
        <v>0</v>
      </c>
      <c r="H126" s="8">
        <f t="shared" si="164"/>
        <v>0</v>
      </c>
      <c r="I126">
        <v>0</v>
      </c>
      <c r="J126" s="11">
        <f t="shared" si="143"/>
        <v>0</v>
      </c>
      <c r="K126" s="11"/>
      <c r="L126" s="11"/>
      <c r="M126" s="3">
        <f t="shared" si="192"/>
        <v>656</v>
      </c>
      <c r="N126" s="4">
        <f t="shared" si="193"/>
        <v>0</v>
      </c>
      <c r="O126" s="4">
        <f t="shared" si="194"/>
        <v>11580</v>
      </c>
      <c r="P126" s="16">
        <f t="shared" si="195"/>
        <v>601.9615384615385</v>
      </c>
      <c r="Q126" s="5">
        <v>0</v>
      </c>
      <c r="R126" s="13">
        <f t="shared" si="177"/>
        <v>39320</v>
      </c>
      <c r="S126" s="40" t="s">
        <v>36</v>
      </c>
      <c r="U126" s="9">
        <f>970</f>
        <v>970</v>
      </c>
      <c r="V126" s="73">
        <f t="shared" si="188"/>
        <v>0.21881344461989624</v>
      </c>
      <c r="W126" s="9">
        <f>U126+W125</f>
        <v>60239</v>
      </c>
      <c r="X126" s="9">
        <f t="shared" si="196"/>
        <v>9332</v>
      </c>
      <c r="Z126" s="9">
        <f>643-(25+60)</f>
        <v>558</v>
      </c>
      <c r="AA126" s="73">
        <f t="shared" si="189"/>
        <v>0.1258741258741259</v>
      </c>
      <c r="AB126" s="9">
        <f>Z126+AB125</f>
        <v>45286.229999999996</v>
      </c>
      <c r="AC126" s="9">
        <f t="shared" si="197"/>
        <v>6344.28</v>
      </c>
      <c r="AE126" s="9">
        <f>2240+(25+60)</f>
        <v>2325</v>
      </c>
      <c r="AF126" s="73">
        <f t="shared" si="190"/>
        <v>0.5244755244755245</v>
      </c>
      <c r="AG126" s="9">
        <f>AG125+AE126</f>
        <v>286951.01</v>
      </c>
      <c r="AH126" s="9">
        <f t="shared" si="198"/>
        <v>49989</v>
      </c>
      <c r="AI126" s="62">
        <f>580</f>
        <v>580</v>
      </c>
      <c r="AJ126" s="56">
        <f t="shared" si="191"/>
        <v>4433</v>
      </c>
      <c r="AK126" s="4">
        <f>AJ126+AK125</f>
        <v>405501.24</v>
      </c>
      <c r="AN126" s="9">
        <f t="shared" si="199"/>
        <v>68095.28</v>
      </c>
    </row>
    <row r="127" spans="1:40" ht="12.75">
      <c r="A127" s="1">
        <f t="shared" si="200"/>
        <v>36535</v>
      </c>
      <c r="B127" s="15">
        <f t="shared" si="201"/>
        <v>121</v>
      </c>
      <c r="C127">
        <v>3</v>
      </c>
      <c r="D127" s="8">
        <f t="shared" si="138"/>
        <v>150</v>
      </c>
      <c r="E127" s="52">
        <v>1</v>
      </c>
      <c r="F127" s="8">
        <f t="shared" si="163"/>
        <v>50</v>
      </c>
      <c r="G127" s="52">
        <v>1</v>
      </c>
      <c r="H127" s="8">
        <f t="shared" si="164"/>
        <v>25</v>
      </c>
      <c r="I127">
        <v>16</v>
      </c>
      <c r="J127" s="11">
        <f t="shared" si="143"/>
        <v>240</v>
      </c>
      <c r="K127" s="11"/>
      <c r="L127" s="11"/>
      <c r="M127" s="3">
        <f t="shared" si="192"/>
        <v>659</v>
      </c>
      <c r="N127" s="4">
        <f t="shared" si="193"/>
        <v>465</v>
      </c>
      <c r="O127" s="4">
        <f t="shared" si="194"/>
        <v>12045</v>
      </c>
      <c r="P127" s="16">
        <f t="shared" si="195"/>
        <v>601.7692307692307</v>
      </c>
      <c r="Q127" s="5">
        <v>0</v>
      </c>
      <c r="R127" s="13">
        <f t="shared" si="177"/>
        <v>39351</v>
      </c>
      <c r="S127" s="27" t="s">
        <v>25</v>
      </c>
      <c r="U127" s="9">
        <f>3453</f>
        <v>3453</v>
      </c>
      <c r="V127" s="73">
        <f t="shared" si="188"/>
        <v>0.10251663037663061</v>
      </c>
      <c r="W127" s="9">
        <f>U127</f>
        <v>3453</v>
      </c>
      <c r="X127" s="9">
        <f t="shared" si="196"/>
        <v>12785</v>
      </c>
      <c r="Z127" s="9">
        <f>3032.34+220-(191.34+240+465+414)</f>
        <v>1942</v>
      </c>
      <c r="AA127" s="73">
        <f t="shared" si="189"/>
        <v>0.057656326727893614</v>
      </c>
      <c r="AB127" s="9">
        <f>Z127</f>
        <v>1942</v>
      </c>
      <c r="AC127" s="9">
        <f t="shared" si="197"/>
        <v>8286.279999999999</v>
      </c>
      <c r="AE127" s="9">
        <f>24977+(191.34+240+465+414)</f>
        <v>26287.34</v>
      </c>
      <c r="AF127" s="73">
        <f t="shared" si="190"/>
        <v>0.7804487455444011</v>
      </c>
      <c r="AG127" s="9">
        <f>AE127</f>
        <v>26287.34</v>
      </c>
      <c r="AH127" s="9">
        <f t="shared" si="198"/>
        <v>76276.34</v>
      </c>
      <c r="AI127" s="62">
        <v>2000</v>
      </c>
      <c r="AJ127" s="56">
        <f t="shared" si="191"/>
        <v>33682.34</v>
      </c>
      <c r="AK127" s="4">
        <f>AJ127</f>
        <v>33682.34</v>
      </c>
      <c r="AN127" s="9">
        <f t="shared" si="199"/>
        <v>101777.62</v>
      </c>
    </row>
    <row r="128" spans="1:40" ht="12.75">
      <c r="A128" s="1">
        <f t="shared" si="200"/>
        <v>36542</v>
      </c>
      <c r="B128" s="15">
        <f t="shared" si="201"/>
        <v>122</v>
      </c>
      <c r="C128">
        <v>1</v>
      </c>
      <c r="D128" s="8">
        <f t="shared" si="138"/>
        <v>50</v>
      </c>
      <c r="E128" s="52">
        <v>1</v>
      </c>
      <c r="F128" s="8">
        <f t="shared" si="163"/>
        <v>50</v>
      </c>
      <c r="G128" s="52">
        <v>2</v>
      </c>
      <c r="H128" s="8">
        <f t="shared" si="164"/>
        <v>50</v>
      </c>
      <c r="I128">
        <v>47</v>
      </c>
      <c r="J128" s="11">
        <f t="shared" si="143"/>
        <v>705</v>
      </c>
      <c r="K128" s="11"/>
      <c r="L128" s="11"/>
      <c r="M128" s="3">
        <f t="shared" si="192"/>
        <v>660</v>
      </c>
      <c r="N128" s="4">
        <f t="shared" si="193"/>
        <v>855</v>
      </c>
      <c r="O128" s="4">
        <f t="shared" si="194"/>
        <v>12900</v>
      </c>
      <c r="P128" s="16">
        <f t="shared" si="195"/>
        <v>601.7692307692307</v>
      </c>
      <c r="Q128" s="5">
        <f>(N128/N127)-1</f>
        <v>0.8387096774193548</v>
      </c>
      <c r="R128" s="13">
        <f t="shared" si="177"/>
        <v>39382</v>
      </c>
      <c r="S128" s="15" t="s">
        <v>26</v>
      </c>
      <c r="U128" s="9">
        <f>7083+120</f>
        <v>7203</v>
      </c>
      <c r="V128" s="73">
        <f t="shared" si="188"/>
        <v>0.18585921764184055</v>
      </c>
      <c r="W128" s="9">
        <f aca="true" t="shared" si="202" ref="W128:W134">W127+U128</f>
        <v>10656</v>
      </c>
      <c r="X128" s="9">
        <f t="shared" si="196"/>
        <v>19988</v>
      </c>
      <c r="Z128" s="9">
        <f>3080.64-(279.64+1200+480)-120</f>
        <v>1001</v>
      </c>
      <c r="AA128" s="73">
        <f t="shared" si="189"/>
        <v>0.02582883199493022</v>
      </c>
      <c r="AB128" s="9">
        <f aca="true" t="shared" si="203" ref="AB128:AB134">AB127+Z128</f>
        <v>2943</v>
      </c>
      <c r="AC128" s="9">
        <f t="shared" si="197"/>
        <v>9287.279999999999</v>
      </c>
      <c r="AE128" s="9">
        <f>27341.5+(279.64+1200+480)</f>
        <v>29301.14</v>
      </c>
      <c r="AF128" s="73">
        <f t="shared" si="190"/>
        <v>0.7560581641557739</v>
      </c>
      <c r="AG128" s="9">
        <f aca="true" t="shared" si="204" ref="AG128:AG134">AG127+AE128</f>
        <v>55588.479999999996</v>
      </c>
      <c r="AH128" s="9">
        <f t="shared" si="198"/>
        <v>105577.48</v>
      </c>
      <c r="AI128" s="62">
        <v>1250</v>
      </c>
      <c r="AJ128" s="56">
        <f t="shared" si="191"/>
        <v>38755.14</v>
      </c>
      <c r="AK128" s="4">
        <f aca="true" t="shared" si="205" ref="AK128:AK134">AK127+AJ128</f>
        <v>72437.48</v>
      </c>
      <c r="AN128" s="9">
        <f t="shared" si="199"/>
        <v>140532.76</v>
      </c>
    </row>
    <row r="129" spans="1:40" ht="12.75">
      <c r="A129" s="1">
        <f t="shared" si="200"/>
        <v>36549</v>
      </c>
      <c r="B129" s="15">
        <f t="shared" si="201"/>
        <v>123</v>
      </c>
      <c r="C129">
        <v>0</v>
      </c>
      <c r="D129" s="8">
        <f t="shared" si="138"/>
        <v>0</v>
      </c>
      <c r="E129" s="52">
        <v>4</v>
      </c>
      <c r="F129" s="8">
        <f t="shared" si="163"/>
        <v>200</v>
      </c>
      <c r="G129" s="52">
        <v>2</v>
      </c>
      <c r="H129" s="8">
        <f t="shared" si="164"/>
        <v>50</v>
      </c>
      <c r="I129">
        <v>41</v>
      </c>
      <c r="J129" s="11">
        <f t="shared" si="143"/>
        <v>615</v>
      </c>
      <c r="K129" s="11"/>
      <c r="L129" s="11"/>
      <c r="M129" s="3">
        <f t="shared" si="192"/>
        <v>660</v>
      </c>
      <c r="N129" s="4">
        <f t="shared" si="193"/>
        <v>865</v>
      </c>
      <c r="O129" s="4">
        <f t="shared" si="194"/>
        <v>13765</v>
      </c>
      <c r="P129" s="16">
        <f t="shared" si="195"/>
        <v>601.1923076923077</v>
      </c>
      <c r="Q129" s="5">
        <f>(N129/N128)-1</f>
        <v>0.011695906432748648</v>
      </c>
      <c r="R129" s="13">
        <f t="shared" si="177"/>
        <v>39413</v>
      </c>
      <c r="S129" s="15" t="s">
        <v>27</v>
      </c>
      <c r="U129" s="9">
        <f>2595+60</f>
        <v>2655</v>
      </c>
      <c r="V129" s="73">
        <f t="shared" si="188"/>
        <v>0.0662272304919648</v>
      </c>
      <c r="W129" s="9">
        <f t="shared" si="202"/>
        <v>13311</v>
      </c>
      <c r="X129" s="9">
        <f t="shared" si="196"/>
        <v>22643</v>
      </c>
      <c r="Z129" s="9">
        <f>6363.25+940-(50+240+1980+954)-60</f>
        <v>4019.25</v>
      </c>
      <c r="AA129" s="73">
        <f t="shared" si="189"/>
        <v>0.10025755034080208</v>
      </c>
      <c r="AB129" s="9">
        <f t="shared" si="203"/>
        <v>6962.25</v>
      </c>
      <c r="AC129" s="9">
        <f t="shared" si="197"/>
        <v>13306.529999999999</v>
      </c>
      <c r="AE129" s="9">
        <f>29941+50+240+1980+954</f>
        <v>33165</v>
      </c>
      <c r="AF129" s="73">
        <f t="shared" si="190"/>
        <v>0.8272791334335264</v>
      </c>
      <c r="AG129" s="9">
        <f t="shared" si="204"/>
        <v>88753.48</v>
      </c>
      <c r="AH129" s="9">
        <f t="shared" si="198"/>
        <v>138742.47999999998</v>
      </c>
      <c r="AI129" s="62">
        <v>250</v>
      </c>
      <c r="AJ129" s="56">
        <f t="shared" si="191"/>
        <v>40089.25</v>
      </c>
      <c r="AK129" s="4">
        <f t="shared" si="205"/>
        <v>112526.73</v>
      </c>
      <c r="AN129" s="9">
        <f t="shared" si="199"/>
        <v>180622.01</v>
      </c>
    </row>
    <row r="130" spans="1:40" ht="12.75">
      <c r="A130" s="1">
        <f t="shared" si="200"/>
        <v>36556</v>
      </c>
      <c r="B130" s="15">
        <f t="shared" si="201"/>
        <v>124</v>
      </c>
      <c r="C130">
        <v>1</v>
      </c>
      <c r="D130" s="8">
        <f t="shared" si="138"/>
        <v>50</v>
      </c>
      <c r="E130" s="52">
        <v>0</v>
      </c>
      <c r="F130" s="8">
        <f t="shared" si="163"/>
        <v>0</v>
      </c>
      <c r="G130" s="52">
        <v>3</v>
      </c>
      <c r="H130" s="8">
        <f t="shared" si="164"/>
        <v>75</v>
      </c>
      <c r="I130">
        <v>30</v>
      </c>
      <c r="J130" s="11">
        <f t="shared" si="143"/>
        <v>450</v>
      </c>
      <c r="K130" s="11"/>
      <c r="L130" s="11"/>
      <c r="M130" s="3">
        <f t="shared" si="192"/>
        <v>661</v>
      </c>
      <c r="N130" s="4">
        <f t="shared" si="193"/>
        <v>575</v>
      </c>
      <c r="O130" s="4">
        <f t="shared" si="194"/>
        <v>14340</v>
      </c>
      <c r="P130" s="16">
        <f t="shared" si="195"/>
        <v>598.8846153846154</v>
      </c>
      <c r="Q130" s="5">
        <f>(N130/N129)-1</f>
        <v>-0.33526011560693647</v>
      </c>
      <c r="R130" s="13">
        <f t="shared" si="177"/>
        <v>39444</v>
      </c>
      <c r="S130" s="15" t="s">
        <v>28</v>
      </c>
      <c r="U130" s="9">
        <f>2190+60</f>
        <v>2250</v>
      </c>
      <c r="V130" s="73">
        <f aca="true" t="shared" si="206" ref="V130:V137">U130/AJ130</f>
        <v>0.22697811426582667</v>
      </c>
      <c r="W130" s="9">
        <f t="shared" si="202"/>
        <v>15561</v>
      </c>
      <c r="X130" s="9">
        <f t="shared" si="196"/>
        <v>24893</v>
      </c>
      <c r="Z130" s="9">
        <f>2292.35+150.5-(44.15+30+60)-60</f>
        <v>2248.7</v>
      </c>
      <c r="AA130" s="73">
        <f aca="true" t="shared" si="207" ref="AA130:AA137">Z130/AJ130</f>
        <v>0.22684697135536194</v>
      </c>
      <c r="AB130" s="9">
        <f t="shared" si="203"/>
        <v>9210.95</v>
      </c>
      <c r="AC130" s="9">
        <f t="shared" si="197"/>
        <v>15555.23</v>
      </c>
      <c r="AE130" s="9">
        <f>2780+44.15+30+60</f>
        <v>2914.15</v>
      </c>
      <c r="AF130" s="73">
        <f aca="true" t="shared" si="208" ref="AF130:AF137">AE130/AJ130</f>
        <v>0.2939770096390039</v>
      </c>
      <c r="AG130" s="9">
        <f t="shared" si="204"/>
        <v>91667.62999999999</v>
      </c>
      <c r="AH130" s="9">
        <f t="shared" si="198"/>
        <v>141656.62999999998</v>
      </c>
      <c r="AI130" s="62">
        <v>2500</v>
      </c>
      <c r="AJ130" s="56">
        <f aca="true" t="shared" si="209" ref="AJ130:AJ137">U130+Z130+AE130+AI130</f>
        <v>9912.85</v>
      </c>
      <c r="AK130" s="4">
        <f t="shared" si="205"/>
        <v>122439.58</v>
      </c>
      <c r="AN130" s="9">
        <f t="shared" si="199"/>
        <v>190534.86000000002</v>
      </c>
    </row>
    <row r="131" spans="1:40" ht="12.75">
      <c r="A131" s="1">
        <f t="shared" si="200"/>
        <v>36563</v>
      </c>
      <c r="B131" s="15">
        <f t="shared" si="201"/>
        <v>125</v>
      </c>
      <c r="C131">
        <v>1</v>
      </c>
      <c r="D131" s="8">
        <f t="shared" si="138"/>
        <v>50</v>
      </c>
      <c r="E131" s="52">
        <v>1</v>
      </c>
      <c r="F131" s="8">
        <f t="shared" si="163"/>
        <v>50</v>
      </c>
      <c r="G131" s="52">
        <v>1</v>
      </c>
      <c r="H131" s="8">
        <f t="shared" si="164"/>
        <v>25</v>
      </c>
      <c r="I131">
        <v>16</v>
      </c>
      <c r="J131" s="11">
        <f t="shared" si="143"/>
        <v>240</v>
      </c>
      <c r="K131" s="11"/>
      <c r="L131" s="11"/>
      <c r="M131" s="3">
        <f aca="true" t="shared" si="210" ref="M131:M138">C131+M130</f>
        <v>662</v>
      </c>
      <c r="N131" s="4">
        <f aca="true" t="shared" si="211" ref="N131:N138">D131+J131+F131+H131</f>
        <v>365</v>
      </c>
      <c r="O131" s="4">
        <f aca="true" t="shared" si="212" ref="O131:O138">O130+N131</f>
        <v>14705</v>
      </c>
      <c r="P131" s="16">
        <f aca="true" t="shared" si="213" ref="P131:P138">SUM(N80:N131)/52</f>
        <v>591.8653846153846</v>
      </c>
      <c r="Q131" s="5">
        <f>(N131/N130)-1</f>
        <v>-0.3652173913043478</v>
      </c>
      <c r="R131" s="13">
        <f t="shared" si="177"/>
        <v>39475</v>
      </c>
      <c r="S131" s="40" t="s">
        <v>29</v>
      </c>
      <c r="U131" s="9">
        <f>5120+25+25+220+50+120+100</f>
        <v>5660</v>
      </c>
      <c r="V131" s="73">
        <f t="shared" si="206"/>
        <v>0.14896304874197283</v>
      </c>
      <c r="W131" s="9">
        <f t="shared" si="202"/>
        <v>21221</v>
      </c>
      <c r="X131" s="9">
        <f t="shared" si="196"/>
        <v>30553</v>
      </c>
      <c r="Z131" s="9">
        <f>4852-(50+200+100+120+120+60+430+300+480)-(25+25+220+50+120+100)</f>
        <v>2452</v>
      </c>
      <c r="AA131" s="73">
        <f t="shared" si="207"/>
        <v>0.0645331087482893</v>
      </c>
      <c r="AB131" s="9">
        <f t="shared" si="203"/>
        <v>11662.95</v>
      </c>
      <c r="AC131" s="9">
        <f t="shared" si="197"/>
        <v>18007.23</v>
      </c>
      <c r="AE131" s="9">
        <f>27774+50+200+100+120+120+60+430+300+480</f>
        <v>29634</v>
      </c>
      <c r="AF131" s="73">
        <f t="shared" si="208"/>
        <v>0.7799242025476366</v>
      </c>
      <c r="AG131" s="9">
        <f t="shared" si="204"/>
        <v>121301.62999999999</v>
      </c>
      <c r="AH131" s="9">
        <f t="shared" si="198"/>
        <v>171290.62999999998</v>
      </c>
      <c r="AI131" s="62">
        <v>250</v>
      </c>
      <c r="AJ131" s="56">
        <f t="shared" si="209"/>
        <v>37996</v>
      </c>
      <c r="AK131" s="4">
        <f t="shared" si="205"/>
        <v>160435.58000000002</v>
      </c>
      <c r="AN131" s="9">
        <f t="shared" si="199"/>
        <v>228530.86000000002</v>
      </c>
    </row>
    <row r="132" spans="1:40" ht="12.75">
      <c r="A132" s="1">
        <f t="shared" si="200"/>
        <v>36570</v>
      </c>
      <c r="B132" s="15">
        <f t="shared" si="201"/>
        <v>126</v>
      </c>
      <c r="C132">
        <v>0</v>
      </c>
      <c r="D132" s="8">
        <f t="shared" si="138"/>
        <v>0</v>
      </c>
      <c r="E132" s="52">
        <v>0</v>
      </c>
      <c r="F132" s="8">
        <f t="shared" si="163"/>
        <v>0</v>
      </c>
      <c r="G132" s="52">
        <v>0</v>
      </c>
      <c r="H132" s="8">
        <f t="shared" si="164"/>
        <v>0</v>
      </c>
      <c r="I132">
        <v>0</v>
      </c>
      <c r="J132" s="11">
        <f t="shared" si="143"/>
        <v>0</v>
      </c>
      <c r="K132" s="11"/>
      <c r="L132" s="11"/>
      <c r="M132" s="3">
        <f t="shared" si="210"/>
        <v>662</v>
      </c>
      <c r="N132" s="4">
        <f t="shared" si="211"/>
        <v>0</v>
      </c>
      <c r="O132" s="4">
        <f t="shared" si="212"/>
        <v>14705</v>
      </c>
      <c r="P132" s="16">
        <f t="shared" si="213"/>
        <v>587.3461538461538</v>
      </c>
      <c r="Q132" s="5">
        <f>(N132/N131)-1</f>
        <v>-1</v>
      </c>
      <c r="R132" s="13">
        <f t="shared" si="177"/>
        <v>39506</v>
      </c>
      <c r="S132" s="40" t="s">
        <v>30</v>
      </c>
      <c r="U132" s="9">
        <v>4160</v>
      </c>
      <c r="V132" s="73">
        <f t="shared" si="206"/>
        <v>0.047762022051128554</v>
      </c>
      <c r="W132" s="9">
        <f t="shared" si="202"/>
        <v>25381</v>
      </c>
      <c r="X132" s="9">
        <f t="shared" si="196"/>
        <v>34713</v>
      </c>
      <c r="Z132" s="9">
        <f>19260.49+125-(100+50+1180+1140+150+750+300+100+100+300+300+50+1630+1225+2725+2912.5+900+2575+150+200+795+300)-(60)</f>
        <v>1392.9900000000016</v>
      </c>
      <c r="AA132" s="73">
        <f t="shared" si="207"/>
        <v>0.015993273821394625</v>
      </c>
      <c r="AB132" s="9">
        <f t="shared" si="203"/>
        <v>13055.940000000002</v>
      </c>
      <c r="AC132" s="9">
        <f t="shared" si="197"/>
        <v>19400.22</v>
      </c>
      <c r="AE132" s="9">
        <f>62613+100+50+1180+1140+150+750+300+100+100+300+300+50+1630+1225+2725+2912.5+900+2575+150+200+795+300</f>
        <v>80545.5</v>
      </c>
      <c r="AF132" s="73">
        <f t="shared" si="208"/>
        <v>0.9247634488267247</v>
      </c>
      <c r="AG132" s="9">
        <f t="shared" si="204"/>
        <v>201847.13</v>
      </c>
      <c r="AH132" s="9">
        <f t="shared" si="198"/>
        <v>251836.12999999998</v>
      </c>
      <c r="AI132" s="62">
        <v>1000</v>
      </c>
      <c r="AJ132" s="56">
        <f t="shared" si="209"/>
        <v>87098.49</v>
      </c>
      <c r="AK132" s="4">
        <f t="shared" si="205"/>
        <v>247534.07</v>
      </c>
      <c r="AN132" s="9">
        <f t="shared" si="199"/>
        <v>315629.35000000003</v>
      </c>
    </row>
    <row r="133" spans="1:40" ht="12.75">
      <c r="A133" s="1">
        <f t="shared" si="200"/>
        <v>36577</v>
      </c>
      <c r="B133" s="15">
        <f t="shared" si="201"/>
        <v>127</v>
      </c>
      <c r="C133">
        <v>0</v>
      </c>
      <c r="D133" s="8">
        <f t="shared" si="138"/>
        <v>0</v>
      </c>
      <c r="E133" s="52">
        <v>0</v>
      </c>
      <c r="F133" s="8">
        <f t="shared" si="163"/>
        <v>0</v>
      </c>
      <c r="G133" s="52">
        <v>0</v>
      </c>
      <c r="H133" s="8">
        <f t="shared" si="164"/>
        <v>0</v>
      </c>
      <c r="I133">
        <v>0</v>
      </c>
      <c r="J133" s="11">
        <f t="shared" si="143"/>
        <v>0</v>
      </c>
      <c r="K133" s="11"/>
      <c r="L133" s="11"/>
      <c r="M133" s="3">
        <f t="shared" si="210"/>
        <v>662</v>
      </c>
      <c r="N133" s="4">
        <f t="shared" si="211"/>
        <v>0</v>
      </c>
      <c r="O133" s="4">
        <f t="shared" si="212"/>
        <v>14705</v>
      </c>
      <c r="P133" s="16">
        <f t="shared" si="213"/>
        <v>585.4230769230769</v>
      </c>
      <c r="Q133" s="5">
        <v>0</v>
      </c>
      <c r="R133" s="13">
        <f t="shared" si="177"/>
        <v>39537</v>
      </c>
      <c r="S133" s="40" t="s">
        <v>31</v>
      </c>
      <c r="U133" s="9">
        <f>5840+25+50+120+50</f>
        <v>6085</v>
      </c>
      <c r="V133" s="73">
        <f t="shared" si="206"/>
        <v>0.10021492271840184</v>
      </c>
      <c r="W133" s="9">
        <f t="shared" si="202"/>
        <v>31466</v>
      </c>
      <c r="X133" s="9">
        <f t="shared" si="196"/>
        <v>40798</v>
      </c>
      <c r="Z133" s="9">
        <f>11738.5-(125+150+200+240+300+420+300+620+175+437.5+1300+962.5+1080+962.5+720)-(25+50+120+50)</f>
        <v>3501</v>
      </c>
      <c r="AA133" s="73">
        <f t="shared" si="207"/>
        <v>0.05765857755745683</v>
      </c>
      <c r="AB133" s="9">
        <f t="shared" si="203"/>
        <v>16556.940000000002</v>
      </c>
      <c r="AC133" s="9">
        <f t="shared" si="197"/>
        <v>22901.22</v>
      </c>
      <c r="AE133" s="9">
        <f>42891+125+150+200+240+300+420+300+620+175+437.5+1300+962.5+1080+962.5+720</f>
        <v>50883.5</v>
      </c>
      <c r="AF133" s="73">
        <f t="shared" si="208"/>
        <v>0.8380092062681676</v>
      </c>
      <c r="AG133" s="9">
        <f t="shared" si="204"/>
        <v>252730.63</v>
      </c>
      <c r="AH133" s="9">
        <f t="shared" si="198"/>
        <v>302719.63</v>
      </c>
      <c r="AI133" s="62">
        <v>250</v>
      </c>
      <c r="AJ133" s="56">
        <f t="shared" si="209"/>
        <v>60719.5</v>
      </c>
      <c r="AK133" s="4">
        <f t="shared" si="205"/>
        <v>308253.57</v>
      </c>
      <c r="AN133" s="9">
        <f t="shared" si="199"/>
        <v>376348.85000000003</v>
      </c>
    </row>
    <row r="134" spans="1:40" ht="12.75">
      <c r="A134" s="1">
        <f t="shared" si="200"/>
        <v>36584</v>
      </c>
      <c r="B134" s="15">
        <f t="shared" si="201"/>
        <v>128</v>
      </c>
      <c r="C134">
        <v>0</v>
      </c>
      <c r="D134" s="8">
        <f t="shared" si="138"/>
        <v>0</v>
      </c>
      <c r="E134" s="52">
        <v>1</v>
      </c>
      <c r="F134" s="8">
        <f t="shared" si="163"/>
        <v>50</v>
      </c>
      <c r="G134" s="52">
        <v>1</v>
      </c>
      <c r="H134" s="8">
        <f t="shared" si="164"/>
        <v>25</v>
      </c>
      <c r="I134">
        <v>29</v>
      </c>
      <c r="J134" s="11">
        <f t="shared" si="143"/>
        <v>435</v>
      </c>
      <c r="K134" s="11"/>
      <c r="L134" s="11"/>
      <c r="M134" s="3">
        <f t="shared" si="210"/>
        <v>662</v>
      </c>
      <c r="N134" s="4">
        <f t="shared" si="211"/>
        <v>510</v>
      </c>
      <c r="O134" s="4">
        <f t="shared" si="212"/>
        <v>15215</v>
      </c>
      <c r="P134" s="16">
        <f t="shared" si="213"/>
        <v>591.2884615384615</v>
      </c>
      <c r="Q134" s="5">
        <v>0</v>
      </c>
      <c r="R134" s="13">
        <f t="shared" si="177"/>
        <v>39568</v>
      </c>
      <c r="S134" s="40" t="s">
        <v>32</v>
      </c>
      <c r="U134" s="9">
        <f>4290+60+50</f>
        <v>4400</v>
      </c>
      <c r="V134" s="73">
        <f t="shared" si="206"/>
        <v>0.10988187698224408</v>
      </c>
      <c r="W134" s="9">
        <f t="shared" si="202"/>
        <v>35866</v>
      </c>
      <c r="X134" s="9">
        <f t="shared" si="196"/>
        <v>45198</v>
      </c>
      <c r="Z134" s="9">
        <f>9367-(175+150+440+120+492.5+240+342.5+25+510+350+500+525+450+175+525+150+360+150)-750-1000-60-50</f>
        <v>1827</v>
      </c>
      <c r="AA134" s="73">
        <f t="shared" si="207"/>
        <v>0.045625952101490896</v>
      </c>
      <c r="AB134" s="9">
        <f t="shared" si="203"/>
        <v>18383.940000000002</v>
      </c>
      <c r="AC134" s="9">
        <f t="shared" si="197"/>
        <v>24728.22</v>
      </c>
      <c r="AE134" s="9">
        <f>26136+175+150+440+120+492.5+240+342.5+25+510+350+500+525+450+175+525+150+360+150</f>
        <v>31816</v>
      </c>
      <c r="AF134" s="73">
        <f t="shared" si="208"/>
        <v>0.7945458631970631</v>
      </c>
      <c r="AG134" s="9">
        <f t="shared" si="204"/>
        <v>284546.63</v>
      </c>
      <c r="AH134" s="9">
        <f t="shared" si="198"/>
        <v>334535.63</v>
      </c>
      <c r="AI134" s="62">
        <f>250+1000+750</f>
        <v>2000</v>
      </c>
      <c r="AJ134" s="56">
        <f t="shared" si="209"/>
        <v>40043</v>
      </c>
      <c r="AK134" s="4">
        <f t="shared" si="205"/>
        <v>348296.57</v>
      </c>
      <c r="AN134" s="9">
        <f t="shared" si="199"/>
        <v>416391.85000000003</v>
      </c>
    </row>
    <row r="135" spans="1:40" ht="12.75">
      <c r="A135" s="1">
        <f t="shared" si="200"/>
        <v>36591</v>
      </c>
      <c r="B135" s="15">
        <f t="shared" si="201"/>
        <v>129</v>
      </c>
      <c r="C135">
        <v>0</v>
      </c>
      <c r="D135" s="8">
        <f t="shared" si="138"/>
        <v>0</v>
      </c>
      <c r="E135" s="52">
        <v>0</v>
      </c>
      <c r="F135" s="8">
        <f t="shared" si="163"/>
        <v>0</v>
      </c>
      <c r="G135" s="52">
        <v>0</v>
      </c>
      <c r="H135" s="8">
        <f t="shared" si="164"/>
        <v>0</v>
      </c>
      <c r="I135">
        <v>0</v>
      </c>
      <c r="J135" s="11">
        <f t="shared" si="143"/>
        <v>0</v>
      </c>
      <c r="K135" s="11"/>
      <c r="L135" s="11"/>
      <c r="M135" s="3">
        <f t="shared" si="210"/>
        <v>662</v>
      </c>
      <c r="N135" s="4">
        <f t="shared" si="211"/>
        <v>0</v>
      </c>
      <c r="O135" s="4">
        <f t="shared" si="212"/>
        <v>15215</v>
      </c>
      <c r="P135" s="16">
        <f t="shared" si="213"/>
        <v>573.1153846153846</v>
      </c>
      <c r="Q135" s="5">
        <v>0</v>
      </c>
      <c r="R135" s="13">
        <f t="shared" si="177"/>
        <v>39599</v>
      </c>
      <c r="S135" s="40" t="s">
        <v>33</v>
      </c>
      <c r="U135" s="9">
        <f>4060+25+100+50+240+50</f>
        <v>4525</v>
      </c>
      <c r="V135" s="73">
        <f t="shared" si="206"/>
        <v>0.06748292421033794</v>
      </c>
      <c r="W135" s="9">
        <f>W134+U135</f>
        <v>40391</v>
      </c>
      <c r="X135" s="9">
        <f>X134+U135</f>
        <v>49723</v>
      </c>
      <c r="Z135" s="9">
        <f>14074+910-(325+600+75+300+300+100+100+100+87.5+700+700+525+1750+1200+1350+1200+840+305+25)-(250+1500+250)-(25+100+50+240+50)</f>
        <v>1936.5</v>
      </c>
      <c r="AA135" s="73">
        <f t="shared" si="207"/>
        <v>0.028879708891341307</v>
      </c>
      <c r="AB135" s="9">
        <f>AB134+Z135</f>
        <v>20320.440000000002</v>
      </c>
      <c r="AC135" s="9">
        <f>AC134+Z135</f>
        <v>26664.72</v>
      </c>
      <c r="AE135" s="9">
        <f>47760+325+600+75+300+300+100+100+100+87.5+700+700+525+1750+1200+1350+1200+840+305+25</f>
        <v>58342.5</v>
      </c>
      <c r="AF135" s="73">
        <f t="shared" si="208"/>
        <v>0.8700823217108599</v>
      </c>
      <c r="AG135" s="9">
        <f>AG134+AE135</f>
        <v>342889.13</v>
      </c>
      <c r="AH135" s="9">
        <f>AH134+AE135</f>
        <v>392878.13</v>
      </c>
      <c r="AI135" s="62">
        <f>250+250+1500+250</f>
        <v>2250</v>
      </c>
      <c r="AJ135" s="56">
        <f t="shared" si="209"/>
        <v>67054</v>
      </c>
      <c r="AK135" s="4">
        <f>AK134+AJ135</f>
        <v>415350.57</v>
      </c>
      <c r="AN135" s="9">
        <f>AN134+AJ135</f>
        <v>483445.85000000003</v>
      </c>
    </row>
    <row r="136" spans="1:40" ht="12.75">
      <c r="A136" s="1">
        <f t="shared" si="200"/>
        <v>36598</v>
      </c>
      <c r="B136" s="15">
        <f t="shared" si="201"/>
        <v>130</v>
      </c>
      <c r="C136">
        <v>5</v>
      </c>
      <c r="D136" s="8">
        <f>C136*80</f>
        <v>400</v>
      </c>
      <c r="E136" s="52">
        <v>1</v>
      </c>
      <c r="F136" s="8">
        <f>E136*60</f>
        <v>60</v>
      </c>
      <c r="G136" s="52">
        <v>4</v>
      </c>
      <c r="H136" s="8">
        <f t="shared" si="164"/>
        <v>100</v>
      </c>
      <c r="I136">
        <v>52</v>
      </c>
      <c r="J136" s="11">
        <f t="shared" si="143"/>
        <v>780</v>
      </c>
      <c r="K136" s="11"/>
      <c r="L136" s="11"/>
      <c r="M136" s="3">
        <f t="shared" si="210"/>
        <v>667</v>
      </c>
      <c r="N136" s="4">
        <f t="shared" si="211"/>
        <v>1340</v>
      </c>
      <c r="O136" s="4">
        <f t="shared" si="212"/>
        <v>16555</v>
      </c>
      <c r="P136" s="16">
        <f t="shared" si="213"/>
        <v>590.9038461538462</v>
      </c>
      <c r="Q136" s="5">
        <v>0</v>
      </c>
      <c r="R136" s="13">
        <f>R135+20</f>
        <v>39619</v>
      </c>
      <c r="S136" s="40" t="s">
        <v>34</v>
      </c>
      <c r="U136" s="9">
        <f>2480+100</f>
        <v>2580</v>
      </c>
      <c r="V136" s="73">
        <f t="shared" si="206"/>
        <v>0.16158326548506294</v>
      </c>
      <c r="W136" s="9">
        <f>W135+U136</f>
        <v>42971</v>
      </c>
      <c r="X136" s="9">
        <f>U136</f>
        <v>2580</v>
      </c>
      <c r="Z136" s="9">
        <f>5522+55-(75+150+150+300+110+30+400+87.5+350+750+700+150+700+30+100+180+85)-100</f>
        <v>1129.5</v>
      </c>
      <c r="AA136" s="73">
        <f t="shared" si="207"/>
        <v>0.0707396505292165</v>
      </c>
      <c r="AB136" s="9">
        <f>AB135+Z136</f>
        <v>21449.940000000002</v>
      </c>
      <c r="AC136" s="9">
        <f>Z136</f>
        <v>1129.5</v>
      </c>
      <c r="AE136" s="9">
        <f>7910+75+150+150+300+110+30+400+87.5+350+750+700+150+700+30+100+180+85</f>
        <v>12257.5</v>
      </c>
      <c r="AF136" s="73">
        <f t="shared" si="208"/>
        <v>0.7676770839857205</v>
      </c>
      <c r="AG136" s="9">
        <f>AG135+AE136</f>
        <v>355146.63</v>
      </c>
      <c r="AH136" s="9">
        <f>AE136</f>
        <v>12257.5</v>
      </c>
      <c r="AI136" s="62"/>
      <c r="AJ136" s="56">
        <f t="shared" si="209"/>
        <v>15967</v>
      </c>
      <c r="AK136" s="4">
        <f>AK135+AJ136</f>
        <v>431317.57</v>
      </c>
      <c r="AN136" s="9">
        <f>AJ136</f>
        <v>15967</v>
      </c>
    </row>
    <row r="137" spans="1:40" ht="12.75">
      <c r="A137" s="1">
        <f t="shared" si="200"/>
        <v>36605</v>
      </c>
      <c r="B137" s="15">
        <f t="shared" si="201"/>
        <v>131</v>
      </c>
      <c r="C137">
        <v>8</v>
      </c>
      <c r="D137" s="8">
        <v>2045</v>
      </c>
      <c r="E137" s="52">
        <v>0</v>
      </c>
      <c r="F137" s="8">
        <f t="shared" si="163"/>
        <v>0</v>
      </c>
      <c r="G137" s="52">
        <v>0</v>
      </c>
      <c r="H137" s="8">
        <f t="shared" si="164"/>
        <v>0</v>
      </c>
      <c r="I137">
        <v>8</v>
      </c>
      <c r="J137" s="11">
        <f t="shared" si="143"/>
        <v>120</v>
      </c>
      <c r="K137" s="11"/>
      <c r="L137" s="11"/>
      <c r="M137" s="3">
        <f t="shared" si="210"/>
        <v>675</v>
      </c>
      <c r="N137" s="4">
        <f t="shared" si="211"/>
        <v>2165</v>
      </c>
      <c r="O137" s="4">
        <f t="shared" si="212"/>
        <v>18720</v>
      </c>
      <c r="P137" s="16">
        <f t="shared" si="213"/>
        <v>630.6153846153846</v>
      </c>
      <c r="Q137" s="5">
        <v>0</v>
      </c>
      <c r="R137" s="13">
        <f t="shared" si="177"/>
        <v>39650</v>
      </c>
      <c r="S137" s="40" t="s">
        <v>35</v>
      </c>
      <c r="U137" s="9">
        <f>6620+100+50+60+50</f>
        <v>6880</v>
      </c>
      <c r="V137" s="73">
        <f t="shared" si="206"/>
        <v>0.116433801883486</v>
      </c>
      <c r="W137" s="9">
        <f>W136+U137</f>
        <v>49851</v>
      </c>
      <c r="X137" s="9">
        <f aca="true" t="shared" si="214" ref="X137:X143">X136+U137</f>
        <v>9460</v>
      </c>
      <c r="Z137" s="9">
        <f>20996.37+125-(450+525+240+1200+120+1350+50+690+1182.5+778.75+1725+1882.5+690+1882.5+50+255+50+525)-(100+50+60+50)-(500+250+4000)</f>
        <v>2465.119999999999</v>
      </c>
      <c r="AA137" s="73">
        <f t="shared" si="207"/>
        <v>0.04171850199113646</v>
      </c>
      <c r="AB137" s="9">
        <f>AB136+Z137</f>
        <v>23915.06</v>
      </c>
      <c r="AC137" s="9">
        <f aca="true" t="shared" si="215" ref="AC137:AC143">AC136+Z137</f>
        <v>3594.619999999999</v>
      </c>
      <c r="AE137" s="9">
        <f>30848+450+525+240+1200+120+1350+50+690+1182.5+778.75+1725+1882.5+690+1882.5+50+255+50+525</f>
        <v>44494.25</v>
      </c>
      <c r="AF137" s="73">
        <f t="shared" si="208"/>
        <v>0.7529992281183571</v>
      </c>
      <c r="AG137" s="9">
        <f>AG136+AE137</f>
        <v>399640.88</v>
      </c>
      <c r="AH137" s="9">
        <f aca="true" t="shared" si="216" ref="AH137:AH143">AH136+AE137</f>
        <v>56751.75</v>
      </c>
      <c r="AI137" s="62">
        <f>500+500+250+4000</f>
        <v>5250</v>
      </c>
      <c r="AJ137" s="56">
        <f t="shared" si="209"/>
        <v>59089.369999999995</v>
      </c>
      <c r="AK137" s="4">
        <f>AK136+AJ137</f>
        <v>490406.94</v>
      </c>
      <c r="AN137" s="9">
        <f aca="true" t="shared" si="217" ref="AN137:AN143">AN136+AJ137</f>
        <v>75056.37</v>
      </c>
    </row>
    <row r="138" spans="1:40" ht="12.75">
      <c r="A138" s="1">
        <f t="shared" si="200"/>
        <v>36612</v>
      </c>
      <c r="B138" s="15">
        <f t="shared" si="201"/>
        <v>132</v>
      </c>
      <c r="C138">
        <v>0</v>
      </c>
      <c r="D138" s="8">
        <f t="shared" si="138"/>
        <v>0</v>
      </c>
      <c r="E138" s="52">
        <v>0</v>
      </c>
      <c r="F138" s="8">
        <f t="shared" si="163"/>
        <v>0</v>
      </c>
      <c r="G138" s="52">
        <v>0</v>
      </c>
      <c r="H138" s="8">
        <f t="shared" si="164"/>
        <v>0</v>
      </c>
      <c r="I138">
        <v>0</v>
      </c>
      <c r="J138" s="11">
        <f t="shared" si="143"/>
        <v>0</v>
      </c>
      <c r="K138" s="11"/>
      <c r="L138" s="11"/>
      <c r="M138" s="3">
        <f t="shared" si="210"/>
        <v>675</v>
      </c>
      <c r="N138" s="4">
        <f t="shared" si="211"/>
        <v>0</v>
      </c>
      <c r="O138" s="4">
        <f t="shared" si="212"/>
        <v>18720</v>
      </c>
      <c r="P138" s="16">
        <f t="shared" si="213"/>
        <v>630.6153846153846</v>
      </c>
      <c r="Q138" s="5">
        <v>0</v>
      </c>
      <c r="R138" s="13">
        <f t="shared" si="177"/>
        <v>39681</v>
      </c>
      <c r="S138" s="40" t="s">
        <v>36</v>
      </c>
      <c r="U138" s="9">
        <f>1190+60+100</f>
        <v>1350</v>
      </c>
      <c r="V138" s="73">
        <f aca="true" t="shared" si="218" ref="V138:V143">U138/AJ138</f>
        <v>0.3409090909090909</v>
      </c>
      <c r="W138" s="9">
        <f>W137+U138</f>
        <v>51201</v>
      </c>
      <c r="X138" s="9">
        <f t="shared" si="214"/>
        <v>10810</v>
      </c>
      <c r="Z138" s="9">
        <f>190-30-60-100</f>
        <v>0</v>
      </c>
      <c r="AA138" s="73">
        <f aca="true" t="shared" si="219" ref="AA138:AA143">Z138/AJ138</f>
        <v>0</v>
      </c>
      <c r="AB138" s="9">
        <f>AB137+Z138</f>
        <v>23915.06</v>
      </c>
      <c r="AC138" s="9">
        <f t="shared" si="215"/>
        <v>3594.619999999999</v>
      </c>
      <c r="AE138" s="9">
        <f>2580+30</f>
        <v>2610</v>
      </c>
      <c r="AF138" s="73">
        <f aca="true" t="shared" si="220" ref="AF138:AF143">AE138/AJ138</f>
        <v>0.6590909090909091</v>
      </c>
      <c r="AG138" s="9">
        <f>AG137+AE138</f>
        <v>402250.88</v>
      </c>
      <c r="AH138" s="9">
        <f t="shared" si="216"/>
        <v>59361.75</v>
      </c>
      <c r="AI138" s="62"/>
      <c r="AJ138" s="56">
        <f aca="true" t="shared" si="221" ref="AJ138:AJ143">U138+Z138+AE138+AI138</f>
        <v>3960</v>
      </c>
      <c r="AK138" s="4">
        <f>AK137+AJ138</f>
        <v>494366.94</v>
      </c>
      <c r="AN138" s="9">
        <f t="shared" si="217"/>
        <v>79016.37</v>
      </c>
    </row>
    <row r="139" spans="1:40" ht="12.75">
      <c r="A139" s="1">
        <f t="shared" si="200"/>
        <v>36619</v>
      </c>
      <c r="B139" s="15">
        <f t="shared" si="201"/>
        <v>133</v>
      </c>
      <c r="C139">
        <v>0</v>
      </c>
      <c r="D139" s="8">
        <v>400</v>
      </c>
      <c r="E139" s="52">
        <v>0</v>
      </c>
      <c r="F139" s="8">
        <f t="shared" si="163"/>
        <v>0</v>
      </c>
      <c r="G139" s="52">
        <v>0</v>
      </c>
      <c r="H139" s="8">
        <f t="shared" si="164"/>
        <v>0</v>
      </c>
      <c r="I139">
        <v>0</v>
      </c>
      <c r="J139" s="11">
        <v>1911</v>
      </c>
      <c r="K139" s="11"/>
      <c r="L139" s="11"/>
      <c r="M139" s="3">
        <f aca="true" t="shared" si="222" ref="M139:M145">C139+M138</f>
        <v>675</v>
      </c>
      <c r="N139" s="4">
        <f aca="true" t="shared" si="223" ref="N139:N145">D139+J139+F139+H139</f>
        <v>2311</v>
      </c>
      <c r="O139" s="4">
        <f aca="true" t="shared" si="224" ref="O139:O145">O138+N139</f>
        <v>21031</v>
      </c>
      <c r="P139" s="16">
        <f aca="true" t="shared" si="225" ref="P139:P145">SUM(N88:N139)/52</f>
        <v>675.0576923076923</v>
      </c>
      <c r="Q139" s="5">
        <v>0</v>
      </c>
      <c r="R139" s="13">
        <f t="shared" si="177"/>
        <v>39712</v>
      </c>
      <c r="S139" s="27" t="s">
        <v>25</v>
      </c>
      <c r="U139" s="9">
        <v>3680</v>
      </c>
      <c r="V139" s="73">
        <f t="shared" si="218"/>
        <v>0.06958100136136741</v>
      </c>
      <c r="W139" s="9">
        <f>U139</f>
        <v>3680</v>
      </c>
      <c r="X139" s="9">
        <f t="shared" si="214"/>
        <v>14490</v>
      </c>
      <c r="Z139" s="9">
        <f>7935.5-(400+360+360+100+50+100+400+350+500+525+900+350+555+30+30+310)</f>
        <v>2615.5</v>
      </c>
      <c r="AA139" s="73">
        <f t="shared" si="219"/>
        <v>0.04945356224474361</v>
      </c>
      <c r="AB139" s="9">
        <f>Z139</f>
        <v>2615.5</v>
      </c>
      <c r="AC139" s="9">
        <f t="shared" si="215"/>
        <v>6210.119999999999</v>
      </c>
      <c r="AE139" s="9">
        <f>41272.5+(400+360+360+100+50+100+400+350+500+525+900+350+555+30+30+310)</f>
        <v>46592.5</v>
      </c>
      <c r="AF139" s="73">
        <f t="shared" si="220"/>
        <v>0.880965436393889</v>
      </c>
      <c r="AG139" s="9">
        <f>AE139</f>
        <v>46592.5</v>
      </c>
      <c r="AH139" s="9">
        <f t="shared" si="216"/>
        <v>105954.25</v>
      </c>
      <c r="AI139" s="62"/>
      <c r="AJ139" s="56">
        <f t="shared" si="221"/>
        <v>52888</v>
      </c>
      <c r="AK139" s="4">
        <f>AJ139</f>
        <v>52888</v>
      </c>
      <c r="AN139" s="9">
        <f t="shared" si="217"/>
        <v>131904.37</v>
      </c>
    </row>
    <row r="140" spans="1:40" ht="12.75">
      <c r="A140" s="1">
        <f t="shared" si="200"/>
        <v>36626</v>
      </c>
      <c r="B140" s="15">
        <f t="shared" si="201"/>
        <v>134</v>
      </c>
      <c r="C140">
        <v>0</v>
      </c>
      <c r="D140" s="8">
        <v>3130</v>
      </c>
      <c r="E140" s="52">
        <v>0</v>
      </c>
      <c r="F140" s="8">
        <f t="shared" si="163"/>
        <v>0</v>
      </c>
      <c r="G140" s="52">
        <v>0</v>
      </c>
      <c r="H140" s="8">
        <f t="shared" si="164"/>
        <v>0</v>
      </c>
      <c r="I140">
        <v>73</v>
      </c>
      <c r="J140" s="11">
        <f t="shared" si="143"/>
        <v>1095</v>
      </c>
      <c r="K140" s="11"/>
      <c r="L140" s="11"/>
      <c r="M140" s="3">
        <f t="shared" si="222"/>
        <v>675</v>
      </c>
      <c r="N140" s="4">
        <f t="shared" si="223"/>
        <v>4225</v>
      </c>
      <c r="O140" s="4">
        <f t="shared" si="224"/>
        <v>25256</v>
      </c>
      <c r="P140" s="16">
        <f t="shared" si="225"/>
        <v>749.5769230769231</v>
      </c>
      <c r="Q140" s="5">
        <v>0</v>
      </c>
      <c r="R140" s="13">
        <f t="shared" si="177"/>
        <v>39743</v>
      </c>
      <c r="S140" s="15" t="s">
        <v>26</v>
      </c>
      <c r="U140" s="9">
        <f>3390</f>
        <v>3390</v>
      </c>
      <c r="V140" s="73">
        <f t="shared" si="218"/>
        <v>0.06577734659228716</v>
      </c>
      <c r="W140" s="9">
        <f>W139+U140</f>
        <v>7070</v>
      </c>
      <c r="X140" s="9">
        <f t="shared" si="214"/>
        <v>17880</v>
      </c>
      <c r="Z140" s="9">
        <f>11722.5+110-(150+200+240+300+120+300+60+50+30+760+875+437.5+1400+875+1050+700+30+100+660+85+50+420)</f>
        <v>2940</v>
      </c>
      <c r="AA140" s="73">
        <f t="shared" si="219"/>
        <v>0.05704584040747029</v>
      </c>
      <c r="AB140" s="9">
        <f>AB139+Z140</f>
        <v>5555.5</v>
      </c>
      <c r="AC140" s="9">
        <f t="shared" si="215"/>
        <v>9150.119999999999</v>
      </c>
      <c r="AE140" s="9">
        <f>36315+(150+200+240+300+120+300+60+50+30+760+875+437.5+1400+875+1050+700+30+100+660+85+50+420)</f>
        <v>45207.5</v>
      </c>
      <c r="AF140" s="73">
        <f t="shared" si="220"/>
        <v>0.8771768130002425</v>
      </c>
      <c r="AG140" s="9">
        <f>AG139+AE140</f>
        <v>91800</v>
      </c>
      <c r="AH140" s="9">
        <f t="shared" si="216"/>
        <v>151161.75</v>
      </c>
      <c r="AI140" s="62"/>
      <c r="AJ140" s="56">
        <f t="shared" si="221"/>
        <v>51537.5</v>
      </c>
      <c r="AK140" s="4">
        <f>AK139+AJ140</f>
        <v>104425.5</v>
      </c>
      <c r="AN140" s="9">
        <f t="shared" si="217"/>
        <v>183441.87</v>
      </c>
    </row>
    <row r="141" spans="1:40" ht="12.75">
      <c r="A141" s="1">
        <f t="shared" si="200"/>
        <v>36633</v>
      </c>
      <c r="B141" s="15">
        <f t="shared" si="201"/>
        <v>135</v>
      </c>
      <c r="C141">
        <v>0</v>
      </c>
      <c r="D141" s="8">
        <v>1645</v>
      </c>
      <c r="E141" s="52">
        <v>0</v>
      </c>
      <c r="F141" s="8">
        <f t="shared" si="163"/>
        <v>0</v>
      </c>
      <c r="G141" s="52">
        <v>0</v>
      </c>
      <c r="H141" s="8">
        <f t="shared" si="164"/>
        <v>0</v>
      </c>
      <c r="I141">
        <v>0</v>
      </c>
      <c r="J141" s="11">
        <f t="shared" si="143"/>
        <v>0</v>
      </c>
      <c r="K141" s="11"/>
      <c r="L141" s="11"/>
      <c r="M141" s="3">
        <f t="shared" si="222"/>
        <v>675</v>
      </c>
      <c r="N141" s="4">
        <f t="shared" si="223"/>
        <v>1645</v>
      </c>
      <c r="O141" s="4">
        <f t="shared" si="224"/>
        <v>26901</v>
      </c>
      <c r="P141" s="16">
        <f t="shared" si="225"/>
        <v>781.2115384615385</v>
      </c>
      <c r="Q141" s="5">
        <v>0</v>
      </c>
      <c r="R141" s="13">
        <f t="shared" si="177"/>
        <v>39774</v>
      </c>
      <c r="S141" s="15" t="s">
        <v>27</v>
      </c>
      <c r="U141" s="9">
        <f>3400+(25+50)</f>
        <v>3475</v>
      </c>
      <c r="V141" s="73">
        <f t="shared" si="218"/>
        <v>0.08423987151904488</v>
      </c>
      <c r="W141" s="9">
        <f>W140+U141</f>
        <v>10545</v>
      </c>
      <c r="X141" s="9">
        <f t="shared" si="214"/>
        <v>21355</v>
      </c>
      <c r="Z141" s="9">
        <f>6602.25-(400+240+120+100+25+300+157.5+253.75+250+682.5+450+385.5+150+315+100+210)-(25+50)</f>
        <v>2388</v>
      </c>
      <c r="AA141" s="73">
        <f t="shared" si="219"/>
        <v>0.057889154874094725</v>
      </c>
      <c r="AB141" s="9">
        <f>AB140+Z141</f>
        <v>7943.5</v>
      </c>
      <c r="AC141" s="9">
        <f t="shared" si="215"/>
        <v>11538.119999999999</v>
      </c>
      <c r="AE141" s="9">
        <f>30999+(400+240+120+100+25+300+157.5+253.75+250+682.5+450+385.5+150+315+100+210)</f>
        <v>35138.25</v>
      </c>
      <c r="AF141" s="73">
        <f t="shared" si="220"/>
        <v>0.8518105511954184</v>
      </c>
      <c r="AG141" s="9">
        <f>AG140+AE141</f>
        <v>126938.25</v>
      </c>
      <c r="AH141" s="9">
        <f t="shared" si="216"/>
        <v>186300</v>
      </c>
      <c r="AI141" s="62">
        <v>250</v>
      </c>
      <c r="AJ141" s="56">
        <f t="shared" si="221"/>
        <v>41251.25</v>
      </c>
      <c r="AK141" s="4">
        <f>AK140+AJ141</f>
        <v>145676.75</v>
      </c>
      <c r="AN141" s="9">
        <f t="shared" si="217"/>
        <v>224693.12</v>
      </c>
    </row>
    <row r="142" spans="1:40" ht="12.75">
      <c r="A142" s="1">
        <f t="shared" si="200"/>
        <v>36640</v>
      </c>
      <c r="B142" s="15">
        <f t="shared" si="201"/>
        <v>136</v>
      </c>
      <c r="C142">
        <v>0</v>
      </c>
      <c r="D142" s="8">
        <v>770</v>
      </c>
      <c r="E142" s="52">
        <v>0</v>
      </c>
      <c r="F142" s="8">
        <f t="shared" si="163"/>
        <v>0</v>
      </c>
      <c r="G142" s="52">
        <v>0</v>
      </c>
      <c r="H142" s="8">
        <f t="shared" si="164"/>
        <v>0</v>
      </c>
      <c r="I142">
        <v>6</v>
      </c>
      <c r="J142" s="11">
        <f t="shared" si="143"/>
        <v>90</v>
      </c>
      <c r="K142" s="11"/>
      <c r="L142" s="11"/>
      <c r="M142" s="3">
        <f t="shared" si="222"/>
        <v>675</v>
      </c>
      <c r="N142" s="4">
        <f t="shared" si="223"/>
        <v>860</v>
      </c>
      <c r="O142" s="4">
        <f t="shared" si="224"/>
        <v>27761</v>
      </c>
      <c r="P142" s="16">
        <f t="shared" si="225"/>
        <v>793.9038461538462</v>
      </c>
      <c r="Q142" s="5">
        <v>0</v>
      </c>
      <c r="R142" s="13">
        <f t="shared" si="177"/>
        <v>39805</v>
      </c>
      <c r="S142" s="15" t="s">
        <v>28</v>
      </c>
      <c r="U142" s="9">
        <f>2120</f>
        <v>2120</v>
      </c>
      <c r="V142" s="73">
        <f t="shared" si="218"/>
        <v>0.04707502026224339</v>
      </c>
      <c r="W142" s="9">
        <f>W141+U142</f>
        <v>12665</v>
      </c>
      <c r="X142" s="9">
        <f t="shared" si="214"/>
        <v>23475</v>
      </c>
      <c r="Z142" s="9">
        <f>16107+675-(75+220+300+300+100+210+700+175+250+350+600+175+240+90)-(4250+1000+250+5000)</f>
        <v>2497</v>
      </c>
      <c r="AA142" s="73">
        <f t="shared" si="219"/>
        <v>0.05544637999755743</v>
      </c>
      <c r="AB142" s="9">
        <f>AB141+Z142</f>
        <v>10440.5</v>
      </c>
      <c r="AC142" s="9">
        <f t="shared" si="215"/>
        <v>14035.119999999999</v>
      </c>
      <c r="AE142" s="9">
        <f>26132.5+(75+220+300+300+100+210+700+175+250+350+600+175+240+90)</f>
        <v>29917.5</v>
      </c>
      <c r="AF142" s="73">
        <f t="shared" si="220"/>
        <v>0.664324018252673</v>
      </c>
      <c r="AG142" s="9">
        <f>AG141+AE142</f>
        <v>156855.75</v>
      </c>
      <c r="AH142" s="9">
        <f t="shared" si="216"/>
        <v>216217.5</v>
      </c>
      <c r="AI142" s="62">
        <f>(4250+1000+250+5000)</f>
        <v>10500</v>
      </c>
      <c r="AJ142" s="56">
        <f t="shared" si="221"/>
        <v>45034.5</v>
      </c>
      <c r="AK142" s="4">
        <f>AK141+AJ142</f>
        <v>190711.25</v>
      </c>
      <c r="AN142" s="9">
        <f t="shared" si="217"/>
        <v>269727.62</v>
      </c>
    </row>
    <row r="143" spans="1:40" ht="12.75">
      <c r="A143" s="1">
        <f t="shared" si="200"/>
        <v>36647</v>
      </c>
      <c r="B143" s="15">
        <f t="shared" si="201"/>
        <v>137</v>
      </c>
      <c r="C143">
        <v>0</v>
      </c>
      <c r="D143" s="8">
        <v>790</v>
      </c>
      <c r="E143" s="52">
        <v>0</v>
      </c>
      <c r="F143" s="8">
        <f t="shared" si="163"/>
        <v>0</v>
      </c>
      <c r="G143" s="52">
        <v>0</v>
      </c>
      <c r="H143" s="8">
        <f t="shared" si="164"/>
        <v>0</v>
      </c>
      <c r="I143">
        <v>23</v>
      </c>
      <c r="J143" s="11">
        <f t="shared" si="143"/>
        <v>345</v>
      </c>
      <c r="K143" s="11"/>
      <c r="L143" s="11"/>
      <c r="M143" s="3">
        <f t="shared" si="222"/>
        <v>675</v>
      </c>
      <c r="N143" s="4">
        <f t="shared" si="223"/>
        <v>1135</v>
      </c>
      <c r="O143" s="4">
        <f t="shared" si="224"/>
        <v>28896</v>
      </c>
      <c r="P143" s="16">
        <f t="shared" si="225"/>
        <v>808.9038461538462</v>
      </c>
      <c r="Q143" s="5">
        <v>0</v>
      </c>
      <c r="R143" s="13">
        <f t="shared" si="177"/>
        <v>39836</v>
      </c>
      <c r="S143" s="40" t="s">
        <v>29</v>
      </c>
      <c r="U143" s="9">
        <f>5250+(50+100+60)</f>
        <v>5460</v>
      </c>
      <c r="V143" s="73">
        <f t="shared" si="218"/>
        <v>0.11853588641396379</v>
      </c>
      <c r="W143" s="9">
        <f>W142+U143</f>
        <v>18125</v>
      </c>
      <c r="X143" s="9">
        <f t="shared" si="214"/>
        <v>28935</v>
      </c>
      <c r="Z143" s="9">
        <f>7953+55-(50+100+60)-(100+50+100+100+50+50+400+325+350+1000+525+600+525+150+300+150+180)</f>
        <v>2843</v>
      </c>
      <c r="AA143" s="73">
        <f t="shared" si="219"/>
        <v>0.061721158438626196</v>
      </c>
      <c r="AB143" s="9">
        <f>AB142+Z143</f>
        <v>13283.5</v>
      </c>
      <c r="AC143" s="9">
        <f t="shared" si="215"/>
        <v>16878.12</v>
      </c>
      <c r="AE143" s="9">
        <f>32804+(100+50+100+100+50+50+400+325+350+1000+525+600+525+150+300+150+180)</f>
        <v>37759</v>
      </c>
      <c r="AF143" s="73">
        <f t="shared" si="220"/>
        <v>0.81974295514741</v>
      </c>
      <c r="AG143" s="9">
        <f>AG142+AE143</f>
        <v>194614.75</v>
      </c>
      <c r="AH143" s="9">
        <f t="shared" si="216"/>
        <v>253976.5</v>
      </c>
      <c r="AI143" s="62"/>
      <c r="AJ143" s="56">
        <f t="shared" si="221"/>
        <v>46062</v>
      </c>
      <c r="AK143" s="4">
        <f>AK142+AJ143</f>
        <v>236773.25</v>
      </c>
      <c r="AN143" s="9">
        <f t="shared" si="217"/>
        <v>315789.62</v>
      </c>
    </row>
    <row r="144" spans="1:40" ht="12.75">
      <c r="A144" s="1">
        <f t="shared" si="200"/>
        <v>36654</v>
      </c>
      <c r="B144" s="15">
        <f t="shared" si="201"/>
        <v>138</v>
      </c>
      <c r="C144">
        <v>0</v>
      </c>
      <c r="D144" s="8">
        <v>0</v>
      </c>
      <c r="E144" s="52">
        <v>0</v>
      </c>
      <c r="F144" s="8">
        <f t="shared" si="163"/>
        <v>0</v>
      </c>
      <c r="G144" s="52">
        <v>0</v>
      </c>
      <c r="H144" s="8">
        <f t="shared" si="164"/>
        <v>0</v>
      </c>
      <c r="I144">
        <v>0</v>
      </c>
      <c r="J144" s="11">
        <f t="shared" si="143"/>
        <v>0</v>
      </c>
      <c r="K144" s="11"/>
      <c r="L144" s="11"/>
      <c r="M144" s="3">
        <f t="shared" si="222"/>
        <v>675</v>
      </c>
      <c r="N144" s="4">
        <f t="shared" si="223"/>
        <v>0</v>
      </c>
      <c r="O144" s="4">
        <f t="shared" si="224"/>
        <v>28896</v>
      </c>
      <c r="P144" s="16">
        <f t="shared" si="225"/>
        <v>790.5384615384615</v>
      </c>
      <c r="Q144" s="5">
        <v>0</v>
      </c>
      <c r="R144" s="13">
        <f t="shared" si="177"/>
        <v>39867</v>
      </c>
      <c r="S144" s="40" t="s">
        <v>30</v>
      </c>
      <c r="U144" s="9">
        <f>3780+100</f>
        <v>3880</v>
      </c>
      <c r="V144" s="73">
        <f>U144/AJ144</f>
        <v>0.07684690037631214</v>
      </c>
      <c r="W144" s="9">
        <f>W143+U144</f>
        <v>22005</v>
      </c>
      <c r="X144" s="9">
        <f>X143+U144</f>
        <v>32815</v>
      </c>
      <c r="Z144" s="9">
        <f>55+5885-(240+480+50+100+100+25+100+250+450+100+300+100+90)-(100)-300</f>
        <v>3155</v>
      </c>
      <c r="AA144" s="73">
        <f>Z144/AJ144</f>
        <v>0.06248762131115072</v>
      </c>
      <c r="AB144" s="9">
        <f>AB143+Z144</f>
        <v>16438.5</v>
      </c>
      <c r="AC144" s="9">
        <f>AC143+Z144</f>
        <v>20033.12</v>
      </c>
      <c r="AE144" s="9">
        <f>40170+(240+480+50+100+100+25+100+250+450+100+300+100+90)</f>
        <v>42555</v>
      </c>
      <c r="AF144" s="73">
        <f>AE144/AJ144</f>
        <v>0.8428401663695781</v>
      </c>
      <c r="AG144" s="9">
        <f>AG143+AE144</f>
        <v>237169.75</v>
      </c>
      <c r="AH144" s="9">
        <f>AH143+AE144</f>
        <v>296531.5</v>
      </c>
      <c r="AI144" s="62">
        <f>600+300</f>
        <v>900</v>
      </c>
      <c r="AJ144" s="56">
        <f>U144+Z144+AE144+AI144</f>
        <v>50490</v>
      </c>
      <c r="AK144" s="4">
        <f>AK143+AJ144</f>
        <v>287263.25</v>
      </c>
      <c r="AN144" s="9">
        <f>AN143+AJ144</f>
        <v>366279.62</v>
      </c>
    </row>
    <row r="145" spans="1:40" ht="12.75">
      <c r="A145" s="1">
        <f t="shared" si="200"/>
        <v>36661</v>
      </c>
      <c r="B145" s="15">
        <f t="shared" si="201"/>
        <v>139</v>
      </c>
      <c r="C145">
        <v>0</v>
      </c>
      <c r="D145" s="8">
        <v>3195</v>
      </c>
      <c r="E145" s="52">
        <v>0</v>
      </c>
      <c r="F145" s="8">
        <f t="shared" si="163"/>
        <v>0</v>
      </c>
      <c r="G145" s="52">
        <v>0</v>
      </c>
      <c r="H145" s="8">
        <f t="shared" si="164"/>
        <v>0</v>
      </c>
      <c r="I145">
        <v>22</v>
      </c>
      <c r="J145" s="11">
        <f t="shared" si="143"/>
        <v>330</v>
      </c>
      <c r="K145" s="11"/>
      <c r="L145" s="11"/>
      <c r="M145" s="3">
        <f t="shared" si="222"/>
        <v>675</v>
      </c>
      <c r="N145" s="4">
        <f t="shared" si="223"/>
        <v>3525</v>
      </c>
      <c r="O145" s="4">
        <f t="shared" si="224"/>
        <v>32421</v>
      </c>
      <c r="P145" s="16">
        <f t="shared" si="225"/>
        <v>850.7307692307693</v>
      </c>
      <c r="Q145" s="5">
        <v>0</v>
      </c>
      <c r="R145" s="13">
        <f t="shared" si="177"/>
        <v>39898</v>
      </c>
      <c r="S145" s="40" t="s">
        <v>31</v>
      </c>
      <c r="U145" s="9">
        <f>3100+60</f>
        <v>3160</v>
      </c>
      <c r="V145" s="73">
        <f>U145/AJ145</f>
        <v>0.037601366024309996</v>
      </c>
      <c r="W145" s="9">
        <f>W144+U145</f>
        <v>25165</v>
      </c>
      <c r="X145" s="9">
        <f>X144+U145</f>
        <v>35975</v>
      </c>
      <c r="Z145" s="9">
        <f>109+13375-(300+150+200+140+300+260+300+150+200+175+262.5+500+1750+1050+1750+1150+780+1150+90)-60-300</f>
        <v>2466.5</v>
      </c>
      <c r="AA145" s="73">
        <f>Z145/AJ145</f>
        <v>0.02934929408194956</v>
      </c>
      <c r="AB145" s="9">
        <f>AB144+Z145</f>
        <v>18905</v>
      </c>
      <c r="AC145" s="9">
        <f>AC144+Z145</f>
        <v>22499.62</v>
      </c>
      <c r="AE145" s="9">
        <f>62755.5+(300+150+200+140+300+260+300+150+200+175+262.5+500+1750+1050+1750+1150+780+1150+90)</f>
        <v>73413</v>
      </c>
      <c r="AF145" s="73">
        <f>AE145/AJ145</f>
        <v>0.8735535075767943</v>
      </c>
      <c r="AG145" s="9">
        <f>AG144+AE145</f>
        <v>310582.75</v>
      </c>
      <c r="AH145" s="9">
        <f>AH144+AE145</f>
        <v>369944.5</v>
      </c>
      <c r="AI145" s="62">
        <f>4700+300</f>
        <v>5000</v>
      </c>
      <c r="AJ145" s="56">
        <f>U145+Z145+AE145+AI145</f>
        <v>84039.5</v>
      </c>
      <c r="AK145" s="4">
        <f>AK144+AJ145</f>
        <v>371302.75</v>
      </c>
      <c r="AN145" s="9">
        <f>AN144+AJ145</f>
        <v>450319.12</v>
      </c>
    </row>
    <row r="146" spans="1:40" ht="12.75">
      <c r="A146" s="1">
        <f t="shared" si="200"/>
        <v>36668</v>
      </c>
      <c r="B146" s="15">
        <f t="shared" si="201"/>
        <v>140</v>
      </c>
      <c r="C146">
        <v>0</v>
      </c>
      <c r="D146" s="8">
        <v>0</v>
      </c>
      <c r="E146" s="52">
        <v>0</v>
      </c>
      <c r="F146" s="8">
        <f t="shared" si="163"/>
        <v>0</v>
      </c>
      <c r="G146" s="52">
        <v>0</v>
      </c>
      <c r="H146" s="8">
        <f t="shared" si="164"/>
        <v>0</v>
      </c>
      <c r="I146">
        <v>22</v>
      </c>
      <c r="J146" s="11">
        <v>0</v>
      </c>
      <c r="K146" s="11"/>
      <c r="L146" s="11"/>
      <c r="M146" s="3">
        <f aca="true" t="shared" si="226" ref="M146:M151">C146+M145</f>
        <v>675</v>
      </c>
      <c r="N146" s="4">
        <f aca="true" t="shared" si="227" ref="N146:N151">D146+J146+F146+H146</f>
        <v>0</v>
      </c>
      <c r="O146" s="4">
        <f aca="true" t="shared" si="228" ref="O146:O151">O145+N146</f>
        <v>32421</v>
      </c>
      <c r="P146" s="16">
        <f aca="true" t="shared" si="229" ref="P146:P151">SUM(N95:N146)/52</f>
        <v>841.8846153846154</v>
      </c>
      <c r="Q146" s="5">
        <v>0</v>
      </c>
      <c r="R146" s="13">
        <f t="shared" si="177"/>
        <v>39929</v>
      </c>
      <c r="S146" s="40" t="s">
        <v>32</v>
      </c>
      <c r="U146" s="9">
        <f>1390+(25+100+50+50)</f>
        <v>1615</v>
      </c>
      <c r="V146" s="73">
        <f>U146/AJ146</f>
        <v>0.04184750923106821</v>
      </c>
      <c r="W146" s="9">
        <f>W145+U146</f>
        <v>26780</v>
      </c>
      <c r="X146" s="9">
        <f>X145+U146</f>
        <v>37590</v>
      </c>
      <c r="Z146" s="9">
        <f>2867.5-(25+350+87.5+175+750+175+50+540+50+90)-(25+100+50+50)</f>
        <v>350</v>
      </c>
      <c r="AA146" s="73">
        <f>Z146/AJ146</f>
        <v>0.009069119647599922</v>
      </c>
      <c r="AB146" s="9">
        <f>AB145+Z146</f>
        <v>19255</v>
      </c>
      <c r="AC146" s="9">
        <f>AC145+Z146</f>
        <v>22849.62</v>
      </c>
      <c r="AE146" s="9">
        <f>34035+(25+350+87.5+175+750+175+50+540+50+90)</f>
        <v>36327.5</v>
      </c>
      <c r="AF146" s="73">
        <f>AE146/AJ146</f>
        <v>0.9413098399948177</v>
      </c>
      <c r="AG146" s="9">
        <f>AG145+AE146</f>
        <v>346910.25</v>
      </c>
      <c r="AH146" s="9">
        <f>AH145+AE146</f>
        <v>406272</v>
      </c>
      <c r="AI146" s="62">
        <v>300</v>
      </c>
      <c r="AJ146" s="56">
        <f>U146+Z146+AE146+AI146</f>
        <v>38592.5</v>
      </c>
      <c r="AK146" s="4">
        <f>AK145+AJ146</f>
        <v>409895.25</v>
      </c>
      <c r="AN146" s="9">
        <f>AN145+AJ146</f>
        <v>488911.62</v>
      </c>
    </row>
    <row r="147" spans="1:19" ht="12.75">
      <c r="A147" s="1">
        <f t="shared" si="200"/>
        <v>36675</v>
      </c>
      <c r="B147" s="15">
        <f t="shared" si="201"/>
        <v>141</v>
      </c>
      <c r="C147">
        <v>0</v>
      </c>
      <c r="D147" s="8">
        <v>2589</v>
      </c>
      <c r="E147" s="52">
        <v>0</v>
      </c>
      <c r="F147" s="8">
        <f t="shared" si="163"/>
        <v>0</v>
      </c>
      <c r="G147" s="52">
        <v>0</v>
      </c>
      <c r="H147" s="8">
        <f t="shared" si="164"/>
        <v>0</v>
      </c>
      <c r="I147">
        <v>42</v>
      </c>
      <c r="J147" s="11">
        <f t="shared" si="143"/>
        <v>630</v>
      </c>
      <c r="K147" s="11"/>
      <c r="L147" s="11"/>
      <c r="M147" s="3">
        <f t="shared" si="226"/>
        <v>675</v>
      </c>
      <c r="N147" s="4">
        <f t="shared" si="227"/>
        <v>3219</v>
      </c>
      <c r="O147" s="4">
        <f t="shared" si="228"/>
        <v>35640</v>
      </c>
      <c r="P147" s="16">
        <f t="shared" si="229"/>
        <v>899.75</v>
      </c>
      <c r="Q147" s="5">
        <v>0</v>
      </c>
      <c r="R147" s="13">
        <f t="shared" si="177"/>
        <v>39960</v>
      </c>
      <c r="S147" s="40" t="s">
        <v>33</v>
      </c>
    </row>
    <row r="148" spans="1:19" ht="12.75">
      <c r="A148" s="1">
        <f t="shared" si="200"/>
        <v>36682</v>
      </c>
      <c r="B148" s="15">
        <f t="shared" si="201"/>
        <v>142</v>
      </c>
      <c r="C148">
        <v>0</v>
      </c>
      <c r="D148" s="8">
        <v>5435</v>
      </c>
      <c r="E148" s="52">
        <v>0</v>
      </c>
      <c r="F148" s="8">
        <f t="shared" si="163"/>
        <v>0</v>
      </c>
      <c r="G148" s="52">
        <v>0</v>
      </c>
      <c r="H148" s="8">
        <f t="shared" si="164"/>
        <v>0</v>
      </c>
      <c r="I148">
        <v>27</v>
      </c>
      <c r="J148" s="11">
        <f t="shared" si="143"/>
        <v>405</v>
      </c>
      <c r="K148" s="11"/>
      <c r="L148" s="11"/>
      <c r="M148" s="3">
        <f t="shared" si="226"/>
        <v>675</v>
      </c>
      <c r="N148" s="4">
        <f t="shared" si="227"/>
        <v>5840</v>
      </c>
      <c r="O148" s="4">
        <f t="shared" si="228"/>
        <v>41480</v>
      </c>
      <c r="P148" s="16">
        <f t="shared" si="229"/>
        <v>999.3269230769231</v>
      </c>
      <c r="Q148" s="5">
        <v>0</v>
      </c>
      <c r="R148" s="13">
        <f t="shared" si="177"/>
        <v>39991</v>
      </c>
      <c r="S148" s="40" t="s">
        <v>34</v>
      </c>
    </row>
    <row r="149" spans="1:19" ht="12.75">
      <c r="A149" s="1">
        <f t="shared" si="200"/>
        <v>36689</v>
      </c>
      <c r="B149" s="15">
        <f t="shared" si="201"/>
        <v>143</v>
      </c>
      <c r="C149">
        <v>0</v>
      </c>
      <c r="D149" s="8">
        <v>2065</v>
      </c>
      <c r="E149" s="52">
        <v>0</v>
      </c>
      <c r="F149" s="8">
        <f t="shared" si="163"/>
        <v>0</v>
      </c>
      <c r="G149" s="52">
        <v>0</v>
      </c>
      <c r="H149" s="8">
        <f t="shared" si="164"/>
        <v>0</v>
      </c>
      <c r="I149">
        <v>43</v>
      </c>
      <c r="J149" s="11">
        <f t="shared" si="143"/>
        <v>645</v>
      </c>
      <c r="K149" s="11"/>
      <c r="L149" s="11"/>
      <c r="M149" s="3">
        <f t="shared" si="226"/>
        <v>675</v>
      </c>
      <c r="N149" s="4">
        <f t="shared" si="227"/>
        <v>2710</v>
      </c>
      <c r="O149" s="4">
        <f t="shared" si="228"/>
        <v>44190</v>
      </c>
      <c r="P149" s="16">
        <f t="shared" si="229"/>
        <v>1039.1346153846155</v>
      </c>
      <c r="Q149" s="5">
        <v>0</v>
      </c>
      <c r="R149" s="13">
        <f t="shared" si="177"/>
        <v>40022</v>
      </c>
      <c r="S149" s="40" t="s">
        <v>35</v>
      </c>
    </row>
    <row r="150" spans="1:19" ht="12.75">
      <c r="A150" s="1">
        <f t="shared" si="200"/>
        <v>36696</v>
      </c>
      <c r="B150" s="15">
        <f t="shared" si="201"/>
        <v>144</v>
      </c>
      <c r="C150">
        <v>0</v>
      </c>
      <c r="D150" s="8">
        <v>2575</v>
      </c>
      <c r="E150" s="52">
        <v>0</v>
      </c>
      <c r="F150" s="8">
        <f t="shared" si="163"/>
        <v>0</v>
      </c>
      <c r="G150" s="52">
        <v>0</v>
      </c>
      <c r="H150" s="8">
        <f t="shared" si="164"/>
        <v>0</v>
      </c>
      <c r="I150">
        <v>39</v>
      </c>
      <c r="J150" s="11">
        <f t="shared" si="143"/>
        <v>585</v>
      </c>
      <c r="K150" s="11"/>
      <c r="L150" s="11"/>
      <c r="M150" s="3">
        <f t="shared" si="226"/>
        <v>675</v>
      </c>
      <c r="N150" s="4">
        <f t="shared" si="227"/>
        <v>3160</v>
      </c>
      <c r="O150" s="4">
        <f t="shared" si="228"/>
        <v>47350</v>
      </c>
      <c r="P150" s="16">
        <f t="shared" si="229"/>
        <v>1044.326923076923</v>
      </c>
      <c r="Q150" s="5">
        <v>0</v>
      </c>
      <c r="R150" s="13">
        <f t="shared" si="177"/>
        <v>40053</v>
      </c>
      <c r="S150" s="40" t="s">
        <v>36</v>
      </c>
    </row>
    <row r="151" spans="1:17" ht="12.75">
      <c r="A151" s="1">
        <f t="shared" si="200"/>
        <v>36703</v>
      </c>
      <c r="B151" s="15">
        <f t="shared" si="201"/>
        <v>145</v>
      </c>
      <c r="C151">
        <v>0</v>
      </c>
      <c r="D151" s="8">
        <v>2040</v>
      </c>
      <c r="E151" s="52">
        <v>0</v>
      </c>
      <c r="F151" s="8">
        <f t="shared" si="163"/>
        <v>0</v>
      </c>
      <c r="G151" s="52">
        <v>0</v>
      </c>
      <c r="H151" s="8">
        <f t="shared" si="164"/>
        <v>0</v>
      </c>
      <c r="I151">
        <v>14</v>
      </c>
      <c r="J151" s="11">
        <f t="shared" si="143"/>
        <v>210</v>
      </c>
      <c r="K151" s="11"/>
      <c r="L151" s="11"/>
      <c r="M151" s="3">
        <f t="shared" si="226"/>
        <v>675</v>
      </c>
      <c r="N151" s="4">
        <f t="shared" si="227"/>
        <v>2250</v>
      </c>
      <c r="O151" s="4">
        <f t="shared" si="228"/>
        <v>49600</v>
      </c>
      <c r="P151" s="16">
        <f t="shared" si="229"/>
        <v>1053.8461538461538</v>
      </c>
      <c r="Q151" s="5">
        <v>0</v>
      </c>
    </row>
    <row r="152" spans="1:17" ht="12.75">
      <c r="A152" s="1">
        <f t="shared" si="200"/>
        <v>36710</v>
      </c>
      <c r="B152" s="15">
        <f t="shared" si="201"/>
        <v>146</v>
      </c>
      <c r="C152">
        <v>0</v>
      </c>
      <c r="D152" s="8">
        <v>4980</v>
      </c>
      <c r="E152" s="52">
        <v>0</v>
      </c>
      <c r="F152" s="8">
        <f t="shared" si="163"/>
        <v>0</v>
      </c>
      <c r="G152" s="52">
        <v>0</v>
      </c>
      <c r="H152" s="8">
        <f t="shared" si="164"/>
        <v>0</v>
      </c>
      <c r="I152">
        <v>70</v>
      </c>
      <c r="J152" s="11">
        <f t="shared" si="143"/>
        <v>1050</v>
      </c>
      <c r="K152" s="11"/>
      <c r="L152" s="11"/>
      <c r="M152" s="3">
        <f aca="true" t="shared" si="230" ref="M152:M160">C152+M151</f>
        <v>675</v>
      </c>
      <c r="N152" s="4">
        <f aca="true" t="shared" si="231" ref="N152:N160">D152+J152+F152+H152</f>
        <v>6030</v>
      </c>
      <c r="O152" s="4">
        <f aca="true" t="shared" si="232" ref="O152:O160">O151+N152</f>
        <v>55630</v>
      </c>
      <c r="P152" s="16">
        <f aca="true" t="shared" si="233" ref="P152:P160">SUM(N101:N152)/52</f>
        <v>1144.5192307692307</v>
      </c>
      <c r="Q152" s="5">
        <v>0</v>
      </c>
    </row>
    <row r="153" spans="1:17" ht="12.75">
      <c r="A153" s="1">
        <f t="shared" si="200"/>
        <v>36717</v>
      </c>
      <c r="B153" s="15">
        <f t="shared" si="201"/>
        <v>147</v>
      </c>
      <c r="C153">
        <v>0</v>
      </c>
      <c r="D153" s="8">
        <v>315</v>
      </c>
      <c r="E153" s="52">
        <v>0</v>
      </c>
      <c r="F153" s="8">
        <f t="shared" si="163"/>
        <v>0</v>
      </c>
      <c r="G153" s="52">
        <v>0</v>
      </c>
      <c r="H153" s="8">
        <f t="shared" si="164"/>
        <v>0</v>
      </c>
      <c r="I153">
        <v>4</v>
      </c>
      <c r="J153" s="11">
        <f t="shared" si="143"/>
        <v>60</v>
      </c>
      <c r="K153" s="11"/>
      <c r="L153" s="11"/>
      <c r="M153" s="3">
        <f t="shared" si="230"/>
        <v>675</v>
      </c>
      <c r="N153" s="4">
        <f t="shared" si="231"/>
        <v>375</v>
      </c>
      <c r="O153" s="4">
        <f t="shared" si="232"/>
        <v>56005</v>
      </c>
      <c r="P153" s="16">
        <f t="shared" si="233"/>
        <v>1122.9807692307693</v>
      </c>
      <c r="Q153" s="5">
        <v>0</v>
      </c>
    </row>
    <row r="154" spans="1:17" ht="12.75">
      <c r="A154" s="1">
        <f t="shared" si="200"/>
        <v>36724</v>
      </c>
      <c r="B154" s="15">
        <f t="shared" si="201"/>
        <v>148</v>
      </c>
      <c r="C154">
        <v>0</v>
      </c>
      <c r="D154" s="8">
        <v>1799</v>
      </c>
      <c r="E154" s="52">
        <v>0</v>
      </c>
      <c r="F154" s="8">
        <f t="shared" si="163"/>
        <v>0</v>
      </c>
      <c r="G154" s="52">
        <v>0</v>
      </c>
      <c r="H154" s="8">
        <f t="shared" si="164"/>
        <v>0</v>
      </c>
      <c r="I154">
        <v>86</v>
      </c>
      <c r="J154" s="11">
        <f t="shared" si="143"/>
        <v>1290</v>
      </c>
      <c r="K154" s="11"/>
      <c r="L154" s="11"/>
      <c r="M154" s="3">
        <f t="shared" si="230"/>
        <v>675</v>
      </c>
      <c r="N154" s="4">
        <f t="shared" si="231"/>
        <v>3089</v>
      </c>
      <c r="O154" s="4">
        <f t="shared" si="232"/>
        <v>59094</v>
      </c>
      <c r="P154" s="16">
        <f t="shared" si="233"/>
        <v>1168.0576923076924</v>
      </c>
      <c r="Q154" s="5">
        <v>0</v>
      </c>
    </row>
    <row r="155" spans="1:17" ht="12.75">
      <c r="A155" s="1">
        <f t="shared" si="200"/>
        <v>36731</v>
      </c>
      <c r="B155" s="15">
        <f t="shared" si="201"/>
        <v>149</v>
      </c>
      <c r="C155">
        <v>0</v>
      </c>
      <c r="D155" s="8">
        <v>1335</v>
      </c>
      <c r="E155" s="52">
        <v>0</v>
      </c>
      <c r="F155" s="8">
        <f t="shared" si="163"/>
        <v>0</v>
      </c>
      <c r="G155" s="52">
        <v>0</v>
      </c>
      <c r="H155" s="8">
        <f t="shared" si="164"/>
        <v>0</v>
      </c>
      <c r="I155">
        <v>21</v>
      </c>
      <c r="J155" s="11">
        <f t="shared" si="143"/>
        <v>315</v>
      </c>
      <c r="K155" s="11"/>
      <c r="L155" s="11"/>
      <c r="M155" s="3">
        <f t="shared" si="230"/>
        <v>675</v>
      </c>
      <c r="N155" s="4">
        <f t="shared" si="231"/>
        <v>1650</v>
      </c>
      <c r="O155" s="4">
        <f t="shared" si="232"/>
        <v>60744</v>
      </c>
      <c r="P155" s="16">
        <f t="shared" si="233"/>
        <v>1199.7884615384614</v>
      </c>
      <c r="Q155" s="5">
        <v>0</v>
      </c>
    </row>
    <row r="156" spans="1:17" ht="12.75">
      <c r="A156" s="1">
        <f t="shared" si="200"/>
        <v>36738</v>
      </c>
      <c r="B156" s="15">
        <f t="shared" si="201"/>
        <v>150</v>
      </c>
      <c r="C156">
        <v>0</v>
      </c>
      <c r="D156" s="8">
        <v>0</v>
      </c>
      <c r="E156" s="52">
        <v>0</v>
      </c>
      <c r="F156" s="8">
        <f t="shared" si="163"/>
        <v>0</v>
      </c>
      <c r="G156" s="52">
        <v>0</v>
      </c>
      <c r="H156" s="8">
        <f t="shared" si="164"/>
        <v>0</v>
      </c>
      <c r="I156">
        <v>0</v>
      </c>
      <c r="J156" s="11">
        <f t="shared" si="143"/>
        <v>0</v>
      </c>
      <c r="K156" s="11"/>
      <c r="L156" s="11"/>
      <c r="M156" s="3">
        <f t="shared" si="230"/>
        <v>675</v>
      </c>
      <c r="N156" s="4">
        <f t="shared" si="231"/>
        <v>0</v>
      </c>
      <c r="O156" s="4">
        <f t="shared" si="232"/>
        <v>60744</v>
      </c>
      <c r="P156" s="16">
        <f t="shared" si="233"/>
        <v>1199.7884615384614</v>
      </c>
      <c r="Q156" s="5">
        <v>0</v>
      </c>
    </row>
    <row r="157" spans="1:17" ht="12.75">
      <c r="A157" s="1">
        <f t="shared" si="200"/>
        <v>36745</v>
      </c>
      <c r="B157" s="15">
        <f t="shared" si="201"/>
        <v>151</v>
      </c>
      <c r="C157">
        <v>0</v>
      </c>
      <c r="D157" s="8">
        <v>0</v>
      </c>
      <c r="E157" s="52">
        <v>0</v>
      </c>
      <c r="F157" s="8">
        <f t="shared" si="163"/>
        <v>0</v>
      </c>
      <c r="G157" s="52">
        <v>0</v>
      </c>
      <c r="H157" s="8">
        <f t="shared" si="164"/>
        <v>0</v>
      </c>
      <c r="I157">
        <v>0</v>
      </c>
      <c r="J157" s="11">
        <f t="shared" si="143"/>
        <v>0</v>
      </c>
      <c r="K157" s="11"/>
      <c r="L157" s="11"/>
      <c r="M157" s="3">
        <f t="shared" si="230"/>
        <v>675</v>
      </c>
      <c r="N157" s="4">
        <f t="shared" si="231"/>
        <v>0</v>
      </c>
      <c r="O157" s="4">
        <f t="shared" si="232"/>
        <v>60744</v>
      </c>
      <c r="P157" s="16">
        <f t="shared" si="233"/>
        <v>1199.7884615384614</v>
      </c>
      <c r="Q157" s="5">
        <v>0</v>
      </c>
    </row>
    <row r="158" spans="1:17" ht="12.75">
      <c r="A158" s="1">
        <f t="shared" si="200"/>
        <v>36752</v>
      </c>
      <c r="B158" s="15">
        <f t="shared" si="201"/>
        <v>152</v>
      </c>
      <c r="C158">
        <v>0</v>
      </c>
      <c r="D158" s="8">
        <v>0</v>
      </c>
      <c r="E158" s="52">
        <v>0</v>
      </c>
      <c r="F158" s="8">
        <f t="shared" si="163"/>
        <v>0</v>
      </c>
      <c r="G158" s="52">
        <v>0</v>
      </c>
      <c r="H158" s="8">
        <f t="shared" si="164"/>
        <v>0</v>
      </c>
      <c r="I158">
        <v>0</v>
      </c>
      <c r="J158" s="11">
        <f t="shared" si="143"/>
        <v>0</v>
      </c>
      <c r="K158" s="11"/>
      <c r="L158" s="11"/>
      <c r="M158" s="3">
        <f t="shared" si="230"/>
        <v>675</v>
      </c>
      <c r="N158" s="4">
        <f t="shared" si="231"/>
        <v>0</v>
      </c>
      <c r="O158" s="4">
        <f t="shared" si="232"/>
        <v>60744</v>
      </c>
      <c r="P158" s="16">
        <f t="shared" si="233"/>
        <v>1199.7884615384614</v>
      </c>
      <c r="Q158" s="5">
        <v>0</v>
      </c>
    </row>
    <row r="159" spans="1:17" ht="12.75">
      <c r="A159" s="1">
        <f t="shared" si="200"/>
        <v>36759</v>
      </c>
      <c r="B159" s="15">
        <f t="shared" si="201"/>
        <v>153</v>
      </c>
      <c r="C159">
        <v>0</v>
      </c>
      <c r="D159" s="8">
        <v>985</v>
      </c>
      <c r="E159" s="52">
        <v>0</v>
      </c>
      <c r="F159" s="8">
        <f t="shared" si="163"/>
        <v>0</v>
      </c>
      <c r="G159" s="52">
        <v>0</v>
      </c>
      <c r="H159" s="8">
        <f t="shared" si="164"/>
        <v>0</v>
      </c>
      <c r="I159">
        <v>35</v>
      </c>
      <c r="J159" s="11">
        <f t="shared" si="143"/>
        <v>525</v>
      </c>
      <c r="K159" s="11"/>
      <c r="L159" s="11"/>
      <c r="M159" s="3">
        <f t="shared" si="230"/>
        <v>675</v>
      </c>
      <c r="N159" s="4">
        <f t="shared" si="231"/>
        <v>1510</v>
      </c>
      <c r="O159" s="4">
        <f t="shared" si="232"/>
        <v>62254</v>
      </c>
      <c r="P159" s="16">
        <f t="shared" si="233"/>
        <v>1211.0384615384614</v>
      </c>
      <c r="Q159" s="5">
        <v>0</v>
      </c>
    </row>
    <row r="160" spans="1:17" ht="12.75">
      <c r="A160" s="1">
        <f t="shared" si="200"/>
        <v>36766</v>
      </c>
      <c r="B160" s="15">
        <f t="shared" si="201"/>
        <v>154</v>
      </c>
      <c r="C160">
        <v>0</v>
      </c>
      <c r="D160" s="8">
        <v>0</v>
      </c>
      <c r="E160" s="52">
        <v>0</v>
      </c>
      <c r="F160" s="8">
        <f t="shared" si="163"/>
        <v>0</v>
      </c>
      <c r="G160" s="52">
        <v>0</v>
      </c>
      <c r="H160" s="8">
        <f t="shared" si="164"/>
        <v>0</v>
      </c>
      <c r="I160">
        <v>0</v>
      </c>
      <c r="J160" s="11">
        <f t="shared" si="143"/>
        <v>0</v>
      </c>
      <c r="K160" s="11"/>
      <c r="L160" s="11"/>
      <c r="M160" s="3">
        <f t="shared" si="230"/>
        <v>675</v>
      </c>
      <c r="N160" s="4">
        <f t="shared" si="231"/>
        <v>0</v>
      </c>
      <c r="O160" s="4">
        <f t="shared" si="232"/>
        <v>62254</v>
      </c>
      <c r="P160" s="16">
        <f t="shared" si="233"/>
        <v>1197.1923076923076</v>
      </c>
      <c r="Q160" s="5">
        <v>0</v>
      </c>
    </row>
    <row r="161" spans="1:17" ht="12.75">
      <c r="A161" s="1">
        <f t="shared" si="200"/>
        <v>36773</v>
      </c>
      <c r="B161" s="15">
        <f t="shared" si="201"/>
        <v>155</v>
      </c>
      <c r="C161">
        <v>0</v>
      </c>
      <c r="D161" s="8">
        <v>1205</v>
      </c>
      <c r="E161" s="52">
        <v>0</v>
      </c>
      <c r="F161" s="8">
        <f t="shared" si="163"/>
        <v>0</v>
      </c>
      <c r="G161" s="52">
        <v>0</v>
      </c>
      <c r="H161" s="8">
        <f t="shared" si="164"/>
        <v>0</v>
      </c>
      <c r="I161">
        <v>20</v>
      </c>
      <c r="J161" s="11">
        <f t="shared" si="143"/>
        <v>300</v>
      </c>
      <c r="K161" s="11"/>
      <c r="L161" s="11"/>
      <c r="M161" s="3">
        <f aca="true" t="shared" si="234" ref="M161:M166">C161+M160</f>
        <v>675</v>
      </c>
      <c r="N161" s="4">
        <f>D161+J161+F161+H161+206.68</f>
        <v>1711.68</v>
      </c>
      <c r="O161" s="4">
        <f>N161</f>
        <v>1711.68</v>
      </c>
      <c r="P161" s="16">
        <f aca="true" t="shared" si="235" ref="P161:P166">SUM(N110:N161)/52</f>
        <v>1207.7053846153847</v>
      </c>
      <c r="Q161" s="5">
        <v>0</v>
      </c>
    </row>
    <row r="162" spans="1:17" ht="12.75">
      <c r="A162" s="1">
        <f t="shared" si="200"/>
        <v>36780</v>
      </c>
      <c r="B162" s="15">
        <f t="shared" si="201"/>
        <v>156</v>
      </c>
      <c r="C162">
        <v>0</v>
      </c>
      <c r="D162" s="8">
        <v>0</v>
      </c>
      <c r="E162" s="52">
        <v>0</v>
      </c>
      <c r="F162" s="8">
        <f t="shared" si="163"/>
        <v>0</v>
      </c>
      <c r="G162" s="52">
        <v>0</v>
      </c>
      <c r="H162" s="8">
        <f t="shared" si="164"/>
        <v>0</v>
      </c>
      <c r="I162">
        <v>0</v>
      </c>
      <c r="J162" s="11">
        <f t="shared" si="143"/>
        <v>0</v>
      </c>
      <c r="K162" s="11"/>
      <c r="L162" s="11"/>
      <c r="M162" s="3">
        <f t="shared" si="234"/>
        <v>675</v>
      </c>
      <c r="N162" s="4">
        <f>D162+J162+F162+H162</f>
        <v>0</v>
      </c>
      <c r="O162" s="4">
        <f aca="true" t="shared" si="236" ref="O162:O167">O161+N162</f>
        <v>1711.68</v>
      </c>
      <c r="P162" s="16">
        <f t="shared" si="235"/>
        <v>1198.2823076923078</v>
      </c>
      <c r="Q162" s="5">
        <v>0</v>
      </c>
    </row>
    <row r="163" spans="1:17" ht="12.75">
      <c r="A163" s="1">
        <f t="shared" si="200"/>
        <v>36787</v>
      </c>
      <c r="B163" s="15">
        <f t="shared" si="201"/>
        <v>157</v>
      </c>
      <c r="C163">
        <v>0</v>
      </c>
      <c r="D163" s="8">
        <v>1161</v>
      </c>
      <c r="E163" s="52">
        <v>0</v>
      </c>
      <c r="F163" s="8">
        <f t="shared" si="163"/>
        <v>0</v>
      </c>
      <c r="G163" s="52">
        <v>0</v>
      </c>
      <c r="H163" s="8">
        <f t="shared" si="164"/>
        <v>0</v>
      </c>
      <c r="I163">
        <v>19</v>
      </c>
      <c r="J163" s="11">
        <f t="shared" si="143"/>
        <v>285</v>
      </c>
      <c r="K163" s="11"/>
      <c r="L163" s="11"/>
      <c r="M163" s="3">
        <f t="shared" si="234"/>
        <v>675</v>
      </c>
      <c r="N163" s="4">
        <f>D163+J163+F163+H163</f>
        <v>1446</v>
      </c>
      <c r="O163" s="4">
        <f t="shared" si="236"/>
        <v>3157.6800000000003</v>
      </c>
      <c r="P163" s="16">
        <f t="shared" si="235"/>
        <v>1213.2053846153847</v>
      </c>
      <c r="Q163" s="5">
        <v>0</v>
      </c>
    </row>
    <row r="164" spans="1:17" ht="12.75">
      <c r="A164" s="1">
        <f t="shared" si="200"/>
        <v>36794</v>
      </c>
      <c r="B164" s="15">
        <f t="shared" si="201"/>
        <v>158</v>
      </c>
      <c r="C164">
        <v>0</v>
      </c>
      <c r="D164" s="8">
        <v>1495</v>
      </c>
      <c r="E164" s="52">
        <v>0</v>
      </c>
      <c r="F164" s="8">
        <f t="shared" si="163"/>
        <v>0</v>
      </c>
      <c r="G164" s="52">
        <v>0</v>
      </c>
      <c r="H164" s="8">
        <f t="shared" si="164"/>
        <v>0</v>
      </c>
      <c r="I164">
        <v>13</v>
      </c>
      <c r="J164" s="11">
        <f t="shared" si="143"/>
        <v>195</v>
      </c>
      <c r="K164" s="11"/>
      <c r="L164" s="11"/>
      <c r="M164" s="3">
        <f t="shared" si="234"/>
        <v>675</v>
      </c>
      <c r="N164" s="4">
        <f>D164+J164+F164+H164</f>
        <v>1690</v>
      </c>
      <c r="O164" s="4">
        <f t="shared" si="236"/>
        <v>4847.68</v>
      </c>
      <c r="P164" s="16">
        <f t="shared" si="235"/>
        <v>1218.9746153846154</v>
      </c>
      <c r="Q164" s="5">
        <v>0</v>
      </c>
    </row>
    <row r="165" spans="1:17" ht="12.75">
      <c r="A165" s="1">
        <f t="shared" si="200"/>
        <v>36801</v>
      </c>
      <c r="B165" s="15">
        <f>B164+1</f>
        <v>159</v>
      </c>
      <c r="C165">
        <v>0</v>
      </c>
      <c r="D165" s="8">
        <v>955</v>
      </c>
      <c r="E165" s="52">
        <v>0</v>
      </c>
      <c r="F165" s="8">
        <f t="shared" si="163"/>
        <v>0</v>
      </c>
      <c r="G165" s="52">
        <v>0</v>
      </c>
      <c r="H165" s="8">
        <f t="shared" si="164"/>
        <v>0</v>
      </c>
      <c r="I165">
        <v>1</v>
      </c>
      <c r="J165" s="11">
        <f t="shared" si="143"/>
        <v>15</v>
      </c>
      <c r="K165" s="11"/>
      <c r="L165" s="11"/>
      <c r="M165" s="3">
        <f t="shared" si="234"/>
        <v>675</v>
      </c>
      <c r="N165" s="4">
        <f>D165+J165+F165+H165</f>
        <v>970</v>
      </c>
      <c r="O165" s="4">
        <f t="shared" si="236"/>
        <v>5817.68</v>
      </c>
      <c r="P165" s="16">
        <f t="shared" si="235"/>
        <v>1226.186153846154</v>
      </c>
      <c r="Q165" s="5">
        <v>0</v>
      </c>
    </row>
    <row r="166" spans="1:17" ht="12.75">
      <c r="A166" s="1">
        <f t="shared" si="200"/>
        <v>36808</v>
      </c>
      <c r="B166" s="15">
        <f>B165+1</f>
        <v>160</v>
      </c>
      <c r="C166">
        <v>0</v>
      </c>
      <c r="D166" s="8">
        <v>1770</v>
      </c>
      <c r="E166" s="52">
        <v>0</v>
      </c>
      <c r="F166" s="8">
        <f t="shared" si="163"/>
        <v>0</v>
      </c>
      <c r="G166" s="52">
        <v>0</v>
      </c>
      <c r="H166" s="8">
        <f t="shared" si="164"/>
        <v>0</v>
      </c>
      <c r="I166">
        <v>76</v>
      </c>
      <c r="J166" s="11">
        <f t="shared" si="143"/>
        <v>1140</v>
      </c>
      <c r="K166" s="11">
        <v>411.25</v>
      </c>
      <c r="L166" s="11">
        <f>K166/1.175</f>
        <v>350</v>
      </c>
      <c r="M166" s="3">
        <f t="shared" si="234"/>
        <v>675</v>
      </c>
      <c r="N166" s="4">
        <f aca="true" t="shared" si="237" ref="N166:N172">D166+J166+F166+H166+L166</f>
        <v>3260</v>
      </c>
      <c r="O166" s="4">
        <f t="shared" si="236"/>
        <v>9077.68</v>
      </c>
      <c r="P166" s="16">
        <f t="shared" si="235"/>
        <v>1282.147692307692</v>
      </c>
      <c r="Q166" s="5">
        <v>0</v>
      </c>
    </row>
    <row r="167" spans="1:17" ht="12.75">
      <c r="A167" s="1">
        <f t="shared" si="200"/>
        <v>36815</v>
      </c>
      <c r="B167" s="15">
        <f>B166+1</f>
        <v>161</v>
      </c>
      <c r="C167">
        <v>0</v>
      </c>
      <c r="D167" s="8">
        <v>1110</v>
      </c>
      <c r="E167" s="52">
        <v>0</v>
      </c>
      <c r="F167" s="8">
        <f t="shared" si="163"/>
        <v>0</v>
      </c>
      <c r="G167" s="52">
        <v>0</v>
      </c>
      <c r="H167" s="8">
        <f t="shared" si="164"/>
        <v>0</v>
      </c>
      <c r="I167">
        <v>1</v>
      </c>
      <c r="J167" s="11">
        <f t="shared" si="143"/>
        <v>15</v>
      </c>
      <c r="K167" s="11">
        <v>0</v>
      </c>
      <c r="L167" s="11">
        <f>K167/1.175</f>
        <v>0</v>
      </c>
      <c r="M167" s="3">
        <f aca="true" t="shared" si="238" ref="M167:M172">C167+M166</f>
        <v>675</v>
      </c>
      <c r="N167" s="4">
        <f t="shared" si="237"/>
        <v>1125</v>
      </c>
      <c r="O167" s="4">
        <f t="shared" si="236"/>
        <v>10202.68</v>
      </c>
      <c r="P167" s="16">
        <f aca="true" t="shared" si="239" ref="P167:P172">SUM(N116:N167)/52</f>
        <v>1285.8015384615383</v>
      </c>
      <c r="Q167" s="5">
        <v>0</v>
      </c>
    </row>
    <row r="168" spans="1:17" ht="12.75">
      <c r="A168" s="1">
        <f t="shared" si="200"/>
        <v>36822</v>
      </c>
      <c r="B168" s="15">
        <f>B167+1</f>
        <v>162</v>
      </c>
      <c r="C168">
        <v>0</v>
      </c>
      <c r="D168" s="8">
        <v>470</v>
      </c>
      <c r="E168" s="52">
        <v>0</v>
      </c>
      <c r="F168" s="8">
        <f t="shared" si="163"/>
        <v>0</v>
      </c>
      <c r="G168" s="52">
        <v>0</v>
      </c>
      <c r="H168" s="8">
        <f t="shared" si="164"/>
        <v>0</v>
      </c>
      <c r="I168">
        <v>103</v>
      </c>
      <c r="J168" s="11">
        <f t="shared" si="143"/>
        <v>1545</v>
      </c>
      <c r="K168" s="11">
        <v>0</v>
      </c>
      <c r="L168" s="11">
        <v>1675</v>
      </c>
      <c r="M168" s="3">
        <f t="shared" si="238"/>
        <v>675</v>
      </c>
      <c r="N168" s="4">
        <f t="shared" si="237"/>
        <v>3690</v>
      </c>
      <c r="O168" s="4">
        <f aca="true" t="shared" si="240" ref="O168:O173">O167+N168</f>
        <v>13892.68</v>
      </c>
      <c r="P168" s="16">
        <f t="shared" si="239"/>
        <v>1353.397692307692</v>
      </c>
      <c r="Q168" s="5">
        <v>0</v>
      </c>
    </row>
    <row r="169" spans="1:17" ht="12.75">
      <c r="A169" s="1">
        <f t="shared" si="200"/>
        <v>36829</v>
      </c>
      <c r="B169" s="15">
        <f aca="true" t="shared" si="241" ref="B169:B184">B168+1</f>
        <v>163</v>
      </c>
      <c r="C169">
        <v>0</v>
      </c>
      <c r="D169" s="8">
        <v>0</v>
      </c>
      <c r="E169" s="52">
        <v>0</v>
      </c>
      <c r="F169" s="8">
        <f t="shared" si="163"/>
        <v>0</v>
      </c>
      <c r="G169" s="52">
        <v>0</v>
      </c>
      <c r="H169" s="8">
        <f t="shared" si="164"/>
        <v>0</v>
      </c>
      <c r="I169">
        <v>23</v>
      </c>
      <c r="J169" s="11">
        <f>I169*12</f>
        <v>276</v>
      </c>
      <c r="K169" s="11">
        <v>0</v>
      </c>
      <c r="L169" s="11">
        <v>0</v>
      </c>
      <c r="M169" s="3">
        <f t="shared" si="238"/>
        <v>675</v>
      </c>
      <c r="N169" s="4">
        <f t="shared" si="237"/>
        <v>276</v>
      </c>
      <c r="O169" s="4">
        <f t="shared" si="240"/>
        <v>14168.68</v>
      </c>
      <c r="P169" s="16">
        <f t="shared" si="239"/>
        <v>1350.916923076923</v>
      </c>
      <c r="Q169" s="5">
        <v>0</v>
      </c>
    </row>
    <row r="170" spans="1:17" ht="12.75">
      <c r="A170" s="1">
        <f t="shared" si="200"/>
        <v>36836</v>
      </c>
      <c r="B170" s="15">
        <f t="shared" si="241"/>
        <v>164</v>
      </c>
      <c r="C170">
        <v>0</v>
      </c>
      <c r="D170" s="8">
        <v>795</v>
      </c>
      <c r="E170" s="52">
        <v>0</v>
      </c>
      <c r="F170" s="8">
        <f t="shared" si="163"/>
        <v>0</v>
      </c>
      <c r="G170" s="52">
        <v>0</v>
      </c>
      <c r="H170" s="8">
        <f t="shared" si="164"/>
        <v>0</v>
      </c>
      <c r="I170">
        <v>129</v>
      </c>
      <c r="J170" s="11">
        <v>1682</v>
      </c>
      <c r="K170" s="11">
        <v>0</v>
      </c>
      <c r="L170" s="11">
        <v>0</v>
      </c>
      <c r="M170" s="3">
        <f t="shared" si="238"/>
        <v>675</v>
      </c>
      <c r="N170" s="4">
        <f t="shared" si="237"/>
        <v>2477</v>
      </c>
      <c r="O170" s="4">
        <f t="shared" si="240"/>
        <v>16645.68</v>
      </c>
      <c r="P170" s="16">
        <f t="shared" si="239"/>
        <v>1354.1284615384614</v>
      </c>
      <c r="Q170" s="5">
        <v>0</v>
      </c>
    </row>
    <row r="171" spans="1:17" ht="12.75">
      <c r="A171" s="1">
        <f t="shared" si="200"/>
        <v>36843</v>
      </c>
      <c r="B171" s="15">
        <f t="shared" si="241"/>
        <v>165</v>
      </c>
      <c r="C171">
        <v>0</v>
      </c>
      <c r="D171" s="8">
        <v>0</v>
      </c>
      <c r="E171" s="52">
        <v>0</v>
      </c>
      <c r="F171" s="8">
        <f t="shared" si="163"/>
        <v>0</v>
      </c>
      <c r="G171" s="52">
        <v>0</v>
      </c>
      <c r="H171" s="8">
        <f t="shared" si="164"/>
        <v>0</v>
      </c>
      <c r="I171">
        <v>52</v>
      </c>
      <c r="J171" s="11">
        <v>774</v>
      </c>
      <c r="K171" s="11">
        <v>0</v>
      </c>
      <c r="L171" s="11">
        <v>0</v>
      </c>
      <c r="M171" s="3">
        <f t="shared" si="238"/>
        <v>675</v>
      </c>
      <c r="N171" s="4">
        <f t="shared" si="237"/>
        <v>774</v>
      </c>
      <c r="O171" s="4">
        <f t="shared" si="240"/>
        <v>17419.68</v>
      </c>
      <c r="P171" s="16">
        <f t="shared" si="239"/>
        <v>1351.7053846153844</v>
      </c>
      <c r="Q171" s="5">
        <v>0</v>
      </c>
    </row>
    <row r="172" spans="1:17" ht="12.75">
      <c r="A172" s="1">
        <f t="shared" si="200"/>
        <v>36850</v>
      </c>
      <c r="B172" s="15">
        <f t="shared" si="241"/>
        <v>166</v>
      </c>
      <c r="C172">
        <v>0</v>
      </c>
      <c r="D172" s="8">
        <v>2450</v>
      </c>
      <c r="E172" s="52">
        <v>0</v>
      </c>
      <c r="F172" s="8">
        <f t="shared" si="163"/>
        <v>0</v>
      </c>
      <c r="G172" s="52">
        <v>0</v>
      </c>
      <c r="H172" s="8">
        <f t="shared" si="164"/>
        <v>0</v>
      </c>
      <c r="I172">
        <v>68</v>
      </c>
      <c r="J172" s="11">
        <f t="shared" si="143"/>
        <v>1020</v>
      </c>
      <c r="K172" s="11">
        <v>0</v>
      </c>
      <c r="L172" s="11">
        <v>2750</v>
      </c>
      <c r="M172" s="3">
        <f t="shared" si="238"/>
        <v>675</v>
      </c>
      <c r="N172" s="4">
        <f t="shared" si="237"/>
        <v>6220</v>
      </c>
      <c r="O172" s="4">
        <f t="shared" si="240"/>
        <v>23639.68</v>
      </c>
      <c r="P172" s="16">
        <f t="shared" si="239"/>
        <v>1457.3784615384614</v>
      </c>
      <c r="Q172" s="5">
        <v>0</v>
      </c>
    </row>
    <row r="173" spans="1:17" ht="12.75">
      <c r="A173" s="1">
        <f t="shared" si="200"/>
        <v>36857</v>
      </c>
      <c r="B173" s="15">
        <f t="shared" si="241"/>
        <v>167</v>
      </c>
      <c r="C173">
        <v>0</v>
      </c>
      <c r="D173" s="8">
        <v>355</v>
      </c>
      <c r="E173" s="52">
        <v>0</v>
      </c>
      <c r="F173" s="8">
        <f t="shared" si="163"/>
        <v>0</v>
      </c>
      <c r="G173" s="52">
        <v>0</v>
      </c>
      <c r="H173" s="8">
        <f t="shared" si="164"/>
        <v>0</v>
      </c>
      <c r="I173">
        <v>34</v>
      </c>
      <c r="J173" s="11">
        <f t="shared" si="143"/>
        <v>510</v>
      </c>
      <c r="K173" s="11">
        <v>0</v>
      </c>
      <c r="L173" s="11">
        <v>1085</v>
      </c>
      <c r="M173" s="3">
        <f aca="true" t="shared" si="242" ref="M173:M179">C173+M172</f>
        <v>675</v>
      </c>
      <c r="N173" s="4">
        <f aca="true" t="shared" si="243" ref="N173:N179">D173+J173+F173+H173+L173</f>
        <v>1950</v>
      </c>
      <c r="O173" s="4">
        <f t="shared" si="240"/>
        <v>25589.68</v>
      </c>
      <c r="P173" s="16">
        <f aca="true" t="shared" si="244" ref="P173:P179">SUM(N122:N173)/52</f>
        <v>1486.7053846153844</v>
      </c>
      <c r="Q173" s="5">
        <v>0</v>
      </c>
    </row>
    <row r="174" spans="1:17" ht="12.75">
      <c r="A174" s="1">
        <f t="shared" si="200"/>
        <v>36864</v>
      </c>
      <c r="B174" s="15">
        <f t="shared" si="241"/>
        <v>168</v>
      </c>
      <c r="C174">
        <v>0</v>
      </c>
      <c r="D174" s="8">
        <v>1045</v>
      </c>
      <c r="E174" s="52">
        <v>0</v>
      </c>
      <c r="F174" s="8">
        <f t="shared" si="163"/>
        <v>0</v>
      </c>
      <c r="G174" s="52">
        <v>0</v>
      </c>
      <c r="H174" s="8">
        <f t="shared" si="164"/>
        <v>0</v>
      </c>
      <c r="I174">
        <v>61</v>
      </c>
      <c r="J174" s="11">
        <f t="shared" si="143"/>
        <v>915</v>
      </c>
      <c r="K174" s="11">
        <v>0</v>
      </c>
      <c r="L174" s="11">
        <v>300</v>
      </c>
      <c r="M174" s="3">
        <f t="shared" si="242"/>
        <v>675</v>
      </c>
      <c r="N174" s="4">
        <f t="shared" si="243"/>
        <v>2260</v>
      </c>
      <c r="O174" s="4">
        <f aca="true" t="shared" si="245" ref="O174:O179">O173+N174</f>
        <v>27849.68</v>
      </c>
      <c r="P174" s="16">
        <f t="shared" si="244"/>
        <v>1523.243846153846</v>
      </c>
      <c r="Q174" s="5">
        <v>0</v>
      </c>
    </row>
    <row r="175" spans="1:17" ht="12.75">
      <c r="A175" s="1">
        <f t="shared" si="200"/>
        <v>36871</v>
      </c>
      <c r="B175" s="15">
        <f t="shared" si="241"/>
        <v>169</v>
      </c>
      <c r="C175">
        <v>0</v>
      </c>
      <c r="D175" s="8">
        <v>1230</v>
      </c>
      <c r="E175" s="52">
        <v>0</v>
      </c>
      <c r="F175" s="8">
        <f t="shared" si="163"/>
        <v>0</v>
      </c>
      <c r="G175" s="52">
        <v>0</v>
      </c>
      <c r="H175" s="8">
        <f t="shared" si="164"/>
        <v>0</v>
      </c>
      <c r="I175">
        <v>34</v>
      </c>
      <c r="J175" s="11">
        <f t="shared" si="143"/>
        <v>510</v>
      </c>
      <c r="K175" s="11">
        <v>0</v>
      </c>
      <c r="L175" s="11">
        <v>0</v>
      </c>
      <c r="M175" s="3">
        <f t="shared" si="242"/>
        <v>675</v>
      </c>
      <c r="N175" s="4">
        <f t="shared" si="243"/>
        <v>1740</v>
      </c>
      <c r="O175" s="4">
        <f t="shared" si="245"/>
        <v>29589.68</v>
      </c>
      <c r="P175" s="16">
        <f t="shared" si="244"/>
        <v>1543.5323076923075</v>
      </c>
      <c r="Q175" s="5">
        <v>0</v>
      </c>
    </row>
    <row r="176" spans="1:17" ht="12.75">
      <c r="A176" s="1">
        <f t="shared" si="200"/>
        <v>36878</v>
      </c>
      <c r="B176" s="15">
        <f t="shared" si="241"/>
        <v>170</v>
      </c>
      <c r="C176">
        <v>0</v>
      </c>
      <c r="D176" s="8">
        <v>0</v>
      </c>
      <c r="E176" s="52">
        <v>0</v>
      </c>
      <c r="F176" s="8">
        <f t="shared" si="163"/>
        <v>0</v>
      </c>
      <c r="G176" s="52">
        <v>0</v>
      </c>
      <c r="H176" s="8">
        <f t="shared" si="164"/>
        <v>0</v>
      </c>
      <c r="I176">
        <v>0</v>
      </c>
      <c r="J176" s="11">
        <f t="shared" si="143"/>
        <v>0</v>
      </c>
      <c r="K176" s="11">
        <v>0</v>
      </c>
      <c r="L176" s="11">
        <v>0</v>
      </c>
      <c r="M176" s="3">
        <f t="shared" si="242"/>
        <v>675</v>
      </c>
      <c r="N176" s="4">
        <f t="shared" si="243"/>
        <v>0</v>
      </c>
      <c r="O176" s="4">
        <f t="shared" si="245"/>
        <v>29589.68</v>
      </c>
      <c r="P176" s="16">
        <f t="shared" si="244"/>
        <v>1543.5323076923075</v>
      </c>
      <c r="Q176" s="5">
        <v>0</v>
      </c>
    </row>
    <row r="177" spans="1:17" ht="12.75">
      <c r="A177" s="1">
        <f t="shared" si="200"/>
        <v>36885</v>
      </c>
      <c r="B177" s="15">
        <f t="shared" si="241"/>
        <v>171</v>
      </c>
      <c r="C177">
        <v>0</v>
      </c>
      <c r="D177" s="8">
        <v>0</v>
      </c>
      <c r="E177" s="52">
        <v>0</v>
      </c>
      <c r="F177" s="8">
        <f t="shared" si="163"/>
        <v>0</v>
      </c>
      <c r="G177" s="52">
        <v>0</v>
      </c>
      <c r="H177" s="8">
        <f t="shared" si="164"/>
        <v>0</v>
      </c>
      <c r="I177">
        <v>0</v>
      </c>
      <c r="J177" s="11">
        <f t="shared" si="143"/>
        <v>0</v>
      </c>
      <c r="K177" s="11">
        <v>0</v>
      </c>
      <c r="L177" s="11">
        <v>0</v>
      </c>
      <c r="M177" s="3">
        <f t="shared" si="242"/>
        <v>675</v>
      </c>
      <c r="N177" s="4">
        <f t="shared" si="243"/>
        <v>0</v>
      </c>
      <c r="O177" s="4">
        <f t="shared" si="245"/>
        <v>29589.68</v>
      </c>
      <c r="P177" s="16">
        <f t="shared" si="244"/>
        <v>1543.5323076923075</v>
      </c>
      <c r="Q177" s="5">
        <v>0</v>
      </c>
    </row>
    <row r="178" spans="1:17" ht="12.75">
      <c r="A178" s="1">
        <f t="shared" si="200"/>
        <v>36892</v>
      </c>
      <c r="B178" s="15">
        <f t="shared" si="241"/>
        <v>172</v>
      </c>
      <c r="C178">
        <v>0</v>
      </c>
      <c r="D178" s="8">
        <v>0</v>
      </c>
      <c r="E178" s="52">
        <v>0</v>
      </c>
      <c r="F178" s="8">
        <f aca="true" t="shared" si="246" ref="F178:F199">E178*50</f>
        <v>0</v>
      </c>
      <c r="G178" s="52">
        <v>0</v>
      </c>
      <c r="H178" s="8">
        <f aca="true" t="shared" si="247" ref="H178:H199">G178*25</f>
        <v>0</v>
      </c>
      <c r="I178">
        <v>0</v>
      </c>
      <c r="J178" s="11">
        <f aca="true" t="shared" si="248" ref="J178:J199">I178*15</f>
        <v>0</v>
      </c>
      <c r="K178" s="11">
        <v>0</v>
      </c>
      <c r="L178" s="11">
        <v>0</v>
      </c>
      <c r="M178" s="3">
        <f t="shared" si="242"/>
        <v>675</v>
      </c>
      <c r="N178" s="4">
        <f t="shared" si="243"/>
        <v>0</v>
      </c>
      <c r="O178" s="4">
        <f t="shared" si="245"/>
        <v>29589.68</v>
      </c>
      <c r="P178" s="16">
        <f t="shared" si="244"/>
        <v>1543.5323076923075</v>
      </c>
      <c r="Q178" s="5">
        <v>0</v>
      </c>
    </row>
    <row r="179" spans="1:17" ht="12.75">
      <c r="A179" s="1">
        <f t="shared" si="200"/>
        <v>36899</v>
      </c>
      <c r="B179" s="15">
        <f t="shared" si="241"/>
        <v>173</v>
      </c>
      <c r="C179">
        <v>0</v>
      </c>
      <c r="D179" s="8">
        <v>2250</v>
      </c>
      <c r="E179" s="52">
        <v>0</v>
      </c>
      <c r="F179" s="8">
        <f t="shared" si="246"/>
        <v>0</v>
      </c>
      <c r="G179" s="52">
        <v>0</v>
      </c>
      <c r="H179" s="8">
        <f t="shared" si="247"/>
        <v>0</v>
      </c>
      <c r="I179">
        <v>172</v>
      </c>
      <c r="J179" s="11">
        <f t="shared" si="248"/>
        <v>2580</v>
      </c>
      <c r="K179" s="11">
        <v>0</v>
      </c>
      <c r="L179" s="11">
        <v>0</v>
      </c>
      <c r="M179" s="3">
        <f t="shared" si="242"/>
        <v>675</v>
      </c>
      <c r="N179" s="4">
        <f t="shared" si="243"/>
        <v>4830</v>
      </c>
      <c r="O179" s="4">
        <f t="shared" si="245"/>
        <v>34419.68</v>
      </c>
      <c r="P179" s="16">
        <f t="shared" si="244"/>
        <v>1627.4746153846152</v>
      </c>
      <c r="Q179" s="5">
        <v>0</v>
      </c>
    </row>
    <row r="180" spans="1:17" ht="12.75">
      <c r="A180" s="1">
        <f t="shared" si="200"/>
        <v>36906</v>
      </c>
      <c r="B180" s="15">
        <f t="shared" si="241"/>
        <v>174</v>
      </c>
      <c r="C180">
        <v>0</v>
      </c>
      <c r="D180" s="8">
        <v>590</v>
      </c>
      <c r="E180" s="52">
        <v>0</v>
      </c>
      <c r="F180" s="8">
        <f t="shared" si="246"/>
        <v>0</v>
      </c>
      <c r="G180" s="52">
        <v>0</v>
      </c>
      <c r="H180" s="8">
        <f t="shared" si="247"/>
        <v>0</v>
      </c>
      <c r="I180">
        <v>43</v>
      </c>
      <c r="J180" s="11">
        <f t="shared" si="248"/>
        <v>645</v>
      </c>
      <c r="K180" s="11">
        <v>0</v>
      </c>
      <c r="L180" s="11">
        <v>2040</v>
      </c>
      <c r="M180" s="3">
        <f aca="true" t="shared" si="249" ref="M180:M185">C180+M179</f>
        <v>675</v>
      </c>
      <c r="N180" s="4">
        <f aca="true" t="shared" si="250" ref="N180:N185">D180+J180+F180+H180+L180</f>
        <v>3275</v>
      </c>
      <c r="O180" s="4">
        <f aca="true" t="shared" si="251" ref="O180:O185">O179+N180</f>
        <v>37694.68</v>
      </c>
      <c r="P180" s="16">
        <f aca="true" t="shared" si="252" ref="P180:P185">SUM(N129:N180)/52</f>
        <v>1674.0130769230768</v>
      </c>
      <c r="Q180" s="5">
        <v>0</v>
      </c>
    </row>
    <row r="181" spans="1:17" ht="12.75">
      <c r="A181" s="1">
        <f t="shared" si="200"/>
        <v>36913</v>
      </c>
      <c r="B181" s="15">
        <f t="shared" si="241"/>
        <v>175</v>
      </c>
      <c r="C181">
        <v>0</v>
      </c>
      <c r="D181" s="8">
        <v>1120</v>
      </c>
      <c r="E181" s="52">
        <v>0</v>
      </c>
      <c r="F181" s="8">
        <f t="shared" si="246"/>
        <v>0</v>
      </c>
      <c r="G181" s="52">
        <v>0</v>
      </c>
      <c r="H181" s="8">
        <f t="shared" si="247"/>
        <v>0</v>
      </c>
      <c r="I181">
        <v>33</v>
      </c>
      <c r="J181" s="11">
        <f t="shared" si="248"/>
        <v>495</v>
      </c>
      <c r="K181" s="11">
        <v>0</v>
      </c>
      <c r="L181" s="11">
        <v>635</v>
      </c>
      <c r="M181" s="3">
        <f t="shared" si="249"/>
        <v>675</v>
      </c>
      <c r="N181" s="4">
        <f t="shared" si="250"/>
        <v>2250</v>
      </c>
      <c r="O181" s="4">
        <f t="shared" si="251"/>
        <v>39944.68</v>
      </c>
      <c r="P181" s="16">
        <f t="shared" si="252"/>
        <v>1700.647692307692</v>
      </c>
      <c r="Q181" s="5">
        <v>0</v>
      </c>
    </row>
    <row r="182" spans="1:17" ht="12.75">
      <c r="A182" s="1">
        <f t="shared" si="200"/>
        <v>36920</v>
      </c>
      <c r="B182" s="15">
        <f t="shared" si="241"/>
        <v>176</v>
      </c>
      <c r="C182">
        <v>0</v>
      </c>
      <c r="D182" s="8">
        <v>705</v>
      </c>
      <c r="E182" s="52">
        <v>0</v>
      </c>
      <c r="F182" s="8">
        <f t="shared" si="246"/>
        <v>0</v>
      </c>
      <c r="G182" s="52">
        <v>0</v>
      </c>
      <c r="H182" s="8">
        <f t="shared" si="247"/>
        <v>0</v>
      </c>
      <c r="I182">
        <v>79</v>
      </c>
      <c r="J182" s="11">
        <f t="shared" si="248"/>
        <v>1185</v>
      </c>
      <c r="K182" s="11">
        <v>0</v>
      </c>
      <c r="L182" s="11">
        <v>0</v>
      </c>
      <c r="M182" s="3">
        <f t="shared" si="249"/>
        <v>675</v>
      </c>
      <c r="N182" s="4">
        <f t="shared" si="250"/>
        <v>1890</v>
      </c>
      <c r="O182" s="4">
        <f t="shared" si="251"/>
        <v>41834.68</v>
      </c>
      <c r="P182" s="16">
        <f t="shared" si="252"/>
        <v>1725.9361538461537</v>
      </c>
      <c r="Q182" s="5">
        <v>0</v>
      </c>
    </row>
    <row r="183" spans="1:17" ht="12.75">
      <c r="A183" s="1">
        <f t="shared" si="200"/>
        <v>36927</v>
      </c>
      <c r="B183" s="15">
        <f t="shared" si="241"/>
        <v>177</v>
      </c>
      <c r="C183">
        <v>0</v>
      </c>
      <c r="D183" s="8">
        <v>985</v>
      </c>
      <c r="E183" s="52">
        <v>0</v>
      </c>
      <c r="F183" s="8">
        <f t="shared" si="246"/>
        <v>0</v>
      </c>
      <c r="G183" s="52">
        <v>0</v>
      </c>
      <c r="H183" s="8">
        <f t="shared" si="247"/>
        <v>0</v>
      </c>
      <c r="I183">
        <v>18</v>
      </c>
      <c r="J183" s="11">
        <f t="shared" si="248"/>
        <v>270</v>
      </c>
      <c r="K183" s="11">
        <v>0</v>
      </c>
      <c r="L183" s="11">
        <v>1635</v>
      </c>
      <c r="M183" s="3">
        <f t="shared" si="249"/>
        <v>675</v>
      </c>
      <c r="N183" s="4">
        <f t="shared" si="250"/>
        <v>2890</v>
      </c>
      <c r="O183" s="4">
        <f t="shared" si="251"/>
        <v>44724.68</v>
      </c>
      <c r="P183" s="16">
        <f t="shared" si="252"/>
        <v>1774.493846153846</v>
      </c>
      <c r="Q183" s="5">
        <v>0</v>
      </c>
    </row>
    <row r="184" spans="1:17" ht="12.75">
      <c r="A184" s="1">
        <f t="shared" si="200"/>
        <v>36934</v>
      </c>
      <c r="B184" s="15">
        <f t="shared" si="241"/>
        <v>178</v>
      </c>
      <c r="C184">
        <v>0</v>
      </c>
      <c r="D184" s="8">
        <v>1150</v>
      </c>
      <c r="E184" s="52">
        <v>0</v>
      </c>
      <c r="F184" s="8">
        <f t="shared" si="246"/>
        <v>0</v>
      </c>
      <c r="G184" s="52">
        <v>0</v>
      </c>
      <c r="H184" s="8">
        <f t="shared" si="247"/>
        <v>0</v>
      </c>
      <c r="I184">
        <v>140</v>
      </c>
      <c r="J184" s="11">
        <f t="shared" si="248"/>
        <v>2100</v>
      </c>
      <c r="K184" s="11">
        <v>0</v>
      </c>
      <c r="L184" s="11">
        <v>0</v>
      </c>
      <c r="M184" s="3">
        <f t="shared" si="249"/>
        <v>675</v>
      </c>
      <c r="N184" s="4">
        <f t="shared" si="250"/>
        <v>3250</v>
      </c>
      <c r="O184" s="4">
        <f t="shared" si="251"/>
        <v>47974.68</v>
      </c>
      <c r="P184" s="16">
        <f t="shared" si="252"/>
        <v>1836.993846153846</v>
      </c>
      <c r="Q184" s="5">
        <v>0</v>
      </c>
    </row>
    <row r="185" spans="1:17" ht="12.75">
      <c r="A185" s="1">
        <f aca="true" t="shared" si="253" ref="A185:A209">A184+7</f>
        <v>36941</v>
      </c>
      <c r="B185" s="15">
        <f aca="true" t="shared" si="254" ref="B185:B209">B184+1</f>
        <v>179</v>
      </c>
      <c r="C185">
        <v>0</v>
      </c>
      <c r="D185" s="8">
        <v>840</v>
      </c>
      <c r="E185" s="52">
        <v>0</v>
      </c>
      <c r="F185" s="8">
        <f t="shared" si="246"/>
        <v>0</v>
      </c>
      <c r="G185" s="52">
        <v>0</v>
      </c>
      <c r="H185" s="8">
        <f t="shared" si="247"/>
        <v>0</v>
      </c>
      <c r="I185">
        <v>86</v>
      </c>
      <c r="J185" s="11">
        <f t="shared" si="248"/>
        <v>1290</v>
      </c>
      <c r="K185" s="11">
        <v>0</v>
      </c>
      <c r="L185" s="11">
        <v>2800</v>
      </c>
      <c r="M185" s="3">
        <f t="shared" si="249"/>
        <v>675</v>
      </c>
      <c r="N185" s="4">
        <f t="shared" si="250"/>
        <v>4930</v>
      </c>
      <c r="O185" s="4">
        <f t="shared" si="251"/>
        <v>52904.68</v>
      </c>
      <c r="P185" s="16">
        <f t="shared" si="252"/>
        <v>1931.8015384615383</v>
      </c>
      <c r="Q185" s="5">
        <v>0</v>
      </c>
    </row>
    <row r="186" spans="1:17" ht="12.75">
      <c r="A186" s="1">
        <f t="shared" si="253"/>
        <v>36948</v>
      </c>
      <c r="B186" s="15">
        <f t="shared" si="254"/>
        <v>180</v>
      </c>
      <c r="C186">
        <v>0</v>
      </c>
      <c r="D186" s="8">
        <v>890</v>
      </c>
      <c r="E186" s="52">
        <v>0</v>
      </c>
      <c r="F186" s="8">
        <f t="shared" si="246"/>
        <v>0</v>
      </c>
      <c r="G186" s="52">
        <v>0</v>
      </c>
      <c r="H186" s="8">
        <f t="shared" si="247"/>
        <v>0</v>
      </c>
      <c r="I186">
        <v>9</v>
      </c>
      <c r="J186" s="11">
        <f t="shared" si="248"/>
        <v>135</v>
      </c>
      <c r="K186" s="11">
        <v>0</v>
      </c>
      <c r="L186" s="11">
        <v>2457.5</v>
      </c>
      <c r="M186" s="3">
        <f aca="true" t="shared" si="255" ref="M186:M199">C186+M185</f>
        <v>675</v>
      </c>
      <c r="N186" s="4">
        <f aca="true" t="shared" si="256" ref="N186:N199">D186+J186+F186+H186+L186</f>
        <v>3482.5</v>
      </c>
      <c r="O186" s="4">
        <f aca="true" t="shared" si="257" ref="O186:O199">O185+N186</f>
        <v>56387.18</v>
      </c>
      <c r="P186" s="16">
        <f aca="true" t="shared" si="258" ref="P186:P199">SUM(N135:N186)/52</f>
        <v>1988.965</v>
      </c>
      <c r="Q186" s="5">
        <v>0</v>
      </c>
    </row>
    <row r="187" spans="1:17" ht="12.75">
      <c r="A187" s="1">
        <f t="shared" si="253"/>
        <v>36955</v>
      </c>
      <c r="B187" s="15">
        <f t="shared" si="254"/>
        <v>181</v>
      </c>
      <c r="C187">
        <v>0</v>
      </c>
      <c r="D187" s="8">
        <v>0</v>
      </c>
      <c r="E187" s="52">
        <v>0</v>
      </c>
      <c r="F187" s="8">
        <f t="shared" si="246"/>
        <v>0</v>
      </c>
      <c r="G187" s="52">
        <v>0</v>
      </c>
      <c r="H187" s="8">
        <f t="shared" si="247"/>
        <v>0</v>
      </c>
      <c r="I187">
        <v>0</v>
      </c>
      <c r="J187" s="11">
        <f t="shared" si="248"/>
        <v>0</v>
      </c>
      <c r="K187" s="11">
        <v>0</v>
      </c>
      <c r="L187" s="11">
        <v>0</v>
      </c>
      <c r="M187" s="3">
        <f t="shared" si="255"/>
        <v>675</v>
      </c>
      <c r="N187" s="4">
        <f t="shared" si="256"/>
        <v>0</v>
      </c>
      <c r="O187" s="4">
        <f t="shared" si="257"/>
        <v>56387.18</v>
      </c>
      <c r="P187" s="16">
        <f t="shared" si="258"/>
        <v>1988.965</v>
      </c>
      <c r="Q187" s="5">
        <v>0</v>
      </c>
    </row>
    <row r="188" spans="1:17" ht="12.75">
      <c r="A188" s="1">
        <f t="shared" si="253"/>
        <v>36962</v>
      </c>
      <c r="B188" s="15">
        <f t="shared" si="254"/>
        <v>182</v>
      </c>
      <c r="C188">
        <v>0</v>
      </c>
      <c r="D188" s="8">
        <v>5879</v>
      </c>
      <c r="E188" s="52">
        <v>0</v>
      </c>
      <c r="F188" s="8">
        <f t="shared" si="246"/>
        <v>0</v>
      </c>
      <c r="G188" s="52">
        <v>0</v>
      </c>
      <c r="H188" s="8">
        <f t="shared" si="247"/>
        <v>0</v>
      </c>
      <c r="I188">
        <v>268</v>
      </c>
      <c r="J188" s="11">
        <f t="shared" si="248"/>
        <v>4020</v>
      </c>
      <c r="K188" s="11">
        <v>0</v>
      </c>
      <c r="L188" s="11">
        <v>2650</v>
      </c>
      <c r="M188" s="3">
        <f t="shared" si="255"/>
        <v>675</v>
      </c>
      <c r="N188" s="4">
        <f t="shared" si="256"/>
        <v>12549</v>
      </c>
      <c r="O188" s="4">
        <f t="shared" si="257"/>
        <v>68936.18</v>
      </c>
      <c r="P188" s="16">
        <f t="shared" si="258"/>
        <v>2204.522692307692</v>
      </c>
      <c r="Q188" s="5">
        <v>0</v>
      </c>
    </row>
    <row r="189" spans="1:17" ht="12.75">
      <c r="A189" s="1">
        <f t="shared" si="253"/>
        <v>36969</v>
      </c>
      <c r="B189" s="15">
        <f t="shared" si="254"/>
        <v>183</v>
      </c>
      <c r="C189">
        <v>0</v>
      </c>
      <c r="D189" s="8">
        <v>0</v>
      </c>
      <c r="E189" s="52">
        <v>0</v>
      </c>
      <c r="F189" s="8">
        <f t="shared" si="246"/>
        <v>0</v>
      </c>
      <c r="G189" s="52">
        <v>0</v>
      </c>
      <c r="H189" s="8">
        <f t="shared" si="247"/>
        <v>0</v>
      </c>
      <c r="I189">
        <v>25</v>
      </c>
      <c r="J189" s="11">
        <f t="shared" si="248"/>
        <v>375</v>
      </c>
      <c r="K189" s="11">
        <v>0</v>
      </c>
      <c r="L189" s="11">
        <v>0</v>
      </c>
      <c r="M189" s="3">
        <f t="shared" si="255"/>
        <v>675</v>
      </c>
      <c r="N189" s="4">
        <f t="shared" si="256"/>
        <v>375</v>
      </c>
      <c r="O189" s="4">
        <f t="shared" si="257"/>
        <v>69311.18</v>
      </c>
      <c r="P189" s="16">
        <f t="shared" si="258"/>
        <v>2170.0996153846154</v>
      </c>
      <c r="Q189" s="5">
        <v>0</v>
      </c>
    </row>
    <row r="190" spans="1:17" ht="12.75">
      <c r="A190" s="1">
        <f t="shared" si="253"/>
        <v>36976</v>
      </c>
      <c r="B190" s="15">
        <f t="shared" si="254"/>
        <v>184</v>
      </c>
      <c r="C190">
        <v>0</v>
      </c>
      <c r="D190" s="8">
        <v>1526</v>
      </c>
      <c r="E190" s="52">
        <v>0</v>
      </c>
      <c r="F190" s="8">
        <f t="shared" si="246"/>
        <v>0</v>
      </c>
      <c r="G190" s="52">
        <v>0</v>
      </c>
      <c r="H190" s="8">
        <f t="shared" si="247"/>
        <v>0</v>
      </c>
      <c r="I190">
        <v>98</v>
      </c>
      <c r="J190" s="11">
        <f t="shared" si="248"/>
        <v>1470</v>
      </c>
      <c r="K190" s="11">
        <v>0</v>
      </c>
      <c r="L190" s="11">
        <v>1090</v>
      </c>
      <c r="M190" s="3">
        <f t="shared" si="255"/>
        <v>675</v>
      </c>
      <c r="N190" s="4">
        <f t="shared" si="256"/>
        <v>4086</v>
      </c>
      <c r="O190" s="4">
        <f t="shared" si="257"/>
        <v>73397.18</v>
      </c>
      <c r="P190" s="16">
        <f t="shared" si="258"/>
        <v>2248.6765384615383</v>
      </c>
      <c r="Q190" s="5">
        <v>0</v>
      </c>
    </row>
    <row r="191" spans="1:17" ht="12.75">
      <c r="A191" s="1">
        <f t="shared" si="253"/>
        <v>36983</v>
      </c>
      <c r="B191" s="15">
        <f t="shared" si="254"/>
        <v>185</v>
      </c>
      <c r="C191">
        <v>0</v>
      </c>
      <c r="D191" s="8">
        <v>0</v>
      </c>
      <c r="E191" s="52">
        <v>0</v>
      </c>
      <c r="F191" s="8">
        <f t="shared" si="246"/>
        <v>0</v>
      </c>
      <c r="G191" s="52">
        <v>0</v>
      </c>
      <c r="H191" s="8">
        <f t="shared" si="247"/>
        <v>0</v>
      </c>
      <c r="I191">
        <v>0</v>
      </c>
      <c r="J191" s="11">
        <f t="shared" si="248"/>
        <v>0</v>
      </c>
      <c r="K191" s="11">
        <v>0</v>
      </c>
      <c r="L191" s="11">
        <v>0</v>
      </c>
      <c r="M191" s="3">
        <f t="shared" si="255"/>
        <v>675</v>
      </c>
      <c r="N191" s="4">
        <f t="shared" si="256"/>
        <v>0</v>
      </c>
      <c r="O191" s="4">
        <f t="shared" si="257"/>
        <v>73397.18</v>
      </c>
      <c r="P191" s="16">
        <f t="shared" si="258"/>
        <v>2204.2342307692306</v>
      </c>
      <c r="Q191" s="5">
        <v>0</v>
      </c>
    </row>
    <row r="192" spans="1:17" ht="12.75">
      <c r="A192" s="1">
        <f t="shared" si="253"/>
        <v>36990</v>
      </c>
      <c r="B192" s="15">
        <f t="shared" si="254"/>
        <v>186</v>
      </c>
      <c r="C192">
        <v>0</v>
      </c>
      <c r="D192" s="8">
        <v>0</v>
      </c>
      <c r="E192" s="52">
        <v>0</v>
      </c>
      <c r="F192" s="8">
        <f t="shared" si="246"/>
        <v>0</v>
      </c>
      <c r="G192" s="52">
        <v>0</v>
      </c>
      <c r="H192" s="8">
        <f t="shared" si="247"/>
        <v>0</v>
      </c>
      <c r="I192">
        <v>0</v>
      </c>
      <c r="J192" s="11">
        <f t="shared" si="248"/>
        <v>0</v>
      </c>
      <c r="K192" s="11">
        <v>0</v>
      </c>
      <c r="L192" s="11">
        <v>0</v>
      </c>
      <c r="M192" s="3">
        <f t="shared" si="255"/>
        <v>675</v>
      </c>
      <c r="N192" s="4">
        <f t="shared" si="256"/>
        <v>0</v>
      </c>
      <c r="O192" s="4">
        <f t="shared" si="257"/>
        <v>73397.18</v>
      </c>
      <c r="P192" s="16">
        <f t="shared" si="258"/>
        <v>2122.9842307692306</v>
      </c>
      <c r="Q192" s="5">
        <v>0</v>
      </c>
    </row>
    <row r="193" spans="1:17" ht="12.75">
      <c r="A193" s="1">
        <f t="shared" si="253"/>
        <v>36997</v>
      </c>
      <c r="B193" s="15">
        <f t="shared" si="254"/>
        <v>187</v>
      </c>
      <c r="C193">
        <v>0</v>
      </c>
      <c r="D193" s="8">
        <v>0</v>
      </c>
      <c r="E193" s="52">
        <v>0</v>
      </c>
      <c r="F193" s="8">
        <f t="shared" si="246"/>
        <v>0</v>
      </c>
      <c r="G193" s="52">
        <v>0</v>
      </c>
      <c r="H193" s="8">
        <f t="shared" si="247"/>
        <v>0</v>
      </c>
      <c r="I193">
        <v>0</v>
      </c>
      <c r="J193" s="11">
        <f t="shared" si="248"/>
        <v>0</v>
      </c>
      <c r="K193" s="11">
        <v>0</v>
      </c>
      <c r="L193" s="11">
        <v>0</v>
      </c>
      <c r="M193" s="3">
        <f t="shared" si="255"/>
        <v>675</v>
      </c>
      <c r="N193" s="4">
        <f t="shared" si="256"/>
        <v>0</v>
      </c>
      <c r="O193" s="4">
        <f t="shared" si="257"/>
        <v>73397.18</v>
      </c>
      <c r="P193" s="16">
        <f t="shared" si="258"/>
        <v>2091.3496153846154</v>
      </c>
      <c r="Q193" s="5">
        <v>0</v>
      </c>
    </row>
    <row r="194" spans="1:17" ht="12.75">
      <c r="A194" s="1">
        <f t="shared" si="253"/>
        <v>37004</v>
      </c>
      <c r="B194" s="15">
        <f t="shared" si="254"/>
        <v>188</v>
      </c>
      <c r="C194">
        <v>0</v>
      </c>
      <c r="D194" s="8">
        <v>1537</v>
      </c>
      <c r="E194" s="52">
        <v>0</v>
      </c>
      <c r="F194" s="8">
        <f t="shared" si="246"/>
        <v>0</v>
      </c>
      <c r="G194" s="52">
        <v>0</v>
      </c>
      <c r="H194" s="8">
        <f t="shared" si="247"/>
        <v>0</v>
      </c>
      <c r="I194">
        <v>26</v>
      </c>
      <c r="J194" s="11">
        <f t="shared" si="248"/>
        <v>390</v>
      </c>
      <c r="K194" s="11">
        <v>0</v>
      </c>
      <c r="L194" s="11">
        <v>550</v>
      </c>
      <c r="M194" s="3">
        <f t="shared" si="255"/>
        <v>675</v>
      </c>
      <c r="N194" s="4">
        <f t="shared" si="256"/>
        <v>2477</v>
      </c>
      <c r="O194" s="4">
        <f t="shared" si="257"/>
        <v>75874.18</v>
      </c>
      <c r="P194" s="16">
        <f t="shared" si="258"/>
        <v>2122.445769230769</v>
      </c>
      <c r="Q194" s="5">
        <v>0</v>
      </c>
    </row>
    <row r="195" spans="1:17" ht="12.75">
      <c r="A195" s="1">
        <f t="shared" si="253"/>
        <v>37011</v>
      </c>
      <c r="B195" s="15">
        <f t="shared" si="254"/>
        <v>189</v>
      </c>
      <c r="C195">
        <v>0</v>
      </c>
      <c r="D195" s="8">
        <v>567</v>
      </c>
      <c r="E195" s="52">
        <v>0</v>
      </c>
      <c r="F195" s="8">
        <f t="shared" si="246"/>
        <v>0</v>
      </c>
      <c r="G195" s="52">
        <v>0</v>
      </c>
      <c r="H195" s="8">
        <f t="shared" si="247"/>
        <v>0</v>
      </c>
      <c r="I195">
        <v>73</v>
      </c>
      <c r="J195" s="11">
        <f t="shared" si="248"/>
        <v>1095</v>
      </c>
      <c r="K195" s="11">
        <v>0</v>
      </c>
      <c r="L195" s="11">
        <v>2287</v>
      </c>
      <c r="M195" s="3">
        <f t="shared" si="255"/>
        <v>675</v>
      </c>
      <c r="N195" s="4">
        <f t="shared" si="256"/>
        <v>3949</v>
      </c>
      <c r="O195" s="4">
        <f t="shared" si="257"/>
        <v>79823.18</v>
      </c>
      <c r="P195" s="16">
        <f t="shared" si="258"/>
        <v>2176.5611538461535</v>
      </c>
      <c r="Q195" s="5">
        <v>0</v>
      </c>
    </row>
    <row r="196" spans="1:17" ht="12.75">
      <c r="A196" s="1">
        <f t="shared" si="253"/>
        <v>37018</v>
      </c>
      <c r="B196" s="15">
        <f t="shared" si="254"/>
        <v>190</v>
      </c>
      <c r="C196">
        <v>0</v>
      </c>
      <c r="D196" s="8">
        <v>670</v>
      </c>
      <c r="E196" s="52">
        <v>0</v>
      </c>
      <c r="F196" s="8">
        <f t="shared" si="246"/>
        <v>0</v>
      </c>
      <c r="G196" s="52">
        <v>0</v>
      </c>
      <c r="H196" s="8">
        <f t="shared" si="247"/>
        <v>0</v>
      </c>
      <c r="I196">
        <v>0</v>
      </c>
      <c r="J196" s="11">
        <f t="shared" si="248"/>
        <v>0</v>
      </c>
      <c r="K196" s="11">
        <v>0</v>
      </c>
      <c r="L196" s="11">
        <v>1150</v>
      </c>
      <c r="M196" s="3">
        <f t="shared" si="255"/>
        <v>675</v>
      </c>
      <c r="N196" s="4">
        <f t="shared" si="256"/>
        <v>1820</v>
      </c>
      <c r="O196" s="4">
        <f t="shared" si="257"/>
        <v>81643.18</v>
      </c>
      <c r="P196" s="16">
        <f t="shared" si="258"/>
        <v>2211.5611538461535</v>
      </c>
      <c r="Q196" s="5">
        <v>0</v>
      </c>
    </row>
    <row r="197" spans="1:17" ht="12.75">
      <c r="A197" s="1">
        <f t="shared" si="253"/>
        <v>37025</v>
      </c>
      <c r="B197" s="15">
        <f t="shared" si="254"/>
        <v>191</v>
      </c>
      <c r="C197">
        <v>0</v>
      </c>
      <c r="D197" s="8">
        <v>110</v>
      </c>
      <c r="E197" s="52">
        <v>0</v>
      </c>
      <c r="F197" s="8">
        <f t="shared" si="246"/>
        <v>0</v>
      </c>
      <c r="G197" s="52">
        <v>0</v>
      </c>
      <c r="H197" s="8">
        <f t="shared" si="247"/>
        <v>0</v>
      </c>
      <c r="I197">
        <v>34</v>
      </c>
      <c r="J197" s="11">
        <f t="shared" si="248"/>
        <v>510</v>
      </c>
      <c r="K197" s="11">
        <v>0</v>
      </c>
      <c r="L197" s="11">
        <v>300</v>
      </c>
      <c r="M197" s="3">
        <f t="shared" si="255"/>
        <v>675</v>
      </c>
      <c r="N197" s="4">
        <f t="shared" si="256"/>
        <v>920</v>
      </c>
      <c r="O197" s="4">
        <f t="shared" si="257"/>
        <v>82563.18</v>
      </c>
      <c r="P197" s="16">
        <f t="shared" si="258"/>
        <v>2161.4649999999997</v>
      </c>
      <c r="Q197" s="5">
        <v>0</v>
      </c>
    </row>
    <row r="198" spans="1:17" ht="12.75">
      <c r="A198" s="1">
        <f t="shared" si="253"/>
        <v>37032</v>
      </c>
      <c r="B198" s="15">
        <f t="shared" si="254"/>
        <v>192</v>
      </c>
      <c r="C198">
        <v>0</v>
      </c>
      <c r="D198" s="8">
        <v>360</v>
      </c>
      <c r="E198" s="52">
        <v>0</v>
      </c>
      <c r="F198" s="8">
        <f t="shared" si="246"/>
        <v>0</v>
      </c>
      <c r="G198" s="52">
        <v>0</v>
      </c>
      <c r="H198" s="8">
        <f t="shared" si="247"/>
        <v>0</v>
      </c>
      <c r="I198">
        <v>0</v>
      </c>
      <c r="J198" s="11">
        <f t="shared" si="248"/>
        <v>0</v>
      </c>
      <c r="K198" s="11">
        <v>0</v>
      </c>
      <c r="L198" s="11">
        <v>0</v>
      </c>
      <c r="M198" s="3">
        <f t="shared" si="255"/>
        <v>675</v>
      </c>
      <c r="N198" s="4">
        <f t="shared" si="256"/>
        <v>360</v>
      </c>
      <c r="O198" s="4">
        <f t="shared" si="257"/>
        <v>82923.18</v>
      </c>
      <c r="P198" s="16">
        <f t="shared" si="258"/>
        <v>2168.388076923077</v>
      </c>
      <c r="Q198" s="5">
        <v>0</v>
      </c>
    </row>
    <row r="199" spans="1:17" ht="12.75">
      <c r="A199" s="1">
        <f t="shared" si="253"/>
        <v>37039</v>
      </c>
      <c r="B199" s="15">
        <f t="shared" si="254"/>
        <v>193</v>
      </c>
      <c r="C199">
        <v>0</v>
      </c>
      <c r="D199" s="8">
        <v>80</v>
      </c>
      <c r="E199" s="52">
        <v>0</v>
      </c>
      <c r="F199" s="8">
        <f t="shared" si="246"/>
        <v>0</v>
      </c>
      <c r="G199" s="52">
        <v>0</v>
      </c>
      <c r="H199" s="8">
        <f t="shared" si="247"/>
        <v>0</v>
      </c>
      <c r="I199">
        <v>2</v>
      </c>
      <c r="J199" s="11">
        <f t="shared" si="248"/>
        <v>30</v>
      </c>
      <c r="K199" s="11">
        <v>0</v>
      </c>
      <c r="L199" s="11">
        <v>0</v>
      </c>
      <c r="M199" s="3">
        <f t="shared" si="255"/>
        <v>675</v>
      </c>
      <c r="N199" s="4">
        <f t="shared" si="256"/>
        <v>110</v>
      </c>
      <c r="O199" s="4">
        <f t="shared" si="257"/>
        <v>83033.18</v>
      </c>
      <c r="P199" s="16">
        <f t="shared" si="258"/>
        <v>2108.5996153846154</v>
      </c>
      <c r="Q199" s="5">
        <v>0</v>
      </c>
    </row>
    <row r="200" spans="1:2" ht="12.75">
      <c r="A200" s="1">
        <f t="shared" si="253"/>
        <v>37046</v>
      </c>
      <c r="B200" s="15">
        <f t="shared" si="254"/>
        <v>194</v>
      </c>
    </row>
    <row r="201" spans="1:2" ht="12.75">
      <c r="A201" s="1">
        <f t="shared" si="253"/>
        <v>37053</v>
      </c>
      <c r="B201" s="15">
        <f t="shared" si="254"/>
        <v>195</v>
      </c>
    </row>
    <row r="202" spans="1:2" ht="12.75">
      <c r="A202" s="1">
        <f t="shared" si="253"/>
        <v>37060</v>
      </c>
      <c r="B202" s="15">
        <f t="shared" si="254"/>
        <v>196</v>
      </c>
    </row>
    <row r="203" spans="1:2" ht="12.75">
      <c r="A203" s="1">
        <f t="shared" si="253"/>
        <v>37067</v>
      </c>
      <c r="B203" s="15">
        <f t="shared" si="254"/>
        <v>197</v>
      </c>
    </row>
    <row r="204" spans="1:2" ht="12.75">
      <c r="A204" s="1">
        <f t="shared" si="253"/>
        <v>37074</v>
      </c>
      <c r="B204" s="15">
        <f t="shared" si="254"/>
        <v>198</v>
      </c>
    </row>
    <row r="205" spans="1:2" ht="12.75">
      <c r="A205" s="1">
        <f t="shared" si="253"/>
        <v>37081</v>
      </c>
      <c r="B205" s="15">
        <f t="shared" si="254"/>
        <v>199</v>
      </c>
    </row>
    <row r="206" spans="1:2" ht="12.75">
      <c r="A206" s="1">
        <f t="shared" si="253"/>
        <v>37088</v>
      </c>
      <c r="B206" s="15">
        <f t="shared" si="254"/>
        <v>200</v>
      </c>
    </row>
    <row r="207" spans="1:2" ht="12.75">
      <c r="A207" s="1">
        <f t="shared" si="253"/>
        <v>37095</v>
      </c>
      <c r="B207" s="15">
        <f t="shared" si="254"/>
        <v>201</v>
      </c>
    </row>
    <row r="208" spans="1:2" ht="12.75">
      <c r="A208" s="1">
        <f t="shared" si="253"/>
        <v>37102</v>
      </c>
      <c r="B208" s="15">
        <f t="shared" si="254"/>
        <v>202</v>
      </c>
    </row>
    <row r="209" spans="1:2" ht="12.75">
      <c r="A209" s="1">
        <f t="shared" si="253"/>
        <v>37109</v>
      </c>
      <c r="B209" s="15">
        <f t="shared" si="254"/>
        <v>203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A1" sqref="A1:R44"/>
    </sheetView>
  </sheetViews>
  <sheetFormatPr defaultColWidth="9.140625" defaultRowHeight="12.75"/>
  <sheetData>
    <row r="1" spans="1:18" ht="12.75">
      <c r="A1" s="12" t="s">
        <v>6</v>
      </c>
      <c r="B1" s="6" t="s">
        <v>22</v>
      </c>
      <c r="C1" s="6" t="s">
        <v>39</v>
      </c>
      <c r="D1" s="6" t="s">
        <v>39</v>
      </c>
      <c r="E1" s="6" t="s">
        <v>39</v>
      </c>
      <c r="F1" s="6" t="s">
        <v>41</v>
      </c>
      <c r="G1" s="6" t="s">
        <v>41</v>
      </c>
      <c r="H1" s="6" t="s">
        <v>41</v>
      </c>
      <c r="I1" s="6" t="s">
        <v>37</v>
      </c>
      <c r="J1" s="6" t="s">
        <v>4</v>
      </c>
      <c r="K1" s="6" t="s">
        <v>3</v>
      </c>
      <c r="L1" s="6" t="s">
        <v>5</v>
      </c>
      <c r="M1" s="6" t="s">
        <v>17</v>
      </c>
      <c r="N1" s="6" t="s">
        <v>18</v>
      </c>
      <c r="O1" s="6" t="s">
        <v>19</v>
      </c>
      <c r="P1" s="6" t="s">
        <v>18</v>
      </c>
      <c r="Q1" s="6" t="s">
        <v>21</v>
      </c>
      <c r="R1" s="6" t="s">
        <v>23</v>
      </c>
    </row>
    <row r="2" spans="1:18" ht="12.75">
      <c r="A2" s="12"/>
      <c r="B2" s="6" t="s">
        <v>13</v>
      </c>
      <c r="C2" s="6" t="s">
        <v>13</v>
      </c>
      <c r="D2" s="6" t="s">
        <v>10</v>
      </c>
      <c r="E2" s="6" t="s">
        <v>40</v>
      </c>
      <c r="F2" s="6" t="s">
        <v>13</v>
      </c>
      <c r="G2" s="6" t="s">
        <v>10</v>
      </c>
      <c r="H2" s="6" t="s">
        <v>40</v>
      </c>
      <c r="I2" s="6" t="s">
        <v>38</v>
      </c>
      <c r="J2" s="6" t="s">
        <v>10</v>
      </c>
      <c r="K2" s="6" t="s">
        <v>10</v>
      </c>
      <c r="L2" s="6" t="s">
        <v>11</v>
      </c>
      <c r="M2" s="6" t="s">
        <v>16</v>
      </c>
      <c r="N2" s="6" t="s">
        <v>16</v>
      </c>
      <c r="O2" s="6" t="s">
        <v>20</v>
      </c>
      <c r="P2" s="6" t="s">
        <v>20</v>
      </c>
      <c r="Q2" s="6" t="s">
        <v>20</v>
      </c>
      <c r="R2" s="6" t="s">
        <v>24</v>
      </c>
    </row>
    <row r="3" spans="1:11" ht="12.75">
      <c r="A3" s="13">
        <v>35674</v>
      </c>
      <c r="B3" s="15">
        <v>1</v>
      </c>
      <c r="C3" s="24">
        <f>SUM('Weekly Data'!C7:C8)</f>
        <v>5</v>
      </c>
      <c r="D3" s="9">
        <f>C3*50</f>
        <v>250</v>
      </c>
      <c r="E3" s="9">
        <f>D3</f>
        <v>250</v>
      </c>
      <c r="F3" s="24" t="e">
        <f>SUM(#REF!)</f>
        <v>#REF!</v>
      </c>
      <c r="H3" s="9">
        <f>G3</f>
        <v>0</v>
      </c>
      <c r="J3" s="22">
        <f aca="true" t="shared" si="0" ref="J3:J26">D3+G3</f>
        <v>250</v>
      </c>
      <c r="K3" s="4" t="e">
        <f>SUM(#REF!)</f>
        <v>#REF!</v>
      </c>
    </row>
    <row r="4" spans="1:18" ht="12.75">
      <c r="A4" s="13">
        <v>35704</v>
      </c>
      <c r="B4" s="15">
        <f>B3+1</f>
        <v>2</v>
      </c>
      <c r="C4" s="24">
        <f>SUM('Weekly Data'!C9:C12)</f>
        <v>16</v>
      </c>
      <c r="D4" s="9">
        <f>C4*50</f>
        <v>800</v>
      </c>
      <c r="E4" s="9">
        <f>E3+D4</f>
        <v>1050</v>
      </c>
      <c r="F4" s="24" t="e">
        <f>SUM(#REF!)</f>
        <v>#REF!</v>
      </c>
      <c r="H4" s="9">
        <f>H3+G4</f>
        <v>0</v>
      </c>
      <c r="J4" s="22">
        <f t="shared" si="0"/>
        <v>800</v>
      </c>
      <c r="K4" s="4" t="e">
        <f>SUM(#REF!)+K3</f>
        <v>#REF!</v>
      </c>
      <c r="L4" s="5">
        <f aca="true" t="shared" si="1" ref="L4:L23">(J4/J3)-1</f>
        <v>2.2</v>
      </c>
      <c r="M4" s="18">
        <v>3389.85</v>
      </c>
      <c r="N4" s="18">
        <f>M4</f>
        <v>3389.85</v>
      </c>
      <c r="O4" s="9">
        <f>J4-M4</f>
        <v>-2589.85</v>
      </c>
      <c r="P4" s="9">
        <f>O4</f>
        <v>-2589.85</v>
      </c>
      <c r="Q4" s="19">
        <f>P4/B4</f>
        <v>-1294.925</v>
      </c>
      <c r="R4" s="20" t="e">
        <f>P4/K4</f>
        <v>#REF!</v>
      </c>
    </row>
    <row r="5" spans="1:18" ht="12.75">
      <c r="A5" s="13">
        <v>35735</v>
      </c>
      <c r="B5" s="15">
        <f aca="true" t="shared" si="2" ref="B5:B14">B4+1</f>
        <v>3</v>
      </c>
      <c r="C5" s="24">
        <f>SUM('Weekly Data'!C13:C16)</f>
        <v>27</v>
      </c>
      <c r="D5" s="9">
        <f>C5*50</f>
        <v>1350</v>
      </c>
      <c r="E5" s="9">
        <f aca="true" t="shared" si="3" ref="E5:E26">E4+D5</f>
        <v>2400</v>
      </c>
      <c r="F5" s="25" t="e">
        <f>SUM(#REF!)</f>
        <v>#REF!</v>
      </c>
      <c r="G5" s="9" t="e">
        <f>F5*15</f>
        <v>#REF!</v>
      </c>
      <c r="H5" s="9" t="e">
        <f aca="true" t="shared" si="4" ref="H5:H26">H4+G5</f>
        <v>#REF!</v>
      </c>
      <c r="I5" s="9"/>
      <c r="J5" s="22" t="e">
        <f t="shared" si="0"/>
        <v>#REF!</v>
      </c>
      <c r="K5" s="4" t="e">
        <f>SUM(#REF!)+K4</f>
        <v>#REF!</v>
      </c>
      <c r="L5" s="5" t="e">
        <f t="shared" si="1"/>
        <v>#REF!</v>
      </c>
      <c r="M5" s="18">
        <v>1269.69</v>
      </c>
      <c r="N5" s="18">
        <f>N4+M5</f>
        <v>4659.54</v>
      </c>
      <c r="O5" s="9" t="e">
        <f aca="true" t="shared" si="5" ref="O5:O11">J5-M5</f>
        <v>#REF!</v>
      </c>
      <c r="P5" s="9" t="e">
        <f>P4+O5</f>
        <v>#REF!</v>
      </c>
      <c r="Q5" s="19" t="e">
        <f aca="true" t="shared" si="6" ref="Q5:Q11">P5/B5</f>
        <v>#REF!</v>
      </c>
      <c r="R5" s="20" t="e">
        <f aca="true" t="shared" si="7" ref="R5:R11">P5/K5</f>
        <v>#REF!</v>
      </c>
    </row>
    <row r="6" spans="1:18" ht="12.75">
      <c r="A6" s="13">
        <v>35765</v>
      </c>
      <c r="B6" s="15">
        <f t="shared" si="2"/>
        <v>4</v>
      </c>
      <c r="C6" s="25" t="e">
        <f>SUM(#REF!)</f>
        <v>#REF!</v>
      </c>
      <c r="D6" s="9" t="e">
        <f>C6*50</f>
        <v>#REF!</v>
      </c>
      <c r="E6" s="9" t="e">
        <f t="shared" si="3"/>
        <v>#REF!</v>
      </c>
      <c r="F6" s="25" t="e">
        <f>SUM(#REF!)</f>
        <v>#REF!</v>
      </c>
      <c r="G6" s="9" t="e">
        <f>F6*15</f>
        <v>#REF!</v>
      </c>
      <c r="H6" s="9" t="e">
        <f t="shared" si="4"/>
        <v>#REF!</v>
      </c>
      <c r="I6" s="9"/>
      <c r="J6" s="22" t="e">
        <f t="shared" si="0"/>
        <v>#REF!</v>
      </c>
      <c r="K6" s="4" t="e">
        <f>SUM(#REF!)+K5</f>
        <v>#REF!</v>
      </c>
      <c r="L6" s="5" t="e">
        <f t="shared" si="1"/>
        <v>#REF!</v>
      </c>
      <c r="M6" s="18">
        <v>614.09</v>
      </c>
      <c r="N6" s="18">
        <f aca="true" t="shared" si="8" ref="N6:N11">N5+M6</f>
        <v>5273.63</v>
      </c>
      <c r="O6" s="9" t="e">
        <f t="shared" si="5"/>
        <v>#REF!</v>
      </c>
      <c r="P6" s="9" t="e">
        <f aca="true" t="shared" si="9" ref="P6:P11">P5+O6</f>
        <v>#REF!</v>
      </c>
      <c r="Q6" s="19" t="e">
        <f t="shared" si="6"/>
        <v>#REF!</v>
      </c>
      <c r="R6" s="20" t="e">
        <f t="shared" si="7"/>
        <v>#REF!</v>
      </c>
    </row>
    <row r="7" spans="1:18" ht="12.75">
      <c r="A7" s="13">
        <v>35796</v>
      </c>
      <c r="B7" s="15">
        <f t="shared" si="2"/>
        <v>5</v>
      </c>
      <c r="C7" s="25" t="e">
        <f>SUM(#REF!)</f>
        <v>#REF!</v>
      </c>
      <c r="D7" s="9" t="e">
        <f>C7*50</f>
        <v>#REF!</v>
      </c>
      <c r="E7" s="9" t="e">
        <f t="shared" si="3"/>
        <v>#REF!</v>
      </c>
      <c r="F7" s="25" t="e">
        <f>SUM(#REF!)</f>
        <v>#REF!</v>
      </c>
      <c r="G7" s="9" t="e">
        <f>F7*15</f>
        <v>#REF!</v>
      </c>
      <c r="H7" s="9" t="e">
        <f t="shared" si="4"/>
        <v>#REF!</v>
      </c>
      <c r="I7" s="9"/>
      <c r="J7" s="22" t="e">
        <f t="shared" si="0"/>
        <v>#REF!</v>
      </c>
      <c r="K7" s="4" t="e">
        <f>SUM(#REF!)+K6</f>
        <v>#REF!</v>
      </c>
      <c r="L7" s="5" t="e">
        <f t="shared" si="1"/>
        <v>#REF!</v>
      </c>
      <c r="M7" s="18">
        <v>962.1</v>
      </c>
      <c r="N7" s="18">
        <f t="shared" si="8"/>
        <v>6235.7300000000005</v>
      </c>
      <c r="O7" s="9" t="e">
        <f t="shared" si="5"/>
        <v>#REF!</v>
      </c>
      <c r="P7" s="9" t="e">
        <f t="shared" si="9"/>
        <v>#REF!</v>
      </c>
      <c r="Q7" s="19" t="e">
        <f t="shared" si="6"/>
        <v>#REF!</v>
      </c>
      <c r="R7" s="20" t="e">
        <f t="shared" si="7"/>
        <v>#REF!</v>
      </c>
    </row>
    <row r="8" spans="1:18" ht="12.75">
      <c r="A8" s="13">
        <f>A7+31</f>
        <v>35827</v>
      </c>
      <c r="B8" s="15">
        <f t="shared" si="2"/>
        <v>6</v>
      </c>
      <c r="C8" s="25" t="e">
        <f>SUM(#REF!)</f>
        <v>#REF!</v>
      </c>
      <c r="D8" s="9" t="e">
        <f>SUM(#REF!)</f>
        <v>#REF!</v>
      </c>
      <c r="E8" s="9" t="e">
        <f t="shared" si="3"/>
        <v>#REF!</v>
      </c>
      <c r="F8" s="24" t="e">
        <f>SUM(#REF!)</f>
        <v>#REF!</v>
      </c>
      <c r="G8" s="9" t="e">
        <f>SUM(#REF!)</f>
        <v>#REF!</v>
      </c>
      <c r="H8" s="9" t="e">
        <f t="shared" si="4"/>
        <v>#REF!</v>
      </c>
      <c r="I8" s="9"/>
      <c r="J8" s="22" t="e">
        <f t="shared" si="0"/>
        <v>#REF!</v>
      </c>
      <c r="K8" s="4" t="e">
        <f>SUM(#REF!)+K7</f>
        <v>#REF!</v>
      </c>
      <c r="L8" s="5" t="e">
        <f t="shared" si="1"/>
        <v>#REF!</v>
      </c>
      <c r="M8" s="18">
        <v>890.92</v>
      </c>
      <c r="N8" s="18">
        <f t="shared" si="8"/>
        <v>7126.650000000001</v>
      </c>
      <c r="O8" s="9" t="e">
        <f t="shared" si="5"/>
        <v>#REF!</v>
      </c>
      <c r="P8" s="9" t="e">
        <f t="shared" si="9"/>
        <v>#REF!</v>
      </c>
      <c r="Q8" s="19" t="e">
        <f t="shared" si="6"/>
        <v>#REF!</v>
      </c>
      <c r="R8" s="20" t="e">
        <f t="shared" si="7"/>
        <v>#REF!</v>
      </c>
    </row>
    <row r="9" spans="1:18" ht="12.75">
      <c r="A9" s="13">
        <f aca="true" t="shared" si="10" ref="A9:A42">A8+31</f>
        <v>35858</v>
      </c>
      <c r="B9" s="15">
        <f t="shared" si="2"/>
        <v>7</v>
      </c>
      <c r="C9" s="25" t="e">
        <f>SUM(#REF!)</f>
        <v>#REF!</v>
      </c>
      <c r="D9" s="9" t="e">
        <f>SUM(#REF!)</f>
        <v>#REF!</v>
      </c>
      <c r="E9" s="9" t="e">
        <f t="shared" si="3"/>
        <v>#REF!</v>
      </c>
      <c r="F9" s="25" t="e">
        <f>SUM(#REF!)</f>
        <v>#REF!</v>
      </c>
      <c r="G9" s="9" t="e">
        <f>SUM(#REF!)</f>
        <v>#REF!</v>
      </c>
      <c r="H9" s="9" t="e">
        <f t="shared" si="4"/>
        <v>#REF!</v>
      </c>
      <c r="I9" s="9"/>
      <c r="J9" s="22" t="e">
        <f t="shared" si="0"/>
        <v>#REF!</v>
      </c>
      <c r="K9" s="4" t="e">
        <f>SUM(#REF!)+K8</f>
        <v>#REF!</v>
      </c>
      <c r="L9" s="5" t="e">
        <f t="shared" si="1"/>
        <v>#REF!</v>
      </c>
      <c r="M9" s="18">
        <v>1176.63</v>
      </c>
      <c r="N9" s="18">
        <f t="shared" si="8"/>
        <v>8303.28</v>
      </c>
      <c r="O9" s="9" t="e">
        <f t="shared" si="5"/>
        <v>#REF!</v>
      </c>
      <c r="P9" s="9" t="e">
        <f t="shared" si="9"/>
        <v>#REF!</v>
      </c>
      <c r="Q9" s="19" t="e">
        <f t="shared" si="6"/>
        <v>#REF!</v>
      </c>
      <c r="R9" s="20" t="e">
        <f t="shared" si="7"/>
        <v>#REF!</v>
      </c>
    </row>
    <row r="10" spans="1:18" ht="12.75">
      <c r="A10" s="13">
        <f t="shared" si="10"/>
        <v>35889</v>
      </c>
      <c r="B10" s="15">
        <f t="shared" si="2"/>
        <v>8</v>
      </c>
      <c r="C10" s="25" t="e">
        <f>SUM(#REF!)</f>
        <v>#REF!</v>
      </c>
      <c r="D10" s="9" t="e">
        <f>SUM(#REF!)</f>
        <v>#REF!</v>
      </c>
      <c r="E10" s="9" t="e">
        <f t="shared" si="3"/>
        <v>#REF!</v>
      </c>
      <c r="F10" s="25" t="e">
        <f>SUM(#REF!)</f>
        <v>#REF!</v>
      </c>
      <c r="G10" s="9" t="e">
        <f>SUM(#REF!)</f>
        <v>#REF!</v>
      </c>
      <c r="H10" s="9" t="e">
        <f t="shared" si="4"/>
        <v>#REF!</v>
      </c>
      <c r="I10" s="9"/>
      <c r="J10" s="22" t="e">
        <f t="shared" si="0"/>
        <v>#REF!</v>
      </c>
      <c r="K10" s="4" t="e">
        <f>SUM(#REF!)+K9</f>
        <v>#REF!</v>
      </c>
      <c r="L10" s="5" t="e">
        <f t="shared" si="1"/>
        <v>#REF!</v>
      </c>
      <c r="M10" s="18">
        <f>347.8+128.76+234.99+685+33.6+27.65+395.45</f>
        <v>1853.25</v>
      </c>
      <c r="N10" s="18">
        <f t="shared" si="8"/>
        <v>10156.53</v>
      </c>
      <c r="O10" s="9" t="e">
        <f t="shared" si="5"/>
        <v>#REF!</v>
      </c>
      <c r="P10" s="9" t="e">
        <f t="shared" si="9"/>
        <v>#REF!</v>
      </c>
      <c r="Q10" s="19" t="e">
        <f t="shared" si="6"/>
        <v>#REF!</v>
      </c>
      <c r="R10" s="20" t="e">
        <f t="shared" si="7"/>
        <v>#REF!</v>
      </c>
    </row>
    <row r="11" spans="1:18" ht="12.75">
      <c r="A11" s="13">
        <f t="shared" si="10"/>
        <v>35920</v>
      </c>
      <c r="B11" s="15">
        <f t="shared" si="2"/>
        <v>9</v>
      </c>
      <c r="C11" s="25" t="e">
        <f>SUM(#REF!)</f>
        <v>#REF!</v>
      </c>
      <c r="D11" s="9" t="e">
        <f>SUM(#REF!)</f>
        <v>#REF!</v>
      </c>
      <c r="E11" s="9" t="e">
        <f t="shared" si="3"/>
        <v>#REF!</v>
      </c>
      <c r="F11" s="25" t="e">
        <f>SUM(#REF!)</f>
        <v>#REF!</v>
      </c>
      <c r="G11" s="9" t="e">
        <f>SUM(#REF!)</f>
        <v>#REF!</v>
      </c>
      <c r="H11" s="9" t="e">
        <f t="shared" si="4"/>
        <v>#REF!</v>
      </c>
      <c r="I11" s="9"/>
      <c r="J11" s="22" t="e">
        <f t="shared" si="0"/>
        <v>#REF!</v>
      </c>
      <c r="K11" s="4" t="e">
        <f>SUM(#REF!)+K10</f>
        <v>#REF!</v>
      </c>
      <c r="L11" s="5" t="e">
        <f t="shared" si="1"/>
        <v>#REF!</v>
      </c>
      <c r="M11" s="18">
        <v>243.52</v>
      </c>
      <c r="N11" s="18">
        <f t="shared" si="8"/>
        <v>10400.050000000001</v>
      </c>
      <c r="O11" s="9" t="e">
        <f t="shared" si="5"/>
        <v>#REF!</v>
      </c>
      <c r="P11" s="9" t="e">
        <f t="shared" si="9"/>
        <v>#REF!</v>
      </c>
      <c r="Q11" s="19" t="e">
        <f t="shared" si="6"/>
        <v>#REF!</v>
      </c>
      <c r="R11" s="20" t="e">
        <f t="shared" si="7"/>
        <v>#REF!</v>
      </c>
    </row>
    <row r="12" spans="1:12" ht="12.75">
      <c r="A12" s="13">
        <f t="shared" si="10"/>
        <v>35951</v>
      </c>
      <c r="B12" s="15">
        <f t="shared" si="2"/>
        <v>10</v>
      </c>
      <c r="C12" s="25" t="e">
        <f>SUM(#REF!)</f>
        <v>#REF!</v>
      </c>
      <c r="D12" s="9" t="e">
        <f>SUM(#REF!)</f>
        <v>#REF!</v>
      </c>
      <c r="E12" s="9" t="e">
        <f t="shared" si="3"/>
        <v>#REF!</v>
      </c>
      <c r="F12" s="25" t="e">
        <f>SUM(#REF!)</f>
        <v>#REF!</v>
      </c>
      <c r="G12" s="9" t="e">
        <f>SUM(#REF!)</f>
        <v>#REF!</v>
      </c>
      <c r="H12" s="9" t="e">
        <f t="shared" si="4"/>
        <v>#REF!</v>
      </c>
      <c r="I12" s="9"/>
      <c r="J12" s="22" t="e">
        <f t="shared" si="0"/>
        <v>#REF!</v>
      </c>
      <c r="K12" s="4" t="e">
        <f>SUM(#REF!)+K11</f>
        <v>#REF!</v>
      </c>
      <c r="L12" s="5" t="e">
        <f t="shared" si="1"/>
        <v>#REF!</v>
      </c>
    </row>
    <row r="13" spans="1:12" ht="12.75">
      <c r="A13" s="13">
        <f t="shared" si="10"/>
        <v>35982</v>
      </c>
      <c r="B13" s="15">
        <f t="shared" si="2"/>
        <v>11</v>
      </c>
      <c r="C13" s="25" t="e">
        <f>SUM(#REF!)</f>
        <v>#REF!</v>
      </c>
      <c r="D13" s="9" t="e">
        <f>SUM(#REF!)</f>
        <v>#REF!</v>
      </c>
      <c r="E13" s="9" t="e">
        <f t="shared" si="3"/>
        <v>#REF!</v>
      </c>
      <c r="F13" s="25" t="e">
        <f>SUM(#REF!)</f>
        <v>#REF!</v>
      </c>
      <c r="G13" s="9" t="e">
        <f>SUM(#REF!)</f>
        <v>#REF!</v>
      </c>
      <c r="H13" s="9" t="e">
        <f t="shared" si="4"/>
        <v>#REF!</v>
      </c>
      <c r="I13" s="9"/>
      <c r="J13" s="22" t="e">
        <f t="shared" si="0"/>
        <v>#REF!</v>
      </c>
      <c r="K13" s="4" t="e">
        <f>SUM(#REF!)+K12</f>
        <v>#REF!</v>
      </c>
      <c r="L13" s="5" t="e">
        <f t="shared" si="1"/>
        <v>#REF!</v>
      </c>
    </row>
    <row r="14" spans="1:12" ht="12.75">
      <c r="A14" s="13">
        <f t="shared" si="10"/>
        <v>36013</v>
      </c>
      <c r="B14" s="15">
        <f t="shared" si="2"/>
        <v>12</v>
      </c>
      <c r="C14" s="25" t="e">
        <f>SUM(#REF!)</f>
        <v>#REF!</v>
      </c>
      <c r="D14" s="9" t="e">
        <f>SUM(#REF!)</f>
        <v>#REF!</v>
      </c>
      <c r="E14" s="9" t="e">
        <f t="shared" si="3"/>
        <v>#REF!</v>
      </c>
      <c r="F14" s="25" t="e">
        <f>SUM(#REF!)</f>
        <v>#REF!</v>
      </c>
      <c r="G14" s="9" t="e">
        <f>SUM(#REF!)</f>
        <v>#REF!</v>
      </c>
      <c r="H14" s="9" t="e">
        <f t="shared" si="4"/>
        <v>#REF!</v>
      </c>
      <c r="I14" s="9"/>
      <c r="J14" s="22" t="e">
        <f t="shared" si="0"/>
        <v>#REF!</v>
      </c>
      <c r="K14" s="4" t="e">
        <f>SUM(#REF!)+K13</f>
        <v>#REF!</v>
      </c>
      <c r="L14" s="5" t="e">
        <f t="shared" si="1"/>
        <v>#REF!</v>
      </c>
    </row>
    <row r="15" spans="1:18" ht="12.75">
      <c r="A15" s="26">
        <f t="shared" si="10"/>
        <v>36044</v>
      </c>
      <c r="B15" s="27" t="s">
        <v>25</v>
      </c>
      <c r="C15" s="28" t="e">
        <f>SUM(#REF!)</f>
        <v>#REF!</v>
      </c>
      <c r="D15" s="29" t="e">
        <f>SUM(#REF!)</f>
        <v>#REF!</v>
      </c>
      <c r="E15" s="29" t="e">
        <f>D15</f>
        <v>#REF!</v>
      </c>
      <c r="F15" s="28" t="e">
        <f>SUM(#REF!)</f>
        <v>#REF!</v>
      </c>
      <c r="G15" s="29" t="e">
        <f>SUM(#REF!)</f>
        <v>#REF!</v>
      </c>
      <c r="H15" s="29" t="e">
        <f>G15</f>
        <v>#REF!</v>
      </c>
      <c r="I15" s="29"/>
      <c r="J15" s="30" t="e">
        <f t="shared" si="0"/>
        <v>#REF!</v>
      </c>
      <c r="K15" s="31" t="e">
        <f>SUM(#REF!)</f>
        <v>#REF!</v>
      </c>
      <c r="L15" s="32" t="e">
        <f t="shared" si="1"/>
        <v>#REF!</v>
      </c>
      <c r="M15" s="33"/>
      <c r="N15" s="33"/>
      <c r="O15" s="33"/>
      <c r="P15" s="33"/>
      <c r="Q15" s="33"/>
      <c r="R15" s="33"/>
    </row>
    <row r="16" spans="1:12" ht="12.75">
      <c r="A16" s="13">
        <f t="shared" si="10"/>
        <v>36075</v>
      </c>
      <c r="B16" s="15" t="s">
        <v>26</v>
      </c>
      <c r="C16" s="25" t="e">
        <f>SUM(#REF!)</f>
        <v>#REF!</v>
      </c>
      <c r="D16" s="9" t="e">
        <f>SUM(#REF!)</f>
        <v>#REF!</v>
      </c>
      <c r="E16" s="9" t="e">
        <f t="shared" si="3"/>
        <v>#REF!</v>
      </c>
      <c r="F16" s="25" t="e">
        <f>SUM(#REF!)</f>
        <v>#REF!</v>
      </c>
      <c r="G16" s="9" t="e">
        <f>SUM(#REF!)</f>
        <v>#REF!</v>
      </c>
      <c r="H16" s="9" t="e">
        <f t="shared" si="4"/>
        <v>#REF!</v>
      </c>
      <c r="I16" s="9"/>
      <c r="J16" s="22" t="e">
        <f t="shared" si="0"/>
        <v>#REF!</v>
      </c>
      <c r="K16" s="4" t="e">
        <f>SUM(#REF!)+K15</f>
        <v>#REF!</v>
      </c>
      <c r="L16" s="5" t="e">
        <f t="shared" si="1"/>
        <v>#REF!</v>
      </c>
    </row>
    <row r="17" spans="1:12" ht="12.75">
      <c r="A17" s="13">
        <f t="shared" si="10"/>
        <v>36106</v>
      </c>
      <c r="B17" s="15" t="s">
        <v>27</v>
      </c>
      <c r="C17" s="25" t="e">
        <f>SUM(#REF!)</f>
        <v>#REF!</v>
      </c>
      <c r="D17" s="9" t="e">
        <f>SUM(#REF!)</f>
        <v>#REF!</v>
      </c>
      <c r="E17" s="9" t="e">
        <f t="shared" si="3"/>
        <v>#REF!</v>
      </c>
      <c r="F17" s="25" t="e">
        <f>SUM(#REF!)</f>
        <v>#REF!</v>
      </c>
      <c r="G17" s="9" t="e">
        <f>SUM(#REF!)</f>
        <v>#REF!</v>
      </c>
      <c r="H17" s="9" t="e">
        <f t="shared" si="4"/>
        <v>#REF!</v>
      </c>
      <c r="I17" s="23" t="e">
        <f>(G17/G5)-1</f>
        <v>#REF!</v>
      </c>
      <c r="J17" s="22" t="e">
        <f t="shared" si="0"/>
        <v>#REF!</v>
      </c>
      <c r="K17" s="4" t="e">
        <f>SUM(#REF!)+K16</f>
        <v>#REF!</v>
      </c>
      <c r="L17" s="5" t="e">
        <f t="shared" si="1"/>
        <v>#REF!</v>
      </c>
    </row>
    <row r="18" spans="1:12" ht="12.75">
      <c r="A18" s="13">
        <f t="shared" si="10"/>
        <v>36137</v>
      </c>
      <c r="B18" s="15" t="s">
        <v>28</v>
      </c>
      <c r="C18" s="25" t="e">
        <f>SUM(#REF!)</f>
        <v>#REF!</v>
      </c>
      <c r="D18" s="9" t="e">
        <f>SUM(#REF!)</f>
        <v>#REF!</v>
      </c>
      <c r="E18" s="9" t="e">
        <f t="shared" si="3"/>
        <v>#REF!</v>
      </c>
      <c r="F18" s="25" t="e">
        <f>SUM(#REF!)</f>
        <v>#REF!</v>
      </c>
      <c r="G18" s="9" t="e">
        <f>SUM(#REF!)</f>
        <v>#REF!</v>
      </c>
      <c r="H18" s="9" t="e">
        <f t="shared" si="4"/>
        <v>#REF!</v>
      </c>
      <c r="I18" s="23" t="e">
        <f aca="true" t="shared" si="11" ref="I18:I26">(G18/G6)-1</f>
        <v>#REF!</v>
      </c>
      <c r="J18" s="22" t="e">
        <f t="shared" si="0"/>
        <v>#REF!</v>
      </c>
      <c r="K18" s="4" t="e">
        <f>SUM(#REF!)+K17</f>
        <v>#REF!</v>
      </c>
      <c r="L18" s="5" t="e">
        <f t="shared" si="1"/>
        <v>#REF!</v>
      </c>
    </row>
    <row r="19" spans="1:12" ht="12.75">
      <c r="A19" s="13">
        <f t="shared" si="10"/>
        <v>36168</v>
      </c>
      <c r="B19" s="40" t="s">
        <v>29</v>
      </c>
      <c r="C19" s="25" t="e">
        <f>SUM(#REF!)</f>
        <v>#REF!</v>
      </c>
      <c r="D19" s="9" t="e">
        <f>SUM(#REF!)</f>
        <v>#REF!</v>
      </c>
      <c r="E19" s="9" t="e">
        <f t="shared" si="3"/>
        <v>#REF!</v>
      </c>
      <c r="F19" s="25" t="e">
        <f>SUM(#REF!)</f>
        <v>#REF!</v>
      </c>
      <c r="G19" s="9" t="e">
        <f>SUM(#REF!)</f>
        <v>#REF!</v>
      </c>
      <c r="H19" s="9" t="e">
        <f t="shared" si="4"/>
        <v>#REF!</v>
      </c>
      <c r="I19" s="23" t="e">
        <f t="shared" si="11"/>
        <v>#REF!</v>
      </c>
      <c r="J19" s="22" t="e">
        <f t="shared" si="0"/>
        <v>#REF!</v>
      </c>
      <c r="K19" s="4" t="e">
        <f>SUM(#REF!)+K18</f>
        <v>#REF!</v>
      </c>
      <c r="L19" s="5" t="e">
        <f t="shared" si="1"/>
        <v>#REF!</v>
      </c>
    </row>
    <row r="20" spans="1:12" ht="12.75">
      <c r="A20" s="13">
        <f t="shared" si="10"/>
        <v>36199</v>
      </c>
      <c r="B20" s="40" t="s">
        <v>30</v>
      </c>
      <c r="C20" s="25" t="e">
        <f>SUM(#REF!)</f>
        <v>#REF!</v>
      </c>
      <c r="D20" s="9" t="e">
        <f>SUM(#REF!)</f>
        <v>#REF!</v>
      </c>
      <c r="E20" s="9" t="e">
        <f t="shared" si="3"/>
        <v>#REF!</v>
      </c>
      <c r="F20" s="25" t="e">
        <f>SUM(#REF!)</f>
        <v>#REF!</v>
      </c>
      <c r="G20" s="9" t="e">
        <f>SUM(#REF!)</f>
        <v>#REF!</v>
      </c>
      <c r="H20" s="9" t="e">
        <f t="shared" si="4"/>
        <v>#REF!</v>
      </c>
      <c r="I20" s="23" t="e">
        <f t="shared" si="11"/>
        <v>#REF!</v>
      </c>
      <c r="J20" s="22" t="e">
        <f t="shared" si="0"/>
        <v>#REF!</v>
      </c>
      <c r="K20" s="4" t="e">
        <f>SUM(#REF!)+K19</f>
        <v>#REF!</v>
      </c>
      <c r="L20" s="5" t="e">
        <f t="shared" si="1"/>
        <v>#REF!</v>
      </c>
    </row>
    <row r="21" spans="1:12" ht="12.75">
      <c r="A21" s="13">
        <f t="shared" si="10"/>
        <v>36230</v>
      </c>
      <c r="B21" s="40" t="s">
        <v>31</v>
      </c>
      <c r="C21" s="25" t="e">
        <f>SUM(#REF!)</f>
        <v>#REF!</v>
      </c>
      <c r="D21" s="9" t="e">
        <f>SUM(#REF!)</f>
        <v>#REF!</v>
      </c>
      <c r="E21" s="9" t="e">
        <f t="shared" si="3"/>
        <v>#REF!</v>
      </c>
      <c r="F21" s="25" t="e">
        <f>SUM(#REF!)</f>
        <v>#REF!</v>
      </c>
      <c r="G21" s="9" t="e">
        <f>SUM(#REF!)</f>
        <v>#REF!</v>
      </c>
      <c r="H21" s="9" t="e">
        <f t="shared" si="4"/>
        <v>#REF!</v>
      </c>
      <c r="I21" s="23" t="e">
        <f t="shared" si="11"/>
        <v>#REF!</v>
      </c>
      <c r="J21" s="22" t="e">
        <f t="shared" si="0"/>
        <v>#REF!</v>
      </c>
      <c r="K21" s="4" t="e">
        <f>SUM(#REF!)+K20</f>
        <v>#REF!</v>
      </c>
      <c r="L21" s="5" t="e">
        <f t="shared" si="1"/>
        <v>#REF!</v>
      </c>
    </row>
    <row r="22" spans="1:12" ht="12.75">
      <c r="A22" s="13">
        <f t="shared" si="10"/>
        <v>36261</v>
      </c>
      <c r="B22" s="40" t="s">
        <v>32</v>
      </c>
      <c r="C22" s="25" t="e">
        <f>SUM(#REF!)</f>
        <v>#REF!</v>
      </c>
      <c r="D22" s="9" t="e">
        <f>SUM(#REF!)</f>
        <v>#REF!</v>
      </c>
      <c r="E22" s="9" t="e">
        <f t="shared" si="3"/>
        <v>#REF!</v>
      </c>
      <c r="F22" s="25" t="e">
        <f>SUM(#REF!)</f>
        <v>#REF!</v>
      </c>
      <c r="G22" s="9" t="e">
        <f>SUM(#REF!)</f>
        <v>#REF!</v>
      </c>
      <c r="H22" s="9" t="e">
        <f t="shared" si="4"/>
        <v>#REF!</v>
      </c>
      <c r="I22" s="23" t="e">
        <f t="shared" si="11"/>
        <v>#REF!</v>
      </c>
      <c r="J22" s="22" t="e">
        <f t="shared" si="0"/>
        <v>#REF!</v>
      </c>
      <c r="K22" s="4" t="e">
        <f>SUM(#REF!)+K21</f>
        <v>#REF!</v>
      </c>
      <c r="L22" s="5" t="e">
        <f t="shared" si="1"/>
        <v>#REF!</v>
      </c>
    </row>
    <row r="23" spans="1:12" ht="12.75">
      <c r="A23" s="13">
        <f t="shared" si="10"/>
        <v>36292</v>
      </c>
      <c r="B23" s="40" t="s">
        <v>33</v>
      </c>
      <c r="C23" s="25" t="e">
        <f>SUM(#REF!)</f>
        <v>#REF!</v>
      </c>
      <c r="D23" s="9" t="e">
        <f>SUM(#REF!)</f>
        <v>#REF!</v>
      </c>
      <c r="E23" s="9" t="e">
        <f t="shared" si="3"/>
        <v>#REF!</v>
      </c>
      <c r="F23" s="25" t="e">
        <f>SUM(#REF!)</f>
        <v>#REF!</v>
      </c>
      <c r="G23" s="9" t="e">
        <f>SUM(#REF!)</f>
        <v>#REF!</v>
      </c>
      <c r="H23" s="9" t="e">
        <f t="shared" si="4"/>
        <v>#REF!</v>
      </c>
      <c r="I23" s="23" t="e">
        <f t="shared" si="11"/>
        <v>#REF!</v>
      </c>
      <c r="J23" s="22" t="e">
        <f t="shared" si="0"/>
        <v>#REF!</v>
      </c>
      <c r="K23" s="4" t="e">
        <f>SUM(#REF!)+K22</f>
        <v>#REF!</v>
      </c>
      <c r="L23" s="5" t="e">
        <f t="shared" si="1"/>
        <v>#REF!</v>
      </c>
    </row>
    <row r="24" spans="1:12" ht="12.75">
      <c r="A24" s="13">
        <f t="shared" si="10"/>
        <v>36323</v>
      </c>
      <c r="B24" s="40" t="s">
        <v>34</v>
      </c>
      <c r="C24" s="25" t="e">
        <f>SUM(#REF!)</f>
        <v>#REF!</v>
      </c>
      <c r="D24" s="9" t="e">
        <f>SUM(#REF!)</f>
        <v>#REF!</v>
      </c>
      <c r="E24" s="9" t="e">
        <f t="shared" si="3"/>
        <v>#REF!</v>
      </c>
      <c r="F24" s="25" t="e">
        <f>SUM(#REF!)</f>
        <v>#REF!</v>
      </c>
      <c r="G24" s="9" t="e">
        <f>SUM(#REF!)</f>
        <v>#REF!</v>
      </c>
      <c r="H24" s="9" t="e">
        <f t="shared" si="4"/>
        <v>#REF!</v>
      </c>
      <c r="I24" s="23" t="e">
        <f t="shared" si="11"/>
        <v>#REF!</v>
      </c>
      <c r="J24" s="22" t="e">
        <f t="shared" si="0"/>
        <v>#REF!</v>
      </c>
      <c r="K24" s="4" t="e">
        <f>SUM(#REF!)+K23</f>
        <v>#REF!</v>
      </c>
      <c r="L24" s="5" t="e">
        <f>(J24/J23)-1</f>
        <v>#REF!</v>
      </c>
    </row>
    <row r="25" spans="1:12" ht="12.75">
      <c r="A25" s="13">
        <f t="shared" si="10"/>
        <v>36354</v>
      </c>
      <c r="B25" s="40" t="s">
        <v>35</v>
      </c>
      <c r="C25" s="25" t="e">
        <f>SUM(#REF!)</f>
        <v>#REF!</v>
      </c>
      <c r="D25" s="9" t="e">
        <f>SUM(#REF!)</f>
        <v>#REF!</v>
      </c>
      <c r="E25" s="9" t="e">
        <f t="shared" si="3"/>
        <v>#REF!</v>
      </c>
      <c r="F25" s="25" t="e">
        <f>SUM(#REF!)</f>
        <v>#REF!</v>
      </c>
      <c r="G25" s="9" t="e">
        <f>SUM(#REF!)</f>
        <v>#REF!</v>
      </c>
      <c r="H25" s="9" t="e">
        <f t="shared" si="4"/>
        <v>#REF!</v>
      </c>
      <c r="I25" s="23" t="e">
        <f t="shared" si="11"/>
        <v>#REF!</v>
      </c>
      <c r="J25" s="22" t="e">
        <f t="shared" si="0"/>
        <v>#REF!</v>
      </c>
      <c r="K25" s="4" t="e">
        <f>SUM(#REF!)+K24</f>
        <v>#REF!</v>
      </c>
      <c r="L25" s="5" t="e">
        <f>(J25/J24)-1</f>
        <v>#REF!</v>
      </c>
    </row>
    <row r="26" spans="1:12" ht="12.75">
      <c r="A26" s="13">
        <f t="shared" si="10"/>
        <v>36385</v>
      </c>
      <c r="B26" s="40" t="s">
        <v>36</v>
      </c>
      <c r="C26" s="25" t="e">
        <f>SUM(#REF!)</f>
        <v>#REF!</v>
      </c>
      <c r="D26" s="9" t="e">
        <f>SUM(#REF!)</f>
        <v>#REF!</v>
      </c>
      <c r="E26" s="9" t="e">
        <f t="shared" si="3"/>
        <v>#REF!</v>
      </c>
      <c r="F26" s="25" t="e">
        <f>SUM(#REF!)</f>
        <v>#REF!</v>
      </c>
      <c r="G26" s="9" t="e">
        <f>SUM(#REF!)</f>
        <v>#REF!</v>
      </c>
      <c r="H26" s="9" t="e">
        <f t="shared" si="4"/>
        <v>#REF!</v>
      </c>
      <c r="I26" s="23" t="e">
        <f t="shared" si="11"/>
        <v>#REF!</v>
      </c>
      <c r="J26" s="22" t="e">
        <f t="shared" si="0"/>
        <v>#REF!</v>
      </c>
      <c r="K26" s="4" t="e">
        <f>SUM(#REF!)+K25</f>
        <v>#REF!</v>
      </c>
      <c r="L26" s="5" t="e">
        <f>(J26/J25)-1</f>
        <v>#REF!</v>
      </c>
    </row>
    <row r="27" spans="1:18" ht="12.75">
      <c r="A27" s="26">
        <f t="shared" si="10"/>
        <v>36416</v>
      </c>
      <c r="B27" s="27" t="s">
        <v>25</v>
      </c>
      <c r="C27" s="33"/>
      <c r="D27" s="33"/>
      <c r="E27" s="33"/>
      <c r="F27" s="33"/>
      <c r="G27" s="29"/>
      <c r="H27" s="29"/>
      <c r="I27" s="32"/>
      <c r="J27" s="33"/>
      <c r="K27" s="33"/>
      <c r="L27" s="33"/>
      <c r="M27" s="33"/>
      <c r="N27" s="33"/>
      <c r="O27" s="33"/>
      <c r="P27" s="33"/>
      <c r="Q27" s="33"/>
      <c r="R27" s="33"/>
    </row>
    <row r="28" spans="1:8" ht="12.75">
      <c r="A28" s="13">
        <f t="shared" si="10"/>
        <v>36447</v>
      </c>
      <c r="B28" s="15" t="s">
        <v>26</v>
      </c>
      <c r="G28" s="9"/>
      <c r="H28" s="9"/>
    </row>
    <row r="29" spans="1:2" ht="12.75">
      <c r="A29" s="13">
        <f t="shared" si="10"/>
        <v>36478</v>
      </c>
      <c r="B29" s="15" t="s">
        <v>27</v>
      </c>
    </row>
    <row r="30" spans="1:2" ht="12.75">
      <c r="A30" s="13">
        <f t="shared" si="10"/>
        <v>36509</v>
      </c>
      <c r="B30" s="15" t="s">
        <v>28</v>
      </c>
    </row>
    <row r="31" spans="1:2" ht="12.75">
      <c r="A31" s="13">
        <f t="shared" si="10"/>
        <v>36540</v>
      </c>
      <c r="B31" s="40" t="s">
        <v>29</v>
      </c>
    </row>
    <row r="32" spans="1:2" ht="12.75">
      <c r="A32" s="13">
        <f t="shared" si="10"/>
        <v>36571</v>
      </c>
      <c r="B32" s="40" t="s">
        <v>30</v>
      </c>
    </row>
    <row r="33" spans="1:2" ht="12.75">
      <c r="A33" s="13">
        <f t="shared" si="10"/>
        <v>36602</v>
      </c>
      <c r="B33" s="40" t="s">
        <v>31</v>
      </c>
    </row>
    <row r="34" spans="1:2" ht="12.75">
      <c r="A34" s="13">
        <f t="shared" si="10"/>
        <v>36633</v>
      </c>
      <c r="B34" s="40" t="s">
        <v>32</v>
      </c>
    </row>
    <row r="35" spans="1:2" ht="12.75">
      <c r="A35" s="13">
        <f t="shared" si="10"/>
        <v>36664</v>
      </c>
      <c r="B35" s="40" t="s">
        <v>33</v>
      </c>
    </row>
    <row r="36" spans="1:2" ht="12.75">
      <c r="A36" s="13">
        <f t="shared" si="10"/>
        <v>36695</v>
      </c>
      <c r="B36" s="40" t="s">
        <v>34</v>
      </c>
    </row>
    <row r="37" spans="1:2" ht="12.75">
      <c r="A37" s="13">
        <f t="shared" si="10"/>
        <v>36726</v>
      </c>
      <c r="B37" s="40" t="s">
        <v>35</v>
      </c>
    </row>
    <row r="38" spans="1:2" ht="12.75">
      <c r="A38" s="13">
        <f t="shared" si="10"/>
        <v>36757</v>
      </c>
      <c r="B38" s="40" t="s">
        <v>36</v>
      </c>
    </row>
    <row r="39" spans="1:2" ht="12.75">
      <c r="A39" s="13">
        <f t="shared" si="10"/>
        <v>36788</v>
      </c>
      <c r="B39" s="17"/>
    </row>
    <row r="40" spans="1:2" ht="12.75">
      <c r="A40" s="13">
        <f t="shared" si="10"/>
        <v>36819</v>
      </c>
      <c r="B40" s="17"/>
    </row>
    <row r="41" spans="1:2" ht="12.75">
      <c r="A41" s="13">
        <f t="shared" si="10"/>
        <v>36850</v>
      </c>
      <c r="B41" s="17"/>
    </row>
    <row r="42" spans="1:2" ht="12.75">
      <c r="A42" s="13">
        <f t="shared" si="10"/>
        <v>36881</v>
      </c>
      <c r="B42" s="17"/>
    </row>
    <row r="43" spans="1:2" ht="12.75">
      <c r="A43" s="13"/>
      <c r="B43" s="17"/>
    </row>
    <row r="44" spans="1:2" ht="12.75">
      <c r="A44" s="13"/>
      <c r="B44" s="17"/>
    </row>
    <row r="45" spans="1:2" ht="12.75">
      <c r="A45" s="14"/>
      <c r="B45" s="1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Dale Pickles</cp:lastModifiedBy>
  <cp:lastPrinted>2000-11-23T17:58:39Z</cp:lastPrinted>
  <dcterms:created xsi:type="dcterms:W3CDTF">1998-06-11T17:54:54Z</dcterms:created>
  <dcterms:modified xsi:type="dcterms:W3CDTF">2009-05-05T14:16:42Z</dcterms:modified>
  <cp:category/>
  <cp:version/>
  <cp:contentType/>
  <cp:contentStatus/>
</cp:coreProperties>
</file>