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30" windowHeight="72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'Sheet1'!#REF!,'Sheet1'!#REF!,'Sheet1'!#REF!,'Sheet1'!#REF!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<sst xmlns="http://schemas.openxmlformats.org/spreadsheetml/2006/main" count="62" uniqueCount="50">
  <si>
    <t>ISA</t>
  </si>
  <si>
    <t>ref_weight</t>
  </si>
  <si>
    <t>celsius</t>
  </si>
  <si>
    <t>weight</t>
  </si>
  <si>
    <t>Standard Atmosphere below 36089 feet</t>
  </si>
  <si>
    <t>temp_sl</t>
  </si>
  <si>
    <t>rho_sl</t>
  </si>
  <si>
    <t>Rankine</t>
  </si>
  <si>
    <t>slugs per cubic ft.</t>
  </si>
  <si>
    <t>press_sl</t>
  </si>
  <si>
    <t>lbs per sq. ft.</t>
  </si>
  <si>
    <t>height</t>
  </si>
  <si>
    <t>PSI</t>
  </si>
  <si>
    <t>in.Hg.</t>
  </si>
  <si>
    <t>sigma</t>
  </si>
  <si>
    <t>delta</t>
  </si>
  <si>
    <t>to_roll =</t>
  </si>
  <si>
    <t>=(1-Altitude/145442)^5.255876/(273.15+Temperature)*(273.15+15)</t>
  </si>
  <si>
    <t>ISA=</t>
  </si>
  <si>
    <t>the altitude where this is the standard temperature; converted to take off run</t>
  </si>
  <si>
    <t>ISA_alt=</t>
  </si>
  <si>
    <t>=(1-Temp/288.15)*145442</t>
  </si>
  <si>
    <t>ISA_roll=</t>
  </si>
  <si>
    <t>=substitute Temp and ISA_alt into to_roll formula</t>
  </si>
  <si>
    <t>ISA_den_rat=</t>
  </si>
  <si>
    <t>=(Temp/288.15)^4.255876</t>
  </si>
  <si>
    <t>den_ratio=</t>
  </si>
  <si>
    <t>*den_ratio^</t>
  </si>
  <si>
    <t>Relative values as a function of altitude (h) in feet</t>
  </si>
  <si>
    <t>theta(T/T_sl)</t>
  </si>
  <si>
    <t>Kelvin</t>
  </si>
  <si>
    <t>to_roll=</t>
  </si>
  <si>
    <t>to_roll_part_1 * weight_ratio ^</t>
  </si>
  <si>
    <t>=(1-Altitude/145442)^4.255876</t>
  </si>
  <si>
    <t>here we use the ISA temperature, so dens_ratio simplifies to</t>
  </si>
  <si>
    <t>to_roll_part_1 * (1+ v_wind/v_to)^</t>
  </si>
  <si>
    <t>v_to=</t>
  </si>
  <si>
    <t>/(den_ratio)^0.5</t>
  </si>
  <si>
    <t>Part 1 equations - density altitude lines</t>
  </si>
  <si>
    <t>ISA_roll</t>
  </si>
  <si>
    <t>chosen exponent</t>
  </si>
  <si>
    <t>Part 2 equations - lines for to_roll = f(press_alt,temperature) and ISA line</t>
  </si>
  <si>
    <t>Part 3 equations - variation with weight</t>
  </si>
  <si>
    <t>Part 4 equations - variation with wind</t>
  </si>
  <si>
    <t>here we use the ISA temperature and reference weight, so use dens_ratio of part 3</t>
  </si>
  <si>
    <t>Part 5 equations - reference lines</t>
  </si>
  <si>
    <t>x</t>
  </si>
  <si>
    <t>y</t>
  </si>
  <si>
    <t>wind</t>
  </si>
  <si>
    <t>usage_line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</si>
</sst>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.75"/>
      <name val="Arial"/>
      <family val="2"/>
    </font>
    <font>
      <b/>
      <sz val="11.75"/>
      <name val="Arial"/>
      <family val="2"/>
    </font>
    <font>
      <sz val="8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1966 Mooney M20E Take Off Roll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Sheet1!$B$34</c:f>
              <c:strCache>
                <c:ptCount val="1"/>
                <c:pt idx="0">
                  <c:v>ISA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Sheet1!$B$35:$B$57</c:f>
              <c:numCache/>
            </c:numRef>
          </c:val>
          <c:smooth val="0"/>
        </c:ser>
        <c:ser>
          <c:idx val="2"/>
          <c:order val="1"/>
          <c:tx>
            <c:strRef>
              <c:f>Sheet1!$C$34</c:f>
              <c:strCache>
                <c:ptCount val="1"/>
                <c:pt idx="0">
                  <c:v>-2000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Sheet1!$C$35:$C$57</c:f>
              <c:numCache/>
            </c:numRef>
          </c:val>
          <c:smooth val="0"/>
        </c:ser>
        <c:ser>
          <c:idx val="3"/>
          <c:order val="2"/>
          <c:tx>
            <c:strRef>
              <c:f>Sheet1!$D$34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Sheet1!$D$35:$D$57</c:f>
              <c:numCache/>
            </c:numRef>
          </c:val>
          <c:smooth val="0"/>
        </c:ser>
        <c:ser>
          <c:idx val="4"/>
          <c:order val="3"/>
          <c:tx>
            <c:strRef>
              <c:f>Sheet1!$E$34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Sheet1!$E$35:$E$57</c:f>
              <c:numCache/>
            </c:numRef>
          </c:val>
          <c:smooth val="0"/>
        </c:ser>
        <c:ser>
          <c:idx val="5"/>
          <c:order val="4"/>
          <c:tx>
            <c:strRef>
              <c:f>Sheet1!$F$34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Sheet1!$F$35:$F$57</c:f>
              <c:numCache/>
            </c:numRef>
          </c:val>
          <c:smooth val="0"/>
        </c:ser>
        <c:ser>
          <c:idx val="6"/>
          <c:order val="5"/>
          <c:tx>
            <c:strRef>
              <c:f>Sheet1!$G$34</c:f>
              <c:strCache>
                <c:ptCount val="1"/>
                <c:pt idx="0">
                  <c:v>6000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Sheet1!$G$35:$G$57</c:f>
              <c:numCache/>
            </c:numRef>
          </c:val>
          <c:smooth val="0"/>
        </c:ser>
        <c:ser>
          <c:idx val="7"/>
          <c:order val="6"/>
          <c:tx>
            <c:strRef>
              <c:f>Sheet1!$H$34</c:f>
              <c:strCache>
                <c:ptCount val="1"/>
                <c:pt idx="0">
                  <c:v>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Sheet1!$H$35:$H$57</c:f>
              <c:numCache/>
            </c:numRef>
          </c:val>
          <c:smooth val="0"/>
        </c:ser>
        <c:ser>
          <c:idx val="8"/>
          <c:order val="7"/>
          <c:tx>
            <c:strRef>
              <c:f>Sheet1!$I$34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Sheet1!$I$35:$I$57</c:f>
              <c:numCache/>
            </c:numRef>
          </c:val>
          <c:smooth val="0"/>
        </c:ser>
        <c:ser>
          <c:idx val="9"/>
          <c:order val="8"/>
          <c:tx>
            <c:strRef>
              <c:f>Sheet1!$J$34</c:f>
              <c:strCache>
                <c:ptCount val="1"/>
                <c:pt idx="0">
                  <c:v>12000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Sheet1!$A$35:$A$57</c:f>
              <c:numCache/>
            </c:numRef>
          </c:cat>
          <c:val>
            <c:numRef>
              <c:f>Sheet1!$J$35:$J$57</c:f>
              <c:numCache/>
            </c:numRef>
          </c:val>
          <c:smooth val="0"/>
        </c:ser>
        <c:axId val="18521225"/>
        <c:axId val="32473298"/>
      </c:lineChart>
      <c:scatterChart>
        <c:scatterStyle val="lineMarker"/>
        <c:varyColors val="0"/>
        <c:ser>
          <c:idx val="10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Sheet1!$C$89:$C$90</c:f>
              <c:numCache/>
            </c:numRef>
          </c:xVal>
          <c:yVal>
            <c:numRef>
              <c:f>Sheet1!$D$89:$D$90</c:f>
              <c:numCache/>
            </c:numRef>
          </c:yVal>
          <c:smooth val="0"/>
        </c:ser>
        <c:ser>
          <c:idx val="11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Sheet1!$C$92:$C$93</c:f>
              <c:numCache/>
            </c:numRef>
          </c:xVal>
          <c:yVal>
            <c:numRef>
              <c:f>Sheet1!$D$92:$D$93</c:f>
              <c:numCache/>
            </c:numRef>
          </c:yVal>
          <c:smooth val="0"/>
        </c:ser>
        <c:ser>
          <c:idx val="0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Sheet1!$A$35:$A$57</c:f>
              <c:numCache/>
            </c:numRef>
          </c:xVal>
          <c:yVal>
            <c:numRef>
              <c:f>Sheet1!$F$89:$F$95</c:f>
              <c:numCache/>
            </c:numRef>
          </c:yVal>
          <c:smooth val="0"/>
        </c:ser>
        <c:ser>
          <c:idx val="12"/>
          <c:order val="1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Sheet1!$F$89:$F$95</c:f>
              <c:numCache/>
            </c:numRef>
          </c:xVal>
          <c:yVal>
            <c:numRef>
              <c:f>Sheet1!$G$89:$G$95</c:f>
              <c:numCache/>
            </c:numRef>
          </c:yVal>
          <c:smooth val="0"/>
        </c:ser>
        <c:axId val="23824227"/>
        <c:axId val="13091452"/>
      </c:scatterChart>
      <c:cat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       Temperature (C)                    Take Off Weight                 Tail/Headwind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Ground Roll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21225"/>
        <c:crosses val="max"/>
        <c:crossBetween val="midCat"/>
        <c:dispUnits/>
      </c:valAx>
      <c:valAx>
        <c:axId val="23824227"/>
        <c:scaling>
          <c:orientation val="minMax"/>
          <c:max val="22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13091452"/>
        <c:crosses val="max"/>
        <c:crossBetween val="midCat"/>
        <c:dispUnits/>
      </c:valAx>
      <c:valAx>
        <c:axId val="13091452"/>
        <c:scaling>
          <c:orientation val="minMax"/>
          <c:max val="5"/>
        </c:scaling>
        <c:axPos val="l"/>
        <c:delete val="0"/>
        <c:numFmt formatCode="General" sourceLinked="1"/>
        <c:majorTickMark val="none"/>
        <c:minorTickMark val="none"/>
        <c:tickLblPos val="none"/>
        <c:crossAx val="23824227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0.319</cdr:y>
    </cdr:from>
    <cdr:to>
      <cdr:x>0.12125</cdr:x>
      <cdr:y>0.362</cdr:y>
    </cdr:to>
    <cdr:sp>
      <cdr:nvSpPr>
        <cdr:cNvPr id="1" name="TextBox 2"/>
        <cdr:cNvSpPr txBox="1">
          <a:spLocks noChangeArrowheads="1"/>
        </cdr:cNvSpPr>
      </cdr:nvSpPr>
      <cdr:spPr>
        <a:xfrm>
          <a:off x="333375" y="133350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12,000</a:t>
          </a:r>
        </a:p>
      </cdr:txBody>
    </cdr:sp>
  </cdr:relSizeAnchor>
  <cdr:relSizeAnchor xmlns:cdr="http://schemas.openxmlformats.org/drawingml/2006/chartDrawing">
    <cdr:from>
      <cdr:x>0.0555</cdr:x>
      <cdr:y>0.3825</cdr:y>
    </cdr:from>
    <cdr:to>
      <cdr:x>0.12125</cdr:x>
      <cdr:y>0.4255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160020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0.285</cdr:x>
      <cdr:y>0.2515</cdr:y>
    </cdr:from>
    <cdr:to>
      <cdr:x>0.35075</cdr:x>
      <cdr:y>0.2945</cdr:y>
    </cdr:to>
    <cdr:sp>
      <cdr:nvSpPr>
        <cdr:cNvPr id="3" name="TextBox 4"/>
        <cdr:cNvSpPr txBox="1">
          <a:spLocks noChangeArrowheads="1"/>
        </cdr:cNvSpPr>
      </cdr:nvSpPr>
      <cdr:spPr>
        <a:xfrm>
          <a:off x="1724025" y="104775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0.0555</cdr:x>
      <cdr:y>0.44075</cdr:y>
    </cdr:from>
    <cdr:to>
      <cdr:x>0.112</cdr:x>
      <cdr:y>0.48375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8478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8,000</a:t>
          </a:r>
        </a:p>
      </cdr:txBody>
    </cdr:sp>
  </cdr:relSizeAnchor>
  <cdr:relSizeAnchor xmlns:cdr="http://schemas.openxmlformats.org/drawingml/2006/chartDrawing">
    <cdr:from>
      <cdr:x>0.29375</cdr:x>
      <cdr:y>0.33875</cdr:y>
    </cdr:from>
    <cdr:to>
      <cdr:x>0.35025</cdr:x>
      <cdr:y>0.38175</cdr:y>
    </cdr:to>
    <cdr:sp>
      <cdr:nvSpPr>
        <cdr:cNvPr id="5" name="TextBox 6"/>
        <cdr:cNvSpPr txBox="1">
          <a:spLocks noChangeArrowheads="1"/>
        </cdr:cNvSpPr>
      </cdr:nvSpPr>
      <cdr:spPr>
        <a:xfrm>
          <a:off x="1781175" y="14192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8,000</a:t>
          </a:r>
        </a:p>
      </cdr:txBody>
    </cdr:sp>
  </cdr:relSizeAnchor>
  <cdr:relSizeAnchor xmlns:cdr="http://schemas.openxmlformats.org/drawingml/2006/chartDrawing">
    <cdr:from>
      <cdr:x>0.0555</cdr:x>
      <cdr:y>0.4975</cdr:y>
    </cdr:from>
    <cdr:to>
      <cdr:x>0.108</cdr:x>
      <cdr:y>0.53275</cdr:y>
    </cdr:to>
    <cdr:sp>
      <cdr:nvSpPr>
        <cdr:cNvPr id="6" name="TextBox 8"/>
        <cdr:cNvSpPr txBox="1">
          <a:spLocks noChangeArrowheads="1"/>
        </cdr:cNvSpPr>
      </cdr:nvSpPr>
      <cdr:spPr>
        <a:xfrm>
          <a:off x="333375" y="20859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6,000</a:t>
          </a:r>
        </a:p>
      </cdr:txBody>
    </cdr:sp>
  </cdr:relSizeAnchor>
  <cdr:relSizeAnchor xmlns:cdr="http://schemas.openxmlformats.org/drawingml/2006/chartDrawing">
    <cdr:from>
      <cdr:x>0.29375</cdr:x>
      <cdr:y>0.42575</cdr:y>
    </cdr:from>
    <cdr:to>
      <cdr:x>0.348</cdr:x>
      <cdr:y>0.46975</cdr:y>
    </cdr:to>
    <cdr:sp>
      <cdr:nvSpPr>
        <cdr:cNvPr id="7" name="TextBox 9"/>
        <cdr:cNvSpPr txBox="1">
          <a:spLocks noChangeArrowheads="1"/>
        </cdr:cNvSpPr>
      </cdr:nvSpPr>
      <cdr:spPr>
        <a:xfrm>
          <a:off x="1781175" y="17811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6,000</a:t>
          </a:r>
        </a:p>
      </cdr:txBody>
    </cdr:sp>
  </cdr:relSizeAnchor>
  <cdr:relSizeAnchor xmlns:cdr="http://schemas.openxmlformats.org/drawingml/2006/chartDrawing">
    <cdr:from>
      <cdr:x>0.29375</cdr:x>
      <cdr:y>0.48275</cdr:y>
    </cdr:from>
    <cdr:to>
      <cdr:x>0.35025</cdr:x>
      <cdr:y>0.52575</cdr:y>
    </cdr:to>
    <cdr:sp>
      <cdr:nvSpPr>
        <cdr:cNvPr id="8" name="TextBox 10"/>
        <cdr:cNvSpPr txBox="1">
          <a:spLocks noChangeArrowheads="1"/>
        </cdr:cNvSpPr>
      </cdr:nvSpPr>
      <cdr:spPr>
        <a:xfrm>
          <a:off x="1781175" y="201930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4,000</a:t>
          </a:r>
        </a:p>
      </cdr:txBody>
    </cdr:sp>
  </cdr:relSizeAnchor>
  <cdr:relSizeAnchor xmlns:cdr="http://schemas.openxmlformats.org/drawingml/2006/chartDrawing">
    <cdr:from>
      <cdr:x>0.0555</cdr:x>
      <cdr:y>0.53275</cdr:y>
    </cdr:from>
    <cdr:to>
      <cdr:x>0.112</cdr:x>
      <cdr:y>0.57575</cdr:y>
    </cdr:to>
    <cdr:sp>
      <cdr:nvSpPr>
        <cdr:cNvPr id="9" name="TextBox 11"/>
        <cdr:cNvSpPr txBox="1">
          <a:spLocks noChangeArrowheads="1"/>
        </cdr:cNvSpPr>
      </cdr:nvSpPr>
      <cdr:spPr>
        <a:xfrm>
          <a:off x="333375" y="22288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4,000</a:t>
          </a:r>
        </a:p>
      </cdr:txBody>
    </cdr:sp>
  </cdr:relSizeAnchor>
  <cdr:relSizeAnchor xmlns:cdr="http://schemas.openxmlformats.org/drawingml/2006/chartDrawing">
    <cdr:from>
      <cdr:x>0.03</cdr:x>
      <cdr:y>0.19</cdr:y>
    </cdr:from>
    <cdr:to>
      <cdr:x>0.11</cdr:x>
      <cdr:y>0.26925</cdr:y>
    </cdr:to>
    <cdr:sp>
      <cdr:nvSpPr>
        <cdr:cNvPr id="10" name="TextBox 12"/>
        <cdr:cNvSpPr txBox="1">
          <a:spLocks noChangeArrowheads="1"/>
        </cdr:cNvSpPr>
      </cdr:nvSpPr>
      <cdr:spPr>
        <a:xfrm>
          <a:off x="180975" y="790575"/>
          <a:ext cx="485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Density 
Altitudes</a:t>
          </a:r>
        </a:p>
      </cdr:txBody>
    </cdr:sp>
  </cdr:relSizeAnchor>
  <cdr:relSizeAnchor xmlns:cdr="http://schemas.openxmlformats.org/drawingml/2006/chartDrawing">
    <cdr:from>
      <cdr:x>0.26225</cdr:x>
      <cdr:y>0.1595</cdr:y>
    </cdr:from>
    <cdr:to>
      <cdr:x>0.34525</cdr:x>
      <cdr:y>0.23875</cdr:y>
    </cdr:to>
    <cdr:sp>
      <cdr:nvSpPr>
        <cdr:cNvPr id="11" name="TextBox 13"/>
        <cdr:cNvSpPr txBox="1">
          <a:spLocks noChangeArrowheads="1"/>
        </cdr:cNvSpPr>
      </cdr:nvSpPr>
      <cdr:spPr>
        <a:xfrm>
          <a:off x="1590675" y="6667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Pressure 
Altitudes</a:t>
          </a:r>
        </a:p>
      </cdr:txBody>
    </cdr:sp>
  </cdr:relSizeAnchor>
  <cdr:relSizeAnchor xmlns:cdr="http://schemas.openxmlformats.org/drawingml/2006/chartDrawing">
    <cdr:from>
      <cdr:x>0.29375</cdr:x>
      <cdr:y>0.5265</cdr:y>
    </cdr:from>
    <cdr:to>
      <cdr:x>0.35025</cdr:x>
      <cdr:y>0.5695</cdr:y>
    </cdr:to>
    <cdr:sp>
      <cdr:nvSpPr>
        <cdr:cNvPr id="12" name="TextBox 14"/>
        <cdr:cNvSpPr txBox="1">
          <a:spLocks noChangeArrowheads="1"/>
        </cdr:cNvSpPr>
      </cdr:nvSpPr>
      <cdr:spPr>
        <a:xfrm>
          <a:off x="1781175" y="220980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2,000</a:t>
          </a:r>
        </a:p>
      </cdr:txBody>
    </cdr:sp>
  </cdr:relSizeAnchor>
  <cdr:relSizeAnchor xmlns:cdr="http://schemas.openxmlformats.org/drawingml/2006/chartDrawing">
    <cdr:from>
      <cdr:x>0.0555</cdr:x>
      <cdr:y>0.565</cdr:y>
    </cdr:from>
    <cdr:to>
      <cdr:x>0.112</cdr:x>
      <cdr:y>0.608</cdr:y>
    </cdr:to>
    <cdr:sp>
      <cdr:nvSpPr>
        <cdr:cNvPr id="13" name="TextBox 15"/>
        <cdr:cNvSpPr txBox="1">
          <a:spLocks noChangeArrowheads="1"/>
        </cdr:cNvSpPr>
      </cdr:nvSpPr>
      <cdr:spPr>
        <a:xfrm>
          <a:off x="333375" y="23717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2,000</a:t>
          </a:r>
        </a:p>
      </cdr:txBody>
    </cdr:sp>
  </cdr:relSizeAnchor>
  <cdr:relSizeAnchor xmlns:cdr="http://schemas.openxmlformats.org/drawingml/2006/chartDrawing">
    <cdr:from>
      <cdr:x>0.30425</cdr:x>
      <cdr:y>0.5765</cdr:y>
    </cdr:from>
    <cdr:to>
      <cdr:x>0.32625</cdr:x>
      <cdr:y>0.6195</cdr:y>
    </cdr:to>
    <cdr:sp>
      <cdr:nvSpPr>
        <cdr:cNvPr id="14" name="TextBox 16"/>
        <cdr:cNvSpPr txBox="1">
          <a:spLocks noChangeArrowheads="1"/>
        </cdr:cNvSpPr>
      </cdr:nvSpPr>
      <cdr:spPr>
        <a:xfrm>
          <a:off x="1847850" y="2419350"/>
          <a:ext cx="133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0.0625</cdr:x>
      <cdr:y>0.607</cdr:y>
    </cdr:from>
    <cdr:to>
      <cdr:x>0.0845</cdr:x>
      <cdr:y>0.65</cdr:y>
    </cdr:to>
    <cdr:sp>
      <cdr:nvSpPr>
        <cdr:cNvPr id="15" name="TextBox 17"/>
        <cdr:cNvSpPr txBox="1">
          <a:spLocks noChangeArrowheads="1"/>
        </cdr:cNvSpPr>
      </cdr:nvSpPr>
      <cdr:spPr>
        <a:xfrm>
          <a:off x="371475" y="2543175"/>
          <a:ext cx="133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0.0555</cdr:x>
      <cdr:y>0.638</cdr:y>
    </cdr:from>
    <cdr:to>
      <cdr:x>0.11825</cdr:x>
      <cdr:y>0.681</cdr:y>
    </cdr:to>
    <cdr:sp>
      <cdr:nvSpPr>
        <cdr:cNvPr id="16" name="TextBox 18"/>
        <cdr:cNvSpPr txBox="1">
          <a:spLocks noChangeArrowheads="1"/>
        </cdr:cNvSpPr>
      </cdr:nvSpPr>
      <cdr:spPr>
        <a:xfrm>
          <a:off x="333375" y="267652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-2,000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19050</xdr:rowOff>
    </xdr:from>
    <xdr:to>
      <xdr:col>9</xdr:col>
      <xdr:colOff>600075</xdr:colOff>
      <xdr:row>84</xdr:row>
      <xdr:rowOff>9525</xdr:rowOff>
    </xdr:to>
    <xdr:graphicFrame>
      <xdr:nvGraphicFramePr>
        <xdr:cNvPr id="1" name="Chart 6"/>
        <xdr:cNvGraphicFramePr/>
      </xdr:nvGraphicFramePr>
      <xdr:xfrm>
        <a:off x="9525" y="9410700"/>
        <a:ext cx="6076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spans="1:7" ht="12.75">
      <c r="A2" t="s">
        <v>5</v>
      </c>
      <c r="B2">
        <v>518.67</v>
      </c>
      <c r="C2" t="s">
        <v>7</v>
      </c>
      <c r="D2">
        <f>B2*5/9-273.15</f>
        <v>15</v>
      </c>
      <c r="E2" t="s">
        <v>2</v>
      </c>
      <c r="F2">
        <v>288.15</v>
      </c>
      <c r="G2" t="s">
        <v>30</v>
      </c>
    </row>
    <row r="3" spans="1:3" ht="12.75">
      <c r="A3" t="s">
        <v>6</v>
      </c>
      <c r="B3">
        <v>0.00237689</v>
      </c>
      <c r="C3" t="s">
        <v>8</v>
      </c>
    </row>
    <row r="4" spans="1:8" ht="12.75">
      <c r="A4" t="s">
        <v>9</v>
      </c>
      <c r="B4">
        <v>2116.22</v>
      </c>
      <c r="C4" t="s">
        <v>10</v>
      </c>
      <c r="E4">
        <f>B4/144</f>
        <v>14.69597222222222</v>
      </c>
      <c r="F4" t="s">
        <v>12</v>
      </c>
      <c r="G4">
        <v>29.92</v>
      </c>
      <c r="H4" t="s">
        <v>13</v>
      </c>
    </row>
    <row r="6" ht="12.75">
      <c r="A6" t="s">
        <v>28</v>
      </c>
    </row>
    <row r="7" spans="1:2" ht="12.75">
      <c r="A7" t="s">
        <v>11</v>
      </c>
      <c r="B7">
        <v>10000</v>
      </c>
    </row>
    <row r="8" spans="1:2" ht="12.75">
      <c r="A8" t="s">
        <v>29</v>
      </c>
      <c r="B8">
        <f>1-B7/145442</f>
        <v>0.9312440698010204</v>
      </c>
    </row>
    <row r="9" spans="1:2" ht="12.75">
      <c r="A9" t="s">
        <v>14</v>
      </c>
      <c r="B9">
        <f>B8^4.255876</f>
        <v>0.7384790477159607</v>
      </c>
    </row>
    <row r="10" spans="1:2" ht="12.75">
      <c r="A10" t="s">
        <v>15</v>
      </c>
      <c r="B10">
        <f>B9*B8</f>
        <v>0.6877042338577932</v>
      </c>
    </row>
    <row r="12" ht="12.75">
      <c r="E12" s="1"/>
    </row>
    <row r="13" spans="1:5" ht="12.75">
      <c r="A13" t="s">
        <v>38</v>
      </c>
      <c r="E13" s="1"/>
    </row>
    <row r="14" spans="2:5" ht="12.75">
      <c r="B14" t="s">
        <v>26</v>
      </c>
      <c r="C14" s="1" t="s">
        <v>33</v>
      </c>
      <c r="E14" s="1"/>
    </row>
    <row r="15" spans="2:5" ht="12.75">
      <c r="B15" t="s">
        <v>31</v>
      </c>
      <c r="C15" t="s">
        <v>39</v>
      </c>
      <c r="D15" t="s">
        <v>27</v>
      </c>
      <c r="E15" t="s">
        <v>40</v>
      </c>
    </row>
    <row r="16" spans="1:5" ht="12.75">
      <c r="A16" t="s">
        <v>41</v>
      </c>
      <c r="E16" s="1"/>
    </row>
    <row r="17" spans="2:5" ht="12.75">
      <c r="B17" t="s">
        <v>26</v>
      </c>
      <c r="C17" s="1" t="s">
        <v>17</v>
      </c>
      <c r="E17" s="1"/>
    </row>
    <row r="18" spans="2:5" ht="12.75">
      <c r="B18" t="s">
        <v>16</v>
      </c>
      <c r="C18">
        <v>760</v>
      </c>
      <c r="D18" s="1" t="s">
        <v>27</v>
      </c>
      <c r="E18">
        <v>-2.4</v>
      </c>
    </row>
    <row r="19" spans="2:3" ht="12.75">
      <c r="B19" t="s">
        <v>18</v>
      </c>
      <c r="C19" t="s">
        <v>19</v>
      </c>
    </row>
    <row r="20" spans="2:3" ht="12.75">
      <c r="B20" t="s">
        <v>20</v>
      </c>
      <c r="C20" s="1" t="s">
        <v>21</v>
      </c>
    </row>
    <row r="21" spans="2:3" ht="12.75">
      <c r="B21" t="s">
        <v>22</v>
      </c>
      <c r="C21" s="1" t="s">
        <v>23</v>
      </c>
    </row>
    <row r="22" spans="2:4" ht="12.75">
      <c r="B22" t="s">
        <v>24</v>
      </c>
      <c r="C22" s="1"/>
      <c r="D22" s="1" t="s">
        <v>25</v>
      </c>
    </row>
    <row r="23" spans="1:4" ht="12.75">
      <c r="A23" t="s">
        <v>42</v>
      </c>
      <c r="C23" s="1"/>
      <c r="D23" s="1"/>
    </row>
    <row r="24" ht="12.75">
      <c r="B24" t="s">
        <v>34</v>
      </c>
    </row>
    <row r="25" spans="2:4" ht="12.75">
      <c r="B25" t="s">
        <v>26</v>
      </c>
      <c r="C25" s="1" t="s">
        <v>33</v>
      </c>
      <c r="D25" s="1"/>
    </row>
    <row r="26" spans="2:6" ht="12.75">
      <c r="B26" t="s">
        <v>31</v>
      </c>
      <c r="C26" t="s">
        <v>32</v>
      </c>
      <c r="D26" s="1"/>
      <c r="F26">
        <v>2.23</v>
      </c>
    </row>
    <row r="27" spans="2:4" ht="12.75">
      <c r="B27" t="s">
        <v>1</v>
      </c>
      <c r="C27" s="1">
        <v>2575</v>
      </c>
      <c r="D27" s="1"/>
    </row>
    <row r="28" spans="1:4" ht="12.75">
      <c r="A28" t="s">
        <v>43</v>
      </c>
      <c r="C28" s="1"/>
      <c r="D28" s="1"/>
    </row>
    <row r="29" spans="2:4" ht="12.75">
      <c r="B29" t="s">
        <v>44</v>
      </c>
      <c r="C29" s="1"/>
      <c r="D29" s="1"/>
    </row>
    <row r="30" spans="2:4" ht="12.75">
      <c r="B30" t="s">
        <v>26</v>
      </c>
      <c r="C30" s="1" t="s">
        <v>33</v>
      </c>
      <c r="D30" s="1"/>
    </row>
    <row r="31" spans="2:6" ht="12.75">
      <c r="B31" t="s">
        <v>31</v>
      </c>
      <c r="C31" t="s">
        <v>35</v>
      </c>
      <c r="D31" s="1"/>
      <c r="F31">
        <v>1.85</v>
      </c>
    </row>
    <row r="32" spans="2:4" ht="12.75">
      <c r="B32" t="s">
        <v>36</v>
      </c>
      <c r="C32" s="1">
        <v>65</v>
      </c>
      <c r="D32" t="s">
        <v>37</v>
      </c>
    </row>
    <row r="34" spans="2:10" ht="12.75">
      <c r="B34" t="s">
        <v>0</v>
      </c>
      <c r="C34">
        <v>-2000</v>
      </c>
      <c r="D34">
        <v>0</v>
      </c>
      <c r="E34">
        <v>2000</v>
      </c>
      <c r="F34">
        <f>E34+E34-D34</f>
        <v>4000</v>
      </c>
      <c r="G34">
        <f>F34+F34-E34</f>
        <v>6000</v>
      </c>
      <c r="H34">
        <f>G34+G34-F34</f>
        <v>8000</v>
      </c>
      <c r="I34">
        <f>H34+H34-G34</f>
        <v>10000</v>
      </c>
      <c r="J34" s="2">
        <v>12000</v>
      </c>
    </row>
    <row r="35" spans="3:10" ht="12.75">
      <c r="C35" s="2">
        <f>$C$18*((1-C$34/145442)^4.255876)^$E$18</f>
        <v>661.0433145506757</v>
      </c>
      <c r="D35" s="2">
        <f>$C$18*((1-D$34/145442)^4.255876)^$E$18</f>
        <v>760</v>
      </c>
      <c r="E35" s="2">
        <f>$C$18*((1-E$34/145442)^4.255876)^$E$18</f>
        <v>875.4596997699504</v>
      </c>
      <c r="F35" s="2">
        <f>$C$18*((1-F$34/145442)^4.255876)^$E$18</f>
        <v>1010.4647686699387</v>
      </c>
      <c r="G35" s="2">
        <f>$C$18*((1-G$34/145442)^4.255876)^$E$18</f>
        <v>1168.673531446555</v>
      </c>
      <c r="H35" s="2">
        <f>$C$18*((1-H$34/145442)^4.255876)^$E$18</f>
        <v>1354.4964950811657</v>
      </c>
      <c r="I35" s="2">
        <f>$C$18*((1-I$34/145442)^4.255876)^$E$18</f>
        <v>1573.2653047159902</v>
      </c>
      <c r="J35" s="2">
        <f>$C$18*((1-J$34/145442)^4.255876)^$E$18</f>
        <v>1831.4429646920717</v>
      </c>
    </row>
    <row r="36" spans="3:10" ht="12.75">
      <c r="C36" s="2">
        <f>$C$18*((1-C$34/145442)^4.255876)^$E$18</f>
        <v>661.0433145506757</v>
      </c>
      <c r="D36" s="2">
        <f>$C$18*((1-D$34/145442)^4.255876)^$E$18</f>
        <v>760</v>
      </c>
      <c r="E36" s="2">
        <f>$C$18*((1-E$34/145442)^4.255876)^$E$18</f>
        <v>875.4596997699504</v>
      </c>
      <c r="F36" s="2">
        <f>$C$18*((1-F$34/145442)^4.255876)^$E$18</f>
        <v>1010.4647686699387</v>
      </c>
      <c r="G36" s="2">
        <f>$C$18*((1-G$34/145442)^4.255876)^$E$18</f>
        <v>1168.673531446555</v>
      </c>
      <c r="H36" s="2">
        <f>$C$18*((1-H$34/145442)^4.255876)^$E$18</f>
        <v>1354.4964950811657</v>
      </c>
      <c r="I36" s="2">
        <f>$C$18*((1-I$34/145442)^4.255876)^$E$18</f>
        <v>1573.2653047159902</v>
      </c>
      <c r="J36" s="2">
        <f>$C$18*((1-J$34/145442)^4.255876)^$E$18</f>
        <v>1831.4429646920717</v>
      </c>
    </row>
    <row r="37" ht="12.75">
      <c r="J37" s="2"/>
    </row>
    <row r="38" spans="1:10" ht="12.75">
      <c r="A38">
        <v>-20</v>
      </c>
      <c r="D38" s="2">
        <f>$C$18*((1-D$34/145442)^5.255876/(273.15+$A38)*(273.15+15))^$E$18</f>
        <v>556.9752934944736</v>
      </c>
      <c r="E38" s="2">
        <f>$C$18*((1-E$34/145442)^5.255876/(273.15+$A38)*(273.15+15))^$E$18</f>
        <v>663.2708518341345</v>
      </c>
      <c r="F38" s="2">
        <f>$C$18*((1-F$34/145442)^5.255876/(273.15+$A38)*(273.15+15))^$E$18</f>
        <v>791.7917874581512</v>
      </c>
      <c r="G38" s="2">
        <f>$C$18*((1-G$34/145442)^5.255876/(273.15+$A38)*(273.15+15))^$E$18</f>
        <v>947.6031819062626</v>
      </c>
      <c r="H38" s="2">
        <f>$C$18*((1-H$34/145442)^5.255876/(273.15+$A38)*(273.15+15))^$E$18</f>
        <v>1137.0226511995238</v>
      </c>
      <c r="I38" s="2">
        <f>$C$18*((1-I$34/145442)^5.255876/(273.15+$A38)*(273.15+15))^$E$18</f>
        <v>1367.9551400266091</v>
      </c>
      <c r="J38" s="2"/>
    </row>
    <row r="39" spans="1:10" ht="12.75">
      <c r="A39">
        <v>-10</v>
      </c>
      <c r="B39" s="2">
        <f>$C$18*((273.15+A39)/288.15)^(4.255876*$E$18)</f>
        <v>1920.458768418344</v>
      </c>
      <c r="C39" s="2"/>
      <c r="D39" s="2">
        <f>$C$18*((1-D$34/145442)^5.255876/(273.15+$A39)*(273.15+15))^$E$18</f>
        <v>611.247355672428</v>
      </c>
      <c r="E39" s="2">
        <f>$C$18*((1-E$34/145442)^5.255876/(273.15+$A39)*(273.15+15))^$E$18</f>
        <v>727.9004275657991</v>
      </c>
      <c r="F39" s="2">
        <f>$C$18*((1-F$34/145442)^5.255876/(273.15+$A39)*(273.15+15))^$E$18</f>
        <v>868.9445330517921</v>
      </c>
      <c r="G39" s="2">
        <f>$C$18*((1-G$34/145442)^5.255876/(273.15+$A39)*(273.15+15))^$E$18</f>
        <v>1039.938298758182</v>
      </c>
      <c r="H39" s="2">
        <f>$C$18*((1-H$34/145442)^5.255876/(273.15+$A39)*(273.15+15))^$E$18</f>
        <v>1247.8149336300116</v>
      </c>
      <c r="I39" s="2">
        <f>$C$18*((1-I$34/145442)^5.255876/(273.15+$A39)*(273.15+15))^$E$18</f>
        <v>1501.2496456955819</v>
      </c>
      <c r="J39" s="2"/>
    </row>
    <row r="40" spans="1:10" ht="12.75">
      <c r="A40">
        <v>0</v>
      </c>
      <c r="B40" s="2">
        <f>$C$18*((273.15+A40)/288.15)^(4.255876*$E$18)</f>
        <v>1312.0750830133943</v>
      </c>
      <c r="C40" s="2"/>
      <c r="D40" s="2">
        <f>$C$18*((1-D$34/145442)^5.255876/(273.15+$A40)*(273.15+15))^$E$18</f>
        <v>668.4851844928836</v>
      </c>
      <c r="E40" s="2">
        <f>$C$18*((1-E$34/145442)^5.255876/(273.15+$A40)*(273.15+15))^$E$18</f>
        <v>796.0617695899522</v>
      </c>
      <c r="F40" s="2">
        <f>$C$18*((1-F$34/145442)^5.255876/(273.15+$A40)*(273.15+15))^$E$18</f>
        <v>950.3133896623445</v>
      </c>
      <c r="G40" s="2">
        <f>$C$18*((1-G$34/145442)^5.255876/(273.15+$A40)*(273.15+15))^$E$18</f>
        <v>1137.319186832004</v>
      </c>
      <c r="H40" s="2">
        <f>$C$18*((1-H$34/145442)^5.255876/(273.15+$A40)*(273.15+15))^$E$18</f>
        <v>1364.6616028350697</v>
      </c>
      <c r="I40" s="2">
        <f>$C$18*((1-I$34/145442)^5.255876/(273.15+$A40)*(273.15+15))^$E$18</f>
        <v>1641.8282010703772</v>
      </c>
      <c r="J40" s="2"/>
    </row>
    <row r="41" spans="1:10" ht="12.75">
      <c r="A41">
        <v>10</v>
      </c>
      <c r="B41" s="2">
        <f>$C$18*((273.15+A41)/288.15)^(4.255876*$E$18)</f>
        <v>908.7863403390464</v>
      </c>
      <c r="C41" s="2"/>
      <c r="D41" s="2">
        <f>$C$18*((1-D$34/145442)^5.255876/(273.15+$A41)*(273.15+15))^$E$18</f>
        <v>728.7333634401384</v>
      </c>
      <c r="E41" s="2">
        <f>$C$18*((1-E$34/145442)^5.255876/(273.15+$A41)*(273.15+15))^$E$18</f>
        <v>867.8079698946118</v>
      </c>
      <c r="F41" s="2">
        <f>$C$18*((1-F$34/145442)^5.255876/(273.15+$A41)*(273.15+15))^$E$18</f>
        <v>1035.9617368277093</v>
      </c>
      <c r="G41" s="2">
        <f>$C$18*((1-G$34/145442)^5.255876/(273.15+$A41)*(273.15+15))^$E$18</f>
        <v>1239.8216976997387</v>
      </c>
      <c r="H41" s="2">
        <f>$C$18*((1-H$34/145442)^5.255876/(273.15+$A41)*(273.15+15))^$E$18</f>
        <v>1487.6536726031172</v>
      </c>
      <c r="I41" s="2">
        <f>$C$18*((1-I$34/145442)^5.255876/(273.15+$A41)*(273.15+15))^$E$18</f>
        <v>1789.8003050950556</v>
      </c>
      <c r="J41" s="2"/>
    </row>
    <row r="42" spans="1:10" ht="12.75">
      <c r="A42">
        <v>20</v>
      </c>
      <c r="B42" s="2">
        <f>$C$18*((273.15+A42)/288.15)^(4.255876*$E$18)</f>
        <v>637.5308843189695</v>
      </c>
      <c r="C42" s="2"/>
      <c r="D42" s="2">
        <f>$C$18*((1-D$34/145442)^5.255876/(273.15+$A42)*(273.15+15))^$E$18</f>
        <v>792.0355067356883</v>
      </c>
      <c r="E42" s="2">
        <f>$C$18*((1-E$34/145442)^5.255876/(273.15+$A42)*(273.15+15))^$E$18</f>
        <v>943.1909662267146</v>
      </c>
      <c r="F42" s="2">
        <f>$C$18*((1-F$34/145442)^5.255876/(273.15+$A42)*(273.15+15))^$E$18</f>
        <v>1125.9515761892512</v>
      </c>
      <c r="G42" s="2">
        <f>$C$18*((1-G$34/145442)^5.255876/(273.15+$A42)*(273.15+15))^$E$18</f>
        <v>1347.5200338898412</v>
      </c>
      <c r="H42" s="2">
        <f>$C$18*((1-H$34/145442)^5.255876/(273.15+$A42)*(273.15+15))^$E$18</f>
        <v>1616.8801780463655</v>
      </c>
      <c r="I42" s="2">
        <f>$C$18*((1-I$34/145442)^5.255876/(273.15+$A42)*(273.15+15))^$E$18</f>
        <v>1945.273076162786</v>
      </c>
      <c r="J42" s="2"/>
    </row>
    <row r="43" spans="1:10" ht="12.75">
      <c r="A43">
        <v>30</v>
      </c>
      <c r="B43" s="2"/>
      <c r="C43" s="2"/>
      <c r="D43" s="2">
        <f>$C$18*((1-D$34/145442)^5.255876/(273.15+$A43)*(273.15+15))^$E$18</f>
        <v>858.4343135845809</v>
      </c>
      <c r="E43" s="2">
        <f>$C$18*((1-E$34/145442)^5.255876/(273.15+$A43)*(273.15+15))^$E$18</f>
        <v>1022.2616066910789</v>
      </c>
      <c r="F43" s="2">
        <f>$C$18*((1-F$34/145442)^5.255876/(273.15+$A43)*(273.15+15))^$E$18</f>
        <v>1220.343608608002</v>
      </c>
      <c r="G43" s="2">
        <f>$C$18*((1-G$34/145442)^5.255876/(273.15+$A43)*(273.15+15))^$E$18</f>
        <v>1460.4868411786006</v>
      </c>
      <c r="H43" s="2">
        <f>$C$18*((1-H$34/145442)^5.255876/(273.15+$A43)*(273.15+15))^$E$18</f>
        <v>1752.4282863406202</v>
      </c>
      <c r="I43" s="2">
        <f>$C$18*((1-I$34/145442)^5.255876/(273.15+$A43)*(273.15+15))^$E$18</f>
        <v>2108.35138534721</v>
      </c>
      <c r="J43" s="2"/>
    </row>
    <row r="44" spans="1:10" ht="12.75">
      <c r="A44">
        <v>40</v>
      </c>
      <c r="D44" s="2">
        <f>$C$18*((1-D$34/145442)^5.255876/(273.15+$A44)*(273.15+15))^$E$18</f>
        <v>927.9716176534894</v>
      </c>
      <c r="E44" s="2">
        <f>$C$18*((1-E$34/145442)^5.255876/(273.15+$A44)*(273.15+15))^$E$18</f>
        <v>1105.0697086710848</v>
      </c>
      <c r="F44" s="2">
        <f>$C$18*((1-F$34/145442)^5.255876/(273.15+$A44)*(273.15+15))^$E$18</f>
        <v>1319.197304502303</v>
      </c>
      <c r="G44" s="2">
        <f>$C$18*((1-G$34/145442)^5.255876/(273.15+$A44)*(273.15+15))^$E$18</f>
        <v>1578.7932927690508</v>
      </c>
      <c r="H44" s="2">
        <f>$C$18*((1-H$34/145442)^5.255876/(273.15+$A44)*(273.15+15))^$E$18</f>
        <v>1894.3833977310003</v>
      </c>
      <c r="I44" s="2">
        <f>$C$18*((1-I$34/145442)^5.255876/(273.15+$A44)*(273.15+15))^$E$18</f>
        <v>2279.1379779227027</v>
      </c>
      <c r="J44" s="2"/>
    </row>
    <row r="46" spans="1:10" ht="12.75">
      <c r="A46">
        <v>2600</v>
      </c>
      <c r="C46" s="2">
        <f>$C$18*((1-(C$34+2000)/145442)^4.255876)^$E$18*($A46/$C$27)^$F$26</f>
        <v>776.5526888847672</v>
      </c>
      <c r="D46" s="2">
        <f>$C$18*((1-(D$34+2000)/145442)^4.255876)^$E$18*($A46/$C$27)^$F$26</f>
        <v>894.5270840350079</v>
      </c>
      <c r="E46" s="2">
        <f>$C$18*((1-(E$34+2000)/145442)^4.255876)^$E$18*($A46/$C$27)^$F$26</f>
        <v>1032.4725435973226</v>
      </c>
      <c r="F46" s="2">
        <f>$C$18*((1-(F$34+2000)/145442)^4.255876)^$E$18*($A46/$C$27)^$F$26</f>
        <v>1194.1270700964194</v>
      </c>
      <c r="G46" s="2">
        <f>$C$18*((1-(G$34+2000)/145442)^4.255876)^$E$18*($A46/$C$27)^$F$26</f>
        <v>1383.9972307108842</v>
      </c>
      <c r="H46" s="2">
        <f>$C$18*((1-(H$34+2000)/145442)^4.255876)^$E$18*($A46/$C$27)^$F$26</f>
        <v>1607.5307930346248</v>
      </c>
      <c r="I46" s="2">
        <f>$C$18*((1-(I$34+2000)/145442)^4.255876)^$E$18*($A46/$C$27)^$F$26</f>
        <v>1871.3315246983132</v>
      </c>
      <c r="J46" s="2">
        <f>$C$18*((1-(J$34+2000)/145442)^4.255876)^$E$18*($A46/$C$27)^$F$26</f>
        <v>2183.42730843952</v>
      </c>
    </row>
    <row r="47" spans="1:10" ht="12.75">
      <c r="A47">
        <v>2500</v>
      </c>
      <c r="C47" s="2">
        <f>$C$18*((1-(C$34+2000)/145442)^4.255876)^$E$18*($A47/$C$27)^$F$26</f>
        <v>711.5191301810971</v>
      </c>
      <c r="D47" s="2">
        <f>$C$18*((1-(D$34+2000)/145442)^4.255876)^$E$18*($A47/$C$27)^$F$26</f>
        <v>819.6135843275256</v>
      </c>
      <c r="E47" s="2">
        <f>$C$18*((1-(E$34+2000)/145442)^4.255876)^$E$18*($A47/$C$27)^$F$26</f>
        <v>946.0065964245767</v>
      </c>
      <c r="F47" s="2">
        <f>$C$18*((1-(F$34+2000)/145442)^4.255876)^$E$18*($A47/$C$27)^$F$26</f>
        <v>1094.123124421742</v>
      </c>
      <c r="G47" s="2">
        <f>$C$18*((1-(G$34+2000)/145442)^4.255876)^$E$18*($A47/$C$27)^$F$26</f>
        <v>1268.092326333547</v>
      </c>
      <c r="H47" s="2">
        <f>$C$18*((1-(H$34+2000)/145442)^4.255876)^$E$18*($A47/$C$27)^$F$26</f>
        <v>1472.905738362658</v>
      </c>
      <c r="I47" s="2">
        <f>$C$18*((1-(I$34+2000)/145442)^4.255876)^$E$18*($A47/$C$27)^$F$26</f>
        <v>1714.614085807885</v>
      </c>
      <c r="J47" s="2">
        <f>$C$18*((1-(J$34+2000)/145442)^4.255876)^$E$18*($A47/$C$27)^$F$26</f>
        <v>2000.572944439412</v>
      </c>
    </row>
    <row r="48" spans="1:10" ht="12.75">
      <c r="A48">
        <f>A47+A47-A46</f>
        <v>2400</v>
      </c>
      <c r="C48" s="2">
        <f>$C$18*((1-(C$34+2000)/145442)^4.255876)^$E$18*($A48/$C$27)^$F$26</f>
        <v>649.6080990385884</v>
      </c>
      <c r="D48" s="2">
        <f>$C$18*((1-(D$34+2000)/145442)^4.255876)^$E$18*($A48/$C$27)^$F$26</f>
        <v>748.2969886216458</v>
      </c>
      <c r="E48" s="2">
        <f>$C$18*((1-(E$34+2000)/145442)^4.255876)^$E$18*($A48/$C$27)^$F$26</f>
        <v>863.6922335804552</v>
      </c>
      <c r="F48" s="2">
        <f>$C$18*((1-(F$34+2000)/145442)^4.255876)^$E$18*($A48/$C$27)^$F$26</f>
        <v>998.9207778417244</v>
      </c>
      <c r="G48" s="2">
        <f>$C$18*((1-(G$34+2000)/145442)^4.255876)^$E$18*($A48/$C$27)^$F$26</f>
        <v>1157.75249121593</v>
      </c>
      <c r="H48" s="2">
        <f>$C$18*((1-(H$34+2000)/145442)^4.255876)^$E$18*($A48/$C$27)^$F$26</f>
        <v>1344.7445840525263</v>
      </c>
      <c r="I48" s="2">
        <f>$C$18*((1-(I$34+2000)/145442)^4.255876)^$E$18*($A48/$C$27)^$F$26</f>
        <v>1565.4212931463333</v>
      </c>
      <c r="J48" s="2">
        <f>$C$18*((1-(J$34+2000)/145442)^4.255876)^$E$18*($A48/$C$27)^$F$26</f>
        <v>1826.4981675117358</v>
      </c>
    </row>
    <row r="49" spans="1:10" ht="12.75">
      <c r="A49">
        <f>A48+A48-A47</f>
        <v>2300</v>
      </c>
      <c r="C49" s="2">
        <f>$C$18*((1-(C$34+2000)/145442)^4.255876)^$E$18*($A49/$C$27)^$F$26</f>
        <v>590.7904088477558</v>
      </c>
      <c r="D49" s="2">
        <f>$C$18*((1-(D$34+2000)/145442)^4.255876)^$E$18*($A49/$C$27)^$F$26</f>
        <v>680.5436762589769</v>
      </c>
      <c r="E49" s="2">
        <f>$C$18*((1-(E$34+2000)/145442)^4.255876)^$E$18*($A49/$C$27)^$F$26</f>
        <v>785.4906497483763</v>
      </c>
      <c r="F49" s="2">
        <f>$C$18*((1-(F$34+2000)/145442)^4.255876)^$E$18*($A49/$C$27)^$F$26</f>
        <v>908.4751492800799</v>
      </c>
      <c r="G49" s="2">
        <f>$C$18*((1-(G$34+2000)/145442)^4.255876)^$E$18*($A49/$C$27)^$F$26</f>
        <v>1052.9257080419131</v>
      </c>
      <c r="H49" s="2">
        <f>$C$18*((1-(H$34+2000)/145442)^4.255876)^$E$18*($A49/$C$27)^$F$26</f>
        <v>1222.9869113146697</v>
      </c>
      <c r="I49" s="2">
        <f>$C$18*((1-(I$34+2000)/145442)^4.255876)^$E$18*($A49/$C$27)^$F$26</f>
        <v>1423.6828130154934</v>
      </c>
      <c r="J49" s="2">
        <f>$C$18*((1-(J$34+2000)/145442)^4.255876)^$E$18*($A49/$C$27)^$F$26</f>
        <v>1661.1209138878594</v>
      </c>
    </row>
    <row r="50" spans="1:10" ht="12.75">
      <c r="A50">
        <f>A49+A49-A48</f>
        <v>2200</v>
      </c>
      <c r="C50" s="2">
        <f>$C$18*((1-(C$34+2000)/145442)^4.255876)^$E$18*($A50/$C$27)^$F$26</f>
        <v>535.0359205273144</v>
      </c>
      <c r="D50" s="2">
        <f>$C$18*((1-(D$34+2000)/145442)^4.255876)^$E$18*($A50/$C$27)^$F$26</f>
        <v>616.3189294091865</v>
      </c>
      <c r="E50" s="2">
        <f>$C$18*((1-(E$34+2000)/145442)^4.255876)^$E$18*($A50/$C$27)^$F$26</f>
        <v>711.3617732443954</v>
      </c>
      <c r="F50" s="2">
        <f>$C$18*((1-(F$34+2000)/145442)^4.255876)^$E$18*($A50/$C$27)^$F$26</f>
        <v>822.7398930176512</v>
      </c>
      <c r="G50" s="2">
        <f>$C$18*((1-(G$34+2000)/145442)^4.255876)^$E$18*($A50/$C$27)^$F$26</f>
        <v>953.5582619694375</v>
      </c>
      <c r="H50" s="2">
        <f>$C$18*((1-(H$34+2000)/145442)^4.255876)^$E$18*($A50/$C$27)^$F$26</f>
        <v>1107.57032966106</v>
      </c>
      <c r="I50" s="2">
        <f>$C$18*((1-(I$34+2000)/145442)^4.255876)^$E$18*($A50/$C$27)^$F$26</f>
        <v>1289.326016456969</v>
      </c>
      <c r="J50" s="2">
        <f>$C$18*((1-(J$34+2000)/145442)^4.255876)^$E$18*($A50/$C$27)^$F$26</f>
        <v>1504.3564417414132</v>
      </c>
    </row>
    <row r="51" spans="1:10" ht="12.75">
      <c r="A51">
        <f>A50+A50-A49</f>
        <v>2100</v>
      </c>
      <c r="C51" s="2">
        <f>$C$18*((1-(C$34+2000)/145442)^4.255876)^$E$18*($A51/$C$27)^$F$26</f>
        <v>482.3134678724438</v>
      </c>
      <c r="D51" s="2">
        <f>$C$18*((1-(D$34+2000)/145442)^4.255876)^$E$18*($A51/$C$27)^$F$26</f>
        <v>555.5868470771227</v>
      </c>
      <c r="E51" s="2">
        <f>$C$18*((1-(E$34+2000)/145442)^4.255876)^$E$18*($A51/$C$27)^$F$26</f>
        <v>641.2641667633222</v>
      </c>
      <c r="F51" s="2">
        <f>$C$18*((1-(F$34+2000)/145442)^4.255876)^$E$18*($A51/$C$27)^$F$26</f>
        <v>741.6670838983204</v>
      </c>
      <c r="G51" s="2">
        <f>$C$18*((1-(G$34+2000)/145442)^4.255876)^$E$18*($A51/$C$27)^$F$26</f>
        <v>859.5946075837732</v>
      </c>
      <c r="H51" s="2">
        <f>$C$18*((1-(H$34+2000)/145442)^4.255876)^$E$18*($A51/$C$27)^$F$26</f>
        <v>998.4303223696925</v>
      </c>
      <c r="I51" s="2">
        <f>$C$18*((1-(I$34+2000)/145442)^4.255876)^$E$18*($A51/$C$27)^$F$26</f>
        <v>1162.275799356872</v>
      </c>
      <c r="J51" s="2">
        <f>$C$18*((1-(J$34+2000)/145442)^4.255876)^$E$18*($A51/$C$27)^$F$26</f>
        <v>1356.1171212905685</v>
      </c>
    </row>
    <row r="52" spans="1:10" ht="12.75">
      <c r="A52">
        <f>A51+A51-A50</f>
        <v>2000</v>
      </c>
      <c r="C52" s="2">
        <f>$C$18*((1-(C$34+2000)/145442)^4.255876)^$E$18*($A52/$C$27)^$F$26</f>
        <v>432.5907733166575</v>
      </c>
      <c r="D52" s="2">
        <f>$C$18*((1-(D$34+2000)/145442)^4.255876)^$E$18*($A52/$C$27)^$F$26</f>
        <v>498.3102480671732</v>
      </c>
      <c r="E52" s="2">
        <f>$C$18*((1-(E$34+2000)/145442)^4.255876)^$E$18*($A52/$C$27)^$F$26</f>
        <v>575.154915379166</v>
      </c>
      <c r="F52" s="2">
        <f>$C$18*((1-(F$34+2000)/145442)^4.255876)^$E$18*($A52/$C$27)^$F$26</f>
        <v>665.2070877936503</v>
      </c>
      <c r="G52" s="2">
        <f>$C$18*((1-(G$34+2000)/145442)^4.255876)^$E$18*($A52/$C$27)^$F$26</f>
        <v>770.97721876561</v>
      </c>
      <c r="H52" s="2">
        <f>$C$18*((1-(H$34+2000)/145442)^4.255876)^$E$18*($A52/$C$27)^$F$26</f>
        <v>895.500072104417</v>
      </c>
      <c r="I52" s="2">
        <f>$C$18*((1-(I$34+2000)/145442)^4.255876)^$E$18*($A52/$C$27)^$F$26</f>
        <v>1042.4543794493356</v>
      </c>
      <c r="J52" s="2">
        <f>$C$18*((1-(J$34+2000)/145442)^4.255876)^$E$18*($A52/$C$27)^$F$26</f>
        <v>1216.312197946325</v>
      </c>
    </row>
    <row r="54" spans="1:10" ht="12.75">
      <c r="A54">
        <v>-10</v>
      </c>
      <c r="C54" s="2">
        <f>$C$18*((1-C$34/145442)^4.255876)^$E$18*(1-$A54/($C$32/(1-C$34/145442)^(4.255876*0.5)))^$F$31</f>
        <v>867.6735529418355</v>
      </c>
      <c r="D54" s="2">
        <f>$C$18*((1-D$34/145442)^4.255876)^$E$18*(1-$A54/($C$32/(1-D$34/145442)^(4.255876*0.5)))^$F$31</f>
        <v>990.3466110403284</v>
      </c>
      <c r="E54" s="2">
        <f>$C$18*((1-E$34/145442)^4.255876)^$E$18*(1-$A54/($C$32/(1-E$34/145442)^(4.255876*0.5)))^$F$31</f>
        <v>1132.64382366641</v>
      </c>
      <c r="F54" s="2">
        <f>$C$18*((1-F$34/145442)^4.255876)^$E$18*(1-$A54/($C$32/(1-F$34/145442)^(4.255876*0.5)))^$F$31</f>
        <v>1298.0718417131338</v>
      </c>
      <c r="G54" s="2">
        <f>$C$18*((1-G$34/145442)^4.255876)^$E$18*(1-$A54/($C$32/(1-G$34/145442)^(4.255876*0.5)))^$F$31</f>
        <v>1490.8305086457829</v>
      </c>
      <c r="H54" s="2">
        <f>$C$18*((1-H$34/145442)^4.255876)^$E$18*(1-$A54/($C$32/(1-H$34/145442)^(4.255876*0.5)))^$F$31</f>
        <v>1715.9633087105112</v>
      </c>
      <c r="I54" s="2">
        <f>$C$18*((1-I$34/145442)^4.255876)^$E$18*(1-$A54/($C$32/(1-I$34/145442)^(4.255876*0.5)))^$F$31</f>
        <v>1979.5434470054968</v>
      </c>
      <c r="J54" s="2">
        <f>$C$18*((1-J$34/145442)^4.255876)^$E$18*(1-$A54/($C$32/(1-J$34/145442)^(4.255876*0.5)))^$F$31</f>
        <v>2288.904723983645</v>
      </c>
    </row>
    <row r="55" spans="1:10" ht="12.75">
      <c r="A55">
        <v>0</v>
      </c>
      <c r="C55" s="2">
        <f>$C$18*((1-C$34/145442)^4.255876)^$E$18*(1-$A55/($C$32/(1-C$34/145442)^(4.255876*0.5)))^$F$31</f>
        <v>661.0433145506757</v>
      </c>
      <c r="D55" s="2">
        <f>$C$18*((1-D$34/145442)^4.255876)^$E$18*(1-$A55/($C$32/(1-D$34/145442)^(4.255876*0.5)))^$F$31</f>
        <v>760</v>
      </c>
      <c r="E55" s="2">
        <f>$C$18*((1-E$34/145442)^4.255876)^$E$18*(1-$A55/($C$32/(1-E$34/145442)^(4.255876*0.5)))^$F$31</f>
        <v>875.4596997699504</v>
      </c>
      <c r="F55" s="2">
        <f>$C$18*((1-F$34/145442)^4.255876)^$E$18*(1-$A55/($C$32/(1-F$34/145442)^(4.255876*0.5)))^$F$31</f>
        <v>1010.4647686699387</v>
      </c>
      <c r="G55" s="2">
        <f>$C$18*((1-G$34/145442)^4.255876)^$E$18*(1-$A55/($C$32/(1-G$34/145442)^(4.255876*0.5)))^$F$31</f>
        <v>1168.673531446555</v>
      </c>
      <c r="H55" s="2">
        <f>$C$18*((1-H$34/145442)^4.255876)^$E$18*(1-$A55/($C$32/(1-H$34/145442)^(4.255876*0.5)))^$F$31</f>
        <v>1354.4964950811657</v>
      </c>
      <c r="I55" s="2">
        <f>$C$18*((1-I$34/145442)^4.255876)^$E$18*(1-$A55/($C$32/(1-I$34/145442)^(4.255876*0.5)))^$F$31</f>
        <v>1573.2653047159902</v>
      </c>
      <c r="J55" s="2">
        <f>$C$18*((1-J$34/145442)^4.255876)^$E$18*(1-$A55/($C$32/(1-J$34/145442)^(4.255876*0.5)))^$F$31</f>
        <v>1831.4429646920717</v>
      </c>
    </row>
    <row r="56" spans="1:10" ht="12.75">
      <c r="A56">
        <v>10</v>
      </c>
      <c r="C56" s="2">
        <f>$C$18*((1-C$34/145442)^4.255876)^$E$18*(1-$A56/($C$32/(1-C$34/145442)^(4.255876*0.5)))^$F$31</f>
        <v>480.49829767289754</v>
      </c>
      <c r="D56" s="2">
        <f>$C$18*((1-D$34/145442)^4.255876)^$E$18*(1-$A56/($C$32/(1-D$34/145442)^(4.255876*0.5)))^$F$31</f>
        <v>557.9494554532341</v>
      </c>
      <c r="E56" s="2">
        <f>$C$18*((1-E$34/145442)^4.255876)^$E$18*(1-$A56/($C$32/(1-E$34/145442)^(4.255876*0.5)))^$F$31</f>
        <v>649.0045000484484</v>
      </c>
      <c r="F56" s="2">
        <f>$C$18*((1-F$34/145442)^4.255876)^$E$18*(1-$A56/($C$32/(1-F$34/145442)^(4.255876*0.5)))^$F$31</f>
        <v>756.2673608690355</v>
      </c>
      <c r="G56" s="2">
        <f>$C$18*((1-G$34/145442)^4.255876)^$E$18*(1-$A56/($C$32/(1-G$34/145442)^(4.255876*0.5)))^$F$31</f>
        <v>882.8841582535347</v>
      </c>
      <c r="H56" s="2">
        <f>$C$18*((1-H$34/145442)^4.255876)^$E$18*(1-$A56/($C$32/(1-H$34/145442)^(4.255876*0.5)))^$F$31</f>
        <v>1032.6656970411232</v>
      </c>
      <c r="I56" s="2">
        <f>$C$18*((1-I$34/145442)^4.255876)^$E$18*(1-$A56/($C$32/(1-I$34/145442)^(4.255876*0.5)))^$F$31</f>
        <v>1210.2399023136427</v>
      </c>
      <c r="J56" s="2">
        <f>$C$18*((1-J$34/145442)^4.255876)^$E$18*(1-$A56/($C$32/(1-J$34/145442)^(4.255876*0.5)))^$F$31</f>
        <v>1421.24209383829</v>
      </c>
    </row>
    <row r="57" spans="1:10" ht="12.75">
      <c r="A57">
        <v>20</v>
      </c>
      <c r="C57" s="2">
        <f>$C$18*((1-C$34/145442)^4.255876)^$E$18*(1-$A57/($C$32/(1-C$34/145442)^(4.255876*0.5)))^$F$31</f>
        <v>326.72601350505533</v>
      </c>
      <c r="D57" s="2">
        <f>$C$18*((1-D$34/145442)^4.255876)^$E$18*(1-$A57/($C$32/(1-D$34/145442)^(4.255876*0.5)))^$F$31</f>
        <v>384.91694742727</v>
      </c>
      <c r="E57" s="2">
        <f>$C$18*((1-E$34/145442)^4.255876)^$E$18*(1-$A57/($C$32/(1-E$34/145442)^(4.255876*0.5)))^$F$31</f>
        <v>454.03699111548366</v>
      </c>
      <c r="F57" s="2">
        <f>$C$18*((1-F$34/145442)^4.255876)^$E$18*(1-$A57/($C$32/(1-F$34/145442)^(4.255876*0.5)))^$F$31</f>
        <v>536.2777139744554</v>
      </c>
      <c r="G57" s="2">
        <f>$C$18*((1-G$34/145442)^4.255876)^$E$18*(1-$A57/($C$32/(1-G$34/145442)^(4.255876*0.5)))^$F$31</f>
        <v>634.3025603466413</v>
      </c>
      <c r="H57" s="2">
        <f>$C$18*((1-H$34/145442)^4.255876)^$E$18*(1-$A57/($C$32/(1-H$34/145442)^(4.255876*0.5)))^$F$31</f>
        <v>751.3561437942584</v>
      </c>
      <c r="I57" s="2">
        <f>$C$18*((1-I$34/145442)^4.255876)^$E$18*(1-$A57/($C$32/(1-I$34/145442)^(4.255876*0.5)))^$F$31</f>
        <v>891.4007691655682</v>
      </c>
      <c r="J57" s="2">
        <f>$C$18*((1-J$34/145442)^4.255876)^$E$18*(1-$A57/($C$32/(1-J$34/145442)^(4.255876*0.5)))^$F$31</f>
        <v>1059.2874702027773</v>
      </c>
    </row>
    <row r="87" spans="1:3" ht="12.75">
      <c r="A87" t="s">
        <v>45</v>
      </c>
      <c r="C87" s="1"/>
    </row>
    <row r="88" spans="2:7" ht="12.75">
      <c r="B88" t="s">
        <v>3</v>
      </c>
      <c r="C88" t="s">
        <v>46</v>
      </c>
      <c r="D88" t="s">
        <v>47</v>
      </c>
      <c r="E88" t="s">
        <v>49</v>
      </c>
      <c r="F88" t="s">
        <v>46</v>
      </c>
      <c r="G88" t="s">
        <v>47</v>
      </c>
    </row>
    <row r="89" spans="3:7" ht="12.75">
      <c r="C89">
        <v>11.25</v>
      </c>
      <c r="D89">
        <v>0.5</v>
      </c>
      <c r="F89" s="1">
        <v>6.5</v>
      </c>
      <c r="G89" s="1">
        <v>0</v>
      </c>
    </row>
    <row r="90" spans="3:7" ht="12.75">
      <c r="C90">
        <v>11.25</v>
      </c>
      <c r="D90">
        <v>4.5</v>
      </c>
      <c r="F90" s="1">
        <v>6.5</v>
      </c>
      <c r="G90" s="1">
        <v>2.5</v>
      </c>
    </row>
    <row r="91" spans="2:7" ht="12.75">
      <c r="B91" t="s">
        <v>48</v>
      </c>
      <c r="C91" t="s">
        <v>46</v>
      </c>
      <c r="D91" t="s">
        <v>47</v>
      </c>
      <c r="F91" s="1">
        <v>11.25</v>
      </c>
      <c r="G91" s="1">
        <v>2.5</v>
      </c>
    </row>
    <row r="92" spans="3:7" ht="12.75">
      <c r="C92">
        <v>20</v>
      </c>
      <c r="D92">
        <v>0.5</v>
      </c>
      <c r="F92" s="1">
        <v>13.6</v>
      </c>
      <c r="G92" s="1">
        <v>2</v>
      </c>
    </row>
    <row r="93" spans="3:7" ht="12.75">
      <c r="C93">
        <v>20</v>
      </c>
      <c r="D93">
        <v>4.5</v>
      </c>
      <c r="F93" s="1">
        <v>20</v>
      </c>
      <c r="G93" s="1">
        <v>2</v>
      </c>
    </row>
    <row r="94" spans="6:7" ht="12.75">
      <c r="F94" s="1">
        <v>21</v>
      </c>
      <c r="G94" s="1">
        <v>1.55</v>
      </c>
    </row>
    <row r="95" spans="6:7" ht="12.75">
      <c r="F95" s="1">
        <v>22</v>
      </c>
      <c r="G95" s="1">
        <v>1.55</v>
      </c>
    </row>
  </sheetData>
  <printOptions gridLines="1"/>
  <pageMargins left="0.5" right="0.5" top="0.5" bottom="0.5" header="0.3" footer="0.3"/>
  <pageSetup horizontalDpi="600" verticalDpi="600" orientation="portrait" r:id="rId2"/>
  <headerFooter alignWithMargins="0">
    <oddFooter>&amp;Lhhholmes:&amp;F&amp;CPage &amp;P&amp;R&amp;D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Harvard H Holmes</dc:creator>
  <cp:keywords/>
  <dc:description/>
  <cp:lastModifiedBy>hhholmes</cp:lastModifiedBy>
  <cp:lastPrinted>2003-01-01T01:38:17Z</cp:lastPrinted>
  <dcterms:created xsi:type="dcterms:W3CDTF">2002-12-29T01:45:06Z</dcterms:created>
  <dcterms:modified xsi:type="dcterms:W3CDTF">2003-01-01T02:45:44Z</dcterms:modified>
  <cp:category/>
  <cp:version/>
  <cp:contentType/>
  <cp:contentStatus/>
</cp:coreProperties>
</file>