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30" windowWidth="10050" windowHeight="8925" tabRatio="661" firstSheet="2" activeTab="3"/>
  </bookViews>
  <sheets>
    <sheet name="Copyright Notice" sheetId="1" r:id="rId1"/>
    <sheet name="Equations" sheetId="2" r:id="rId2"/>
    <sheet name="Units" sheetId="3" r:id="rId3"/>
    <sheet name="Conversions" sheetId="4" r:id="rId4"/>
    <sheet name="Constants" sheetId="5" r:id="rId5"/>
    <sheet name="SciNtnRef" sheetId="6" r:id="rId6"/>
  </sheets>
  <definedNames>
    <definedName name="AbsoluteZeroC">'Constants'!$C$38</definedName>
    <definedName name="AbsoluteZeroF">'Constants'!$C$37</definedName>
    <definedName name="AbsoluteZeroK">'Constants'!$C$39</definedName>
    <definedName name="AMU_to_kg">'Conversions'!$C$37</definedName>
    <definedName name="AMU_to_MeV">'Conversions'!$C$19</definedName>
    <definedName name="atm_to_Pa">'Conversions'!$C$63</definedName>
    <definedName name="atm_to_torr">'Conversions'!$C$64</definedName>
    <definedName name="atto">'SciNtnRef'!$C$5</definedName>
    <definedName name="AU">'Constants'!$C$31</definedName>
    <definedName name="AU_m" localSheetId="0">#REF!</definedName>
    <definedName name="AU_m">'Constants'!$C$32</definedName>
    <definedName name="AU_to_km" localSheetId="0">#REF!</definedName>
    <definedName name="AU_to_km">'Conversions'!$C$48</definedName>
    <definedName name="AU_to_Parsec">'Conversions'!$C$49</definedName>
    <definedName name="AULightTime_min" localSheetId="0">#REF!</definedName>
    <definedName name="AULightTime_min">'Constants'!$C$35</definedName>
    <definedName name="AULightTime_sec" localSheetId="0">#REF!</definedName>
    <definedName name="AULightTime_sec">'Constants'!$C$35</definedName>
    <definedName name="bar_to_kPa">'Conversions'!$C$61</definedName>
    <definedName name="BTU_to_cal">'Conversions'!$C$21</definedName>
    <definedName name="BTU_to_J">'Conversions'!$C$23</definedName>
    <definedName name="BTU_to_kJ">'Conversions'!$C$22</definedName>
    <definedName name="cal_per_sec_to_W">'Conversions'!$C$20</definedName>
    <definedName name="cal_to_J">'Conversions'!$C$12</definedName>
    <definedName name="centi">'SciNtnRef'!$C$11</definedName>
    <definedName name="CMBTemperatureC">'Constants'!$C$41</definedName>
    <definedName name="CMBTemperatureF">'Constants'!$C$40</definedName>
    <definedName name="CMBTemperatureK">'Constants'!$C$42</definedName>
    <definedName name="cmsq_to_mmsq">'Conversions'!$C$5</definedName>
    <definedName name="d">'SciNtnRef'!$C$12</definedName>
    <definedName name="deka">'SciNtnRef'!$C$14</definedName>
    <definedName name="E">'SciNtnRef'!$C$21</definedName>
    <definedName name="exa">'SciNtnRef'!$C$21</definedName>
    <definedName name="F">'Constants'!$C$12</definedName>
    <definedName name="femto">'SciNtnRef'!$C$6</definedName>
    <definedName name="FSC">'Constants'!$C$13</definedName>
    <definedName name="ft_to_m">'Conversions'!$C$56</definedName>
    <definedName name="ft2pm2">'Conversions'!$C$70</definedName>
    <definedName name="G">'Constants'!$C$17</definedName>
    <definedName name="g_to_carat">'Conversions'!$C$35</definedName>
    <definedName name="g_to_grain">'Conversions'!$C$36</definedName>
    <definedName name="Genglish">'Constants'!$C$18</definedName>
    <definedName name="Giga">'SciNtnRef'!$C$18</definedName>
    <definedName name="h">'Constants'!$C$22</definedName>
    <definedName name="hecto">'SciNtnRef'!$C$15</definedName>
    <definedName name="in_to_cm">'Conversions'!$C$55</definedName>
    <definedName name="insq_to_cmsq">'Conversions'!$C$10</definedName>
    <definedName name="J_to_cal">'Conversions'!$C$14</definedName>
    <definedName name="J_to_erg">'Conversions'!$C$13</definedName>
    <definedName name="J_to_eV">'Conversions'!$C$15</definedName>
    <definedName name="J_to_MeV">'Conversions'!$C$16</definedName>
    <definedName name="J_to_TeV">'Conversions'!$C$17</definedName>
    <definedName name="k">'Constants'!$C$6</definedName>
    <definedName name="kg_to_J">'Conversions'!$C$18</definedName>
    <definedName name="kg_to_lb">'Conversions'!$C$33</definedName>
    <definedName name="kg_to_oz">'Conversions'!$C$34</definedName>
    <definedName name="kgTNT_to_J">'Conversions'!$C$26</definedName>
    <definedName name="kilo">'SciNtnRef'!$C$16</definedName>
    <definedName name="kTTNT_to_J">'Conversions'!$C$27</definedName>
    <definedName name="kwh_to_kJ">'Conversions'!$C$24</definedName>
    <definedName name="lb_to_kg">'Conversions'!$C$32</definedName>
    <definedName name="LightSpeed">'Constants'!$C$28</definedName>
    <definedName name="LightSpeed_m">'Constants'!$C$28</definedName>
    <definedName name="LightYear_km" localSheetId="0">#REF!</definedName>
    <definedName name="LightYear_km">'Constants'!$C$29</definedName>
    <definedName name="LightYear_m" localSheetId="0">#REF!</definedName>
    <definedName name="LightYear_m">'Constants'!$C$30</definedName>
    <definedName name="LY_to_AU" localSheetId="0">#REF!</definedName>
    <definedName name="LY_to_AU">'Conversions'!$C$46</definedName>
    <definedName name="LY_to_km" localSheetId="0">#REF!</definedName>
    <definedName name="LY_to_km">'Conversions'!$C$45</definedName>
    <definedName name="LY_to_Parsec">'Conversions'!$C$47</definedName>
    <definedName name="M">'SciNtnRef'!$C$17</definedName>
    <definedName name="m_to_ft">'Conversions'!$C$54</definedName>
    <definedName name="Mass_electron">'Constants'!$C$9</definedName>
    <definedName name="Mass_neutron">'Constants'!$C$11</definedName>
    <definedName name="Mass_proton">'Constants'!$C$10</definedName>
    <definedName name="micro">'SciNtnRef'!$C$9</definedName>
    <definedName name="mile_to_ft">'Conversions'!$C$52</definedName>
    <definedName name="mile_to_km" localSheetId="0">#REF!</definedName>
    <definedName name="mile_to_km">'Conversions'!$C$51</definedName>
    <definedName name="milli">'SciNtnRef'!$C$10</definedName>
    <definedName name="mmsq_to_umsq">'Conversions'!$C$6</definedName>
    <definedName name="msq_to_ftsq">'Conversions'!$C$8</definedName>
    <definedName name="msq_to_insq">'Conversions'!$C$9</definedName>
    <definedName name="MTTNT_to_J">'Conversions'!$C$28</definedName>
    <definedName name="n">'SciNtnRef'!$C$8</definedName>
    <definedName name="NA">'Constants'!$C$4</definedName>
    <definedName name="nano">'SciNtnRef'!$C$8</definedName>
    <definedName name="P">'SciNtnRef'!$C$20</definedName>
    <definedName name="Parsec_to_AU" localSheetId="0">#REF!</definedName>
    <definedName name="Parsec_to_AU">'Conversions'!$C$43</definedName>
    <definedName name="Parsec_to_km" localSheetId="0">#REF!</definedName>
    <definedName name="Parsec_to_km">'Conversions'!$C$44</definedName>
    <definedName name="Parsec_to_LY" localSheetId="0">#REF!</definedName>
    <definedName name="Parsec_to_LY">'Conversions'!$C$42</definedName>
    <definedName name="Pascal_to_NPer_mSquared">'Conversions'!$C$60</definedName>
    <definedName name="peta">'SciNtnRef'!$C$20</definedName>
    <definedName name="pi">'Constants'!$C$21</definedName>
    <definedName name="pico">'SciNtnRef'!$C$8</definedName>
    <definedName name="psi_to_kPa">'Conversions'!$C$62</definedName>
    <definedName name="rad_to_J_per_kg">'Conversions'!$C$67</definedName>
    <definedName name="Rgasconst">'Constants'!$C$16</definedName>
    <definedName name="SBC">'Constants'!$C$27</definedName>
    <definedName name="SecondsPerDay">'Constants'!$C$33</definedName>
    <definedName name="SecondsPerYear">'Constants'!$C$34</definedName>
    <definedName name="sigma">'Constants'!$C$27</definedName>
    <definedName name="T">'SciNtnRef'!$C$19</definedName>
    <definedName name="tera">'SciNtnRef'!$C$19</definedName>
    <definedName name="ton_to_kg">'Conversions'!$C$31</definedName>
    <definedName name="ton_to_lb">'Conversions'!$C$30</definedName>
    <definedName name="umsq_to_nmsq">'Conversions'!$C$7</definedName>
    <definedName name="W_per_sq_m_sec_to_Jy">'Conversions'!$C$40</definedName>
    <definedName name="W_to_cal_per_sec">'Conversions'!$C$25</definedName>
    <definedName name="Y">'SciNtnRef'!$C$23</definedName>
    <definedName name="yocto">'SciNtnRef'!$C$3</definedName>
    <definedName name="yotta">'SciNtnRef'!$C$23</definedName>
    <definedName name="Z">'SciNtnRef'!$C$22</definedName>
    <definedName name="zepto">'SciNtnRef'!$C$4</definedName>
    <definedName name="zetta">'SciNtnRef'!$C$22</definedName>
  </definedNames>
  <calcPr fullCalcOnLoad="1"/>
</workbook>
</file>

<file path=xl/comments2.xml><?xml version="1.0" encoding="utf-8"?>
<comments xmlns="http://schemas.openxmlformats.org/spreadsheetml/2006/main">
  <authors>
    <author>Robert J. Bradbury</author>
  </authors>
  <commentList>
    <comment ref="C5" authorId="0">
      <text>
        <r>
          <rPr>
            <sz val="10"/>
            <rFont val="Tahoma"/>
            <family val="0"/>
          </rPr>
          <t>r = radius of sphere</t>
        </r>
      </text>
    </comment>
    <comment ref="C6" authorId="0">
      <text>
        <r>
          <rPr>
            <sz val="10"/>
            <rFont val="Tahoma"/>
            <family val="0"/>
          </rPr>
          <t>r = radius of sphere
S = thickness of shell</t>
        </r>
      </text>
    </comment>
    <comment ref="C18" authorId="0">
      <text>
        <r>
          <rPr>
            <sz val="10"/>
            <rFont val="Tahoma"/>
            <family val="0"/>
          </rPr>
          <t xml:space="preserve">P = watts radiated
</t>
        </r>
        <r>
          <rPr>
            <sz val="10"/>
            <rFont val="Symbol"/>
            <family val="1"/>
          </rPr>
          <t>s</t>
        </r>
        <r>
          <rPr>
            <sz val="10"/>
            <rFont val="Tahoma"/>
            <family val="0"/>
          </rPr>
          <t xml:space="preserve"> = Stephan=Boltzmann constant
T = Temperature(Kelvins)</t>
        </r>
      </text>
    </comment>
    <comment ref="C19" authorId="0">
      <text>
        <r>
          <rPr>
            <sz val="10"/>
            <rFont val="Tahoma"/>
            <family val="0"/>
          </rPr>
          <t xml:space="preserve">T = Temperature
P = radiation power
r = radius
</t>
        </r>
        <r>
          <rPr>
            <sz val="10"/>
            <rFont val="Symbol"/>
            <family val="1"/>
          </rPr>
          <t>e</t>
        </r>
        <r>
          <rPr>
            <sz val="10"/>
            <rFont val="Tahoma"/>
            <family val="0"/>
          </rPr>
          <t xml:space="preserve"> = emissivity
</t>
        </r>
        <r>
          <rPr>
            <sz val="10"/>
            <rFont val="Symbol"/>
            <family val="1"/>
          </rPr>
          <t>s</t>
        </r>
        <r>
          <rPr>
            <sz val="10"/>
            <rFont val="Tahoma"/>
            <family val="0"/>
          </rPr>
          <t xml:space="preserve"> = Stefan-Boltzman constant</t>
        </r>
      </text>
    </comment>
    <comment ref="C21" authorId="0">
      <text>
        <r>
          <rPr>
            <sz val="10"/>
            <rFont val="Tahoma"/>
            <family val="0"/>
          </rPr>
          <t>H = heat flow
k = thermal conductivity
A = area
dT/dx = temperature gradient
  dT = temperature difference
  dx = thickness</t>
        </r>
      </text>
    </comment>
    <comment ref="C17" authorId="0">
      <text>
        <r>
          <rPr>
            <sz val="10"/>
            <rFont val="Tahoma"/>
            <family val="0"/>
          </rPr>
          <t xml:space="preserve">Assumes black body emissivity;
P = watts radiated
</t>
        </r>
        <r>
          <rPr>
            <sz val="10"/>
            <rFont val="Symbol"/>
            <family val="1"/>
          </rPr>
          <t>s</t>
        </r>
        <r>
          <rPr>
            <sz val="10"/>
            <rFont val="Tahoma"/>
            <family val="0"/>
          </rPr>
          <t xml:space="preserve"> = Stephan=Boltzmann constant
A = Area
T = Temperature(Kelvins)
</t>
        </r>
        <r>
          <rPr>
            <sz val="10"/>
            <rFont val="Symbol"/>
            <family val="1"/>
          </rPr>
          <t/>
        </r>
      </text>
    </comment>
  </commentList>
</comments>
</file>

<file path=xl/sharedStrings.xml><?xml version="1.0" encoding="utf-8"?>
<sst xmlns="http://schemas.openxmlformats.org/spreadsheetml/2006/main" count="571" uniqueCount="423">
  <si>
    <t>Physics Equations</t>
  </si>
  <si>
    <t>Field</t>
  </si>
  <si>
    <t>Description</t>
  </si>
  <si>
    <t>Equation</t>
  </si>
  <si>
    <t>Units</t>
  </si>
  <si>
    <t>Comments</t>
  </si>
  <si>
    <t>Geometry</t>
  </si>
  <si>
    <t>Area of rectangle</t>
  </si>
  <si>
    <t>Area of circle</t>
  </si>
  <si>
    <t>Surface Area of a Sphere</t>
  </si>
  <si>
    <t>Sphere Volume</t>
  </si>
  <si>
    <t>Motion</t>
  </si>
  <si>
    <t>Velocity</t>
  </si>
  <si>
    <t>m/s</t>
  </si>
  <si>
    <t>Distance</t>
  </si>
  <si>
    <t>m</t>
  </si>
  <si>
    <t>Mechanics</t>
  </si>
  <si>
    <t>Density</t>
  </si>
  <si>
    <t>Pressure</t>
  </si>
  <si>
    <t>Force</t>
  </si>
  <si>
    <t>N</t>
  </si>
  <si>
    <t>Force of Gravity</t>
  </si>
  <si>
    <t>Work</t>
  </si>
  <si>
    <t>J</t>
  </si>
  <si>
    <t>Heat</t>
  </si>
  <si>
    <t>Radiation Power</t>
  </si>
  <si>
    <t>W</t>
  </si>
  <si>
    <t>Stephan-Boltzmann Law</t>
  </si>
  <si>
    <t>Sphere Emission Temperature</t>
  </si>
  <si>
    <t>K</t>
  </si>
  <si>
    <t>Heat Capacity</t>
  </si>
  <si>
    <t>Heat Flow</t>
  </si>
  <si>
    <t>cal/s</t>
  </si>
  <si>
    <r>
      <t xml:space="preserve">A = </t>
    </r>
    <r>
      <rPr>
        <i/>
        <sz val="10"/>
        <rFont val="Arial"/>
        <family val="2"/>
      </rPr>
      <t>l w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</si>
  <si>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</si>
  <si>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</si>
  <si>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A = 4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1"/>
        <rFont val="Arial"/>
        <family val="2"/>
      </rPr>
      <t>2</t>
    </r>
  </si>
  <si>
    <r>
      <t xml:space="preserve">V = 4/3 </t>
    </r>
    <r>
      <rPr>
        <sz val="10"/>
        <rFont val="Symbol"/>
        <family val="1"/>
      </rPr>
      <t xml:space="preserve">p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</si>
  <si>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</si>
  <si>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r>
      <t>v = 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a t</t>
    </r>
  </si>
  <si>
    <r>
      <t>d</t>
    </r>
    <r>
      <rPr>
        <sz val="10"/>
        <rFont val="Arial"/>
        <family val="0"/>
      </rPr>
      <t xml:space="preserve"> = 1/2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</si>
  <si>
    <r>
      <t>r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/ V</t>
    </r>
  </si>
  <si>
    <r>
      <t>g/cm</t>
    </r>
    <r>
      <rPr>
        <vertAlign val="superscript"/>
        <sz val="10"/>
        <rFont val="Arial"/>
        <family val="2"/>
      </rPr>
      <t>3</t>
    </r>
  </si>
  <si>
    <r>
      <t>p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A</t>
    </r>
  </si>
  <si>
    <r>
      <t>Pa (= N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</si>
  <si>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m a</t>
    </r>
  </si>
  <si>
    <r>
      <t>F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</t>
    </r>
  </si>
  <si>
    <r>
      <t>F</t>
    </r>
    <r>
      <rPr>
        <sz val="10"/>
        <rFont val="Arial"/>
        <family val="0"/>
      </rPr>
      <t xml:space="preserve"> = G (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/ </t>
    </r>
    <r>
      <rPr>
        <i/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</si>
  <si>
    <r>
      <t xml:space="preserve">W = </t>
    </r>
    <r>
      <rPr>
        <i/>
        <sz val="10"/>
        <rFont val="Arial"/>
        <family val="2"/>
      </rPr>
      <t>F d</t>
    </r>
  </si>
  <si>
    <r>
      <t xml:space="preserve">P =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A T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4</t>
    </r>
  </si>
  <si>
    <r>
      <t xml:space="preserve">P =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T </t>
    </r>
    <r>
      <rPr>
        <vertAlign val="superscript"/>
        <sz val="10"/>
        <rFont val="Arial"/>
        <family val="2"/>
      </rPr>
      <t>4</t>
    </r>
  </si>
  <si>
    <r>
      <t xml:space="preserve">T = (P / (4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s</t>
    </r>
    <r>
      <rPr>
        <sz val="10"/>
        <rFont val="Arial"/>
        <family val="0"/>
      </rPr>
      <t>))</t>
    </r>
    <r>
      <rPr>
        <vertAlign val="superscript"/>
        <sz val="10"/>
        <rFont val="Arial"/>
        <family val="2"/>
      </rPr>
      <t>.25</t>
    </r>
  </si>
  <si>
    <r>
      <t xml:space="preserve"> c =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Q / (m </t>
    </r>
    <r>
      <rPr>
        <sz val="10"/>
        <rFont val="Symbol"/>
        <family val="1"/>
      </rPr>
      <t>D</t>
    </r>
    <r>
      <rPr>
        <sz val="10"/>
        <rFont val="Arial"/>
        <family val="0"/>
      </rPr>
      <t>T)</t>
    </r>
  </si>
  <si>
    <r>
      <t xml:space="preserve"> H = -kA (</t>
    </r>
    <r>
      <rPr>
        <i/>
        <sz val="10"/>
        <rFont val="Arial"/>
        <family val="2"/>
      </rPr>
      <t>dT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dx</t>
    </r>
    <r>
      <rPr>
        <sz val="10"/>
        <rFont val="Arial"/>
        <family val="0"/>
      </rPr>
      <t>)</t>
    </r>
  </si>
  <si>
    <t>Physics Constants</t>
  </si>
  <si>
    <t>Fundamental Constants</t>
  </si>
  <si>
    <t>Symbol</t>
  </si>
  <si>
    <t>Value</t>
  </si>
  <si>
    <t>Atomic Mass constant</t>
  </si>
  <si>
    <t>kg</t>
  </si>
  <si>
    <t>Avagadro constant</t>
  </si>
  <si>
    <t>Bohr magneton</t>
  </si>
  <si>
    <t>J / T</t>
  </si>
  <si>
    <t>Boltzmann constant</t>
  </si>
  <si>
    <t>k</t>
  </si>
  <si>
    <t>J / K</t>
  </si>
  <si>
    <t>Electron charge</t>
  </si>
  <si>
    <t>C</t>
  </si>
  <si>
    <t>Electron specific charge</t>
  </si>
  <si>
    <t>C / kg</t>
  </si>
  <si>
    <t>Electron rest mass</t>
  </si>
  <si>
    <t>Faraday constant</t>
  </si>
  <si>
    <t>F</t>
  </si>
  <si>
    <t>C / mol</t>
  </si>
  <si>
    <t>Fine-structure constant</t>
  </si>
  <si>
    <t>a</t>
  </si>
  <si>
    <t>-</t>
  </si>
  <si>
    <t>Josephson frequence to voltage ratio</t>
  </si>
  <si>
    <t>Hz / V</t>
  </si>
  <si>
    <t>Magnetic flux quantum</t>
  </si>
  <si>
    <t>Wb</t>
  </si>
  <si>
    <t>Molar gas constant</t>
  </si>
  <si>
    <t>R</t>
  </si>
  <si>
    <t>J / (mol K)</t>
  </si>
  <si>
    <t>Newtonian Gravitational constant</t>
  </si>
  <si>
    <t>G</t>
  </si>
  <si>
    <t>Permeability of vacuum</t>
  </si>
  <si>
    <t>H / m</t>
  </si>
  <si>
    <t>Permittivity of vacuum</t>
  </si>
  <si>
    <t>F / m</t>
  </si>
  <si>
    <t>Pi</t>
  </si>
  <si>
    <t>p</t>
  </si>
  <si>
    <t>Planck constant</t>
  </si>
  <si>
    <t>h</t>
  </si>
  <si>
    <t>J s</t>
  </si>
  <si>
    <t>Plank constant / 2p</t>
  </si>
  <si>
    <t>Rydberg constant</t>
  </si>
  <si>
    <t>Standard volume of ideal gas</t>
  </si>
  <si>
    <t>Second Radiation constant</t>
  </si>
  <si>
    <t>m K</t>
  </si>
  <si>
    <t>Stephan-Boltzmann constant</t>
  </si>
  <si>
    <t>s</t>
  </si>
  <si>
    <t>Speed of Light</t>
  </si>
  <si>
    <t>c</t>
  </si>
  <si>
    <t>m / s</t>
  </si>
  <si>
    <t>Light Year (km)</t>
  </si>
  <si>
    <t>ly</t>
  </si>
  <si>
    <t>km</t>
  </si>
  <si>
    <t>Light Year (m)</t>
  </si>
  <si>
    <t>Astronomical Unit</t>
  </si>
  <si>
    <t>AU</t>
  </si>
  <si>
    <t>Astronomical Unit (meters)</t>
  </si>
  <si>
    <t>Seconds Per Day</t>
  </si>
  <si>
    <t>spd</t>
  </si>
  <si>
    <t>Seconds Per Year</t>
  </si>
  <si>
    <t>spy</t>
  </si>
  <si>
    <t>AU Light Time (sec)</t>
  </si>
  <si>
    <t>AU Light Time (min)</t>
  </si>
  <si>
    <r>
      <t>m</t>
    </r>
    <r>
      <rPr>
        <vertAlign val="subscript"/>
        <sz val="10"/>
        <rFont val="Arial"/>
        <family val="2"/>
      </rPr>
      <t>u</t>
    </r>
  </si>
  <si>
    <r>
      <t>N</t>
    </r>
    <r>
      <rPr>
        <vertAlign val="subscript"/>
        <sz val="10"/>
        <rFont val="Arial"/>
        <family val="2"/>
      </rPr>
      <t>A</t>
    </r>
  </si>
  <si>
    <r>
      <t>mol</t>
    </r>
    <r>
      <rPr>
        <vertAlign val="superscript"/>
        <sz val="10"/>
        <rFont val="Arial"/>
        <family val="2"/>
      </rPr>
      <t>-1</t>
    </r>
  </si>
  <si>
    <r>
      <t>m</t>
    </r>
    <r>
      <rPr>
        <vertAlign val="subscript"/>
        <sz val="10"/>
        <rFont val="Arial"/>
        <family val="2"/>
      </rPr>
      <t>B</t>
    </r>
  </si>
  <si>
    <r>
      <t>-</t>
    </r>
    <r>
      <rPr>
        <i/>
        <sz val="10"/>
        <rFont val="Arial"/>
        <family val="2"/>
      </rPr>
      <t>e</t>
    </r>
  </si>
  <si>
    <r>
      <t>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</si>
  <si>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e</t>
    </r>
  </si>
  <si>
    <r>
      <t>2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h</t>
    </r>
  </si>
  <si>
    <r>
      <t>f</t>
    </r>
    <r>
      <rPr>
        <vertAlign val="subscript"/>
        <sz val="10"/>
        <rFont val="Arial"/>
        <family val="2"/>
      </rPr>
      <t>o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</si>
  <si>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-2</t>
    </r>
  </si>
  <si>
    <r>
      <t>m</t>
    </r>
    <r>
      <rPr>
        <vertAlign val="subscript"/>
        <sz val="10"/>
        <rFont val="Arial"/>
        <family val="2"/>
      </rPr>
      <t>o</t>
    </r>
  </si>
  <si>
    <r>
      <t>e</t>
    </r>
    <r>
      <rPr>
        <vertAlign val="subscript"/>
        <sz val="10"/>
        <rFont val="Arial"/>
        <family val="2"/>
      </rPr>
      <t>o</t>
    </r>
  </si>
  <si>
    <r>
      <t>h</t>
    </r>
    <r>
      <rPr>
        <sz val="10"/>
        <rFont val="Arial"/>
        <family val="0"/>
      </rPr>
      <t xml:space="preserve"> / 2</t>
    </r>
    <r>
      <rPr>
        <sz val="10"/>
        <rFont val="Symbol"/>
        <family val="1"/>
      </rPr>
      <t>p</t>
    </r>
  </si>
  <si>
    <r>
      <t>m</t>
    </r>
    <r>
      <rPr>
        <vertAlign val="superscript"/>
        <sz val="10"/>
        <rFont val="Arial"/>
        <family val="2"/>
      </rPr>
      <t>-1</t>
    </r>
  </si>
  <si>
    <r>
      <t>V</t>
    </r>
    <r>
      <rPr>
        <vertAlign val="subscript"/>
        <sz val="10"/>
        <rFont val="Arial"/>
        <family val="2"/>
      </rPr>
      <t>m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</si>
  <si>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mol</t>
    </r>
  </si>
  <si>
    <r>
      <t>c</t>
    </r>
    <r>
      <rPr>
        <vertAlign val="subscript"/>
        <sz val="10"/>
        <rFont val="Arial"/>
        <family val="2"/>
      </rPr>
      <t>2</t>
    </r>
  </si>
  <si>
    <r>
      <t>W K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-2</t>
    </r>
  </si>
  <si>
    <t>Physics Conversion Factors</t>
  </si>
  <si>
    <t>Category</t>
  </si>
  <si>
    <t>Multiplier</t>
  </si>
  <si>
    <t>Area</t>
  </si>
  <si>
    <t>Energy</t>
  </si>
  <si>
    <t>cal</t>
  </si>
  <si>
    <t>Joule</t>
  </si>
  <si>
    <t>erg</t>
  </si>
  <si>
    <t>eV</t>
  </si>
  <si>
    <t>TeV</t>
  </si>
  <si>
    <t>lb</t>
  </si>
  <si>
    <t>oz</t>
  </si>
  <si>
    <t>g</t>
  </si>
  <si>
    <t>carat</t>
  </si>
  <si>
    <t>grain</t>
  </si>
  <si>
    <t>BTU</t>
  </si>
  <si>
    <t>kJ</t>
  </si>
  <si>
    <t>kwh</t>
  </si>
  <si>
    <t>Watt</t>
  </si>
  <si>
    <t>Length</t>
  </si>
  <si>
    <t>Parsec</t>
  </si>
  <si>
    <t>mile</t>
  </si>
  <si>
    <t>nm</t>
  </si>
  <si>
    <t>A</t>
  </si>
  <si>
    <t>Bohr radius</t>
  </si>
  <si>
    <t>first electron orbit</t>
  </si>
  <si>
    <t>bar</t>
  </si>
  <si>
    <t>kPa</t>
  </si>
  <si>
    <t>psi</t>
  </si>
  <si>
    <t>Radiation</t>
  </si>
  <si>
    <t>Rad</t>
  </si>
  <si>
    <t>1 Rad = 100 ergs/g</t>
  </si>
  <si>
    <t>Roentgen</t>
  </si>
  <si>
    <r>
      <t>km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</si>
  <si>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</si>
  <si>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</si>
  <si>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m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</si>
  <si>
    <r>
      <t>nm</t>
    </r>
    <r>
      <rPr>
        <vertAlign val="superscript"/>
        <sz val="10"/>
        <rFont val="Arial"/>
        <family val="2"/>
      </rPr>
      <t>2</t>
    </r>
  </si>
  <si>
    <r>
      <t>ft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</si>
  <si>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2</t>
    </r>
  </si>
  <si>
    <t>Physics Units</t>
  </si>
  <si>
    <t>Quantity</t>
  </si>
  <si>
    <t>Name</t>
  </si>
  <si>
    <t>Formula</t>
  </si>
  <si>
    <t>Absorbed dose</t>
  </si>
  <si>
    <t>gray</t>
  </si>
  <si>
    <t>Gy</t>
  </si>
  <si>
    <t>J / kg</t>
  </si>
  <si>
    <t>Activity (radionuclide)</t>
  </si>
  <si>
    <t>bequerel</t>
  </si>
  <si>
    <t>Bq</t>
  </si>
  <si>
    <t>1 / s</t>
  </si>
  <si>
    <t>Capacitance</t>
  </si>
  <si>
    <t>farad</t>
  </si>
  <si>
    <t>C / V</t>
  </si>
  <si>
    <t>Celsius temperature</t>
  </si>
  <si>
    <t>degree Celsius</t>
  </si>
  <si>
    <r>
      <t>o</t>
    </r>
    <r>
      <rPr>
        <sz val="10"/>
        <rFont val="Arial"/>
        <family val="0"/>
      </rPr>
      <t>C</t>
    </r>
  </si>
  <si>
    <t>Dose equivalent</t>
  </si>
  <si>
    <t>sievert</t>
  </si>
  <si>
    <t>Sv</t>
  </si>
  <si>
    <t>Electric charge</t>
  </si>
  <si>
    <t>coulomb</t>
  </si>
  <si>
    <t>A s</t>
  </si>
  <si>
    <t>Electric conductance</t>
  </si>
  <si>
    <t>siemens</t>
  </si>
  <si>
    <t>S</t>
  </si>
  <si>
    <t>Electric potential</t>
  </si>
  <si>
    <t>volt</t>
  </si>
  <si>
    <t>V</t>
  </si>
  <si>
    <t>W / A</t>
  </si>
  <si>
    <t>Electric resistance</t>
  </si>
  <si>
    <t>ohm</t>
  </si>
  <si>
    <t>V / A</t>
  </si>
  <si>
    <t>Energy, work</t>
  </si>
  <si>
    <t>joule</t>
  </si>
  <si>
    <t>N m</t>
  </si>
  <si>
    <t>Jy</t>
  </si>
  <si>
    <t>newton</t>
  </si>
  <si>
    <t>Frequency</t>
  </si>
  <si>
    <t>hertz</t>
  </si>
  <si>
    <t>Hz</t>
  </si>
  <si>
    <t>Illuminance</t>
  </si>
  <si>
    <t>lux</t>
  </si>
  <si>
    <t>lx</t>
  </si>
  <si>
    <t>Inductance</t>
  </si>
  <si>
    <t>henry</t>
  </si>
  <si>
    <t>Wb / A</t>
  </si>
  <si>
    <t>Luminous flux</t>
  </si>
  <si>
    <t>lumen</t>
  </si>
  <si>
    <t>lm</t>
  </si>
  <si>
    <t>cd sr</t>
  </si>
  <si>
    <t>Magnetic flux</t>
  </si>
  <si>
    <t>weber</t>
  </si>
  <si>
    <t>V s</t>
  </si>
  <si>
    <t>Magnetic flux density</t>
  </si>
  <si>
    <t>tesla</t>
  </si>
  <si>
    <t>T</t>
  </si>
  <si>
    <t>Power</t>
  </si>
  <si>
    <t>watt</t>
  </si>
  <si>
    <t>J / s</t>
  </si>
  <si>
    <t>Pressure, stress</t>
  </si>
  <si>
    <t>pascal</t>
  </si>
  <si>
    <t>Pa</t>
  </si>
  <si>
    <t>Plane angle</t>
  </si>
  <si>
    <t>radian</t>
  </si>
  <si>
    <t>rad</t>
  </si>
  <si>
    <t>1 (= m / m)</t>
  </si>
  <si>
    <t>Solid angle</t>
  </si>
  <si>
    <t>steradian</t>
  </si>
  <si>
    <t>sr</t>
  </si>
  <si>
    <r>
      <t xml:space="preserve">1 / </t>
    </r>
    <r>
      <rPr>
        <sz val="10"/>
        <rFont val="Symbol"/>
        <family val="1"/>
      </rPr>
      <t>W</t>
    </r>
  </si>
  <si>
    <r>
      <t>kg m / s</t>
    </r>
    <r>
      <rPr>
        <vertAlign val="superscript"/>
        <sz val="10"/>
        <rFont val="Arial"/>
        <family val="2"/>
      </rPr>
      <t>2</t>
    </r>
  </si>
  <si>
    <r>
      <t>cd sr / m</t>
    </r>
    <r>
      <rPr>
        <vertAlign val="superscript"/>
        <sz val="10"/>
        <rFont val="Arial"/>
        <family val="2"/>
      </rPr>
      <t>2</t>
    </r>
  </si>
  <si>
    <r>
      <t>Wb / m</t>
    </r>
    <r>
      <rPr>
        <vertAlign val="superscript"/>
        <sz val="10"/>
        <rFont val="Arial"/>
        <family val="2"/>
      </rPr>
      <t>2</t>
    </r>
  </si>
  <si>
    <r>
      <t>N / m</t>
    </r>
    <r>
      <rPr>
        <vertAlign val="superscript"/>
        <sz val="10"/>
        <rFont val="Arial"/>
        <family val="2"/>
      </rPr>
      <t>2</t>
    </r>
  </si>
  <si>
    <r>
      <t>1 (=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</si>
  <si>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Number Terminology</t>
  </si>
  <si>
    <t>Prefixes</t>
  </si>
  <si>
    <t>Abbreviations</t>
  </si>
  <si>
    <t>Text</t>
  </si>
  <si>
    <t>American Number Names</t>
  </si>
  <si>
    <t>British Number Names</t>
  </si>
  <si>
    <t>yocto-</t>
  </si>
  <si>
    <t>y</t>
  </si>
  <si>
    <t>zepto-</t>
  </si>
  <si>
    <t>z</t>
  </si>
  <si>
    <t>atto-</t>
  </si>
  <si>
    <t>femto-</t>
  </si>
  <si>
    <t>f</t>
  </si>
  <si>
    <t>pico-</t>
  </si>
  <si>
    <t>trillionth</t>
  </si>
  <si>
    <t>nano-</t>
  </si>
  <si>
    <t>n</t>
  </si>
  <si>
    <t>billionth</t>
  </si>
  <si>
    <t>micro-</t>
  </si>
  <si>
    <t>millionth</t>
  </si>
  <si>
    <t>milli-</t>
  </si>
  <si>
    <t>thousandth</t>
  </si>
  <si>
    <t>centi-</t>
  </si>
  <si>
    <t>hundredth</t>
  </si>
  <si>
    <t>deci-</t>
  </si>
  <si>
    <t>d</t>
  </si>
  <si>
    <t>tenth</t>
  </si>
  <si>
    <t>unit</t>
  </si>
  <si>
    <t>units</t>
  </si>
  <si>
    <t>deka-</t>
  </si>
  <si>
    <t>da</t>
  </si>
  <si>
    <t>tens</t>
  </si>
  <si>
    <t>hecto-</t>
  </si>
  <si>
    <t>hundred</t>
  </si>
  <si>
    <t>kilo-</t>
  </si>
  <si>
    <t>thousand</t>
  </si>
  <si>
    <t>mega-</t>
  </si>
  <si>
    <t>M</t>
  </si>
  <si>
    <t>million</t>
  </si>
  <si>
    <t>giga-</t>
  </si>
  <si>
    <t>billion</t>
  </si>
  <si>
    <t>milliard</t>
  </si>
  <si>
    <t>tera-</t>
  </si>
  <si>
    <t>trillion</t>
  </si>
  <si>
    <t>peta-</t>
  </si>
  <si>
    <t>P</t>
  </si>
  <si>
    <t>quadrillion</t>
  </si>
  <si>
    <t>exa-</t>
  </si>
  <si>
    <t>E</t>
  </si>
  <si>
    <t>quintillion</t>
  </si>
  <si>
    <t>zetta-</t>
  </si>
  <si>
    <t>Z</t>
  </si>
  <si>
    <t>sextillion</t>
  </si>
  <si>
    <t>yotta-</t>
  </si>
  <si>
    <t>Y</t>
  </si>
  <si>
    <t>septillion</t>
  </si>
  <si>
    <t>octillion</t>
  </si>
  <si>
    <t>nonillion</t>
  </si>
  <si>
    <t>decillion</t>
  </si>
  <si>
    <t>undecillion</t>
  </si>
  <si>
    <t>duodecillion</t>
  </si>
  <si>
    <t>tredecillion</t>
  </si>
  <si>
    <t>quattuordecillion</t>
  </si>
  <si>
    <t>quindecillion</t>
  </si>
  <si>
    <t>sexdecillion</t>
  </si>
  <si>
    <t>septendecillion</t>
  </si>
  <si>
    <t>octodecillion</t>
  </si>
  <si>
    <t>novemdecillion</t>
  </si>
  <si>
    <t>vigintillion</t>
  </si>
  <si>
    <t>sexdicillion</t>
  </si>
  <si>
    <t>googol</t>
  </si>
  <si>
    <t>centillion</t>
  </si>
  <si>
    <t>1E+600</t>
  </si>
  <si>
    <t>googolplex</t>
  </si>
  <si>
    <t>Flux Density</t>
  </si>
  <si>
    <r>
      <t>W /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Hz)</t>
    </r>
  </si>
  <si>
    <r>
      <t>S</t>
    </r>
    <r>
      <rPr>
        <vertAlign val="subscript"/>
        <sz val="10"/>
        <rFont val="Symbol"/>
        <family val="1"/>
      </rPr>
      <t>n</t>
    </r>
  </si>
  <si>
    <t>Flux density</t>
  </si>
  <si>
    <t>ergs / g air</t>
  </si>
  <si>
    <t>COPYRIGHT NOTICE</t>
  </si>
  <si>
    <t>This workbook, spreadsheets, charts and hypertext links are</t>
  </si>
  <si>
    <t>Permission is granted to use or modify this data for personal research</t>
  </si>
  <si>
    <t>or education provided credit is given to the author.</t>
  </si>
  <si>
    <t>Use by any for-profit corporation requires permission of the author.</t>
  </si>
  <si>
    <t>The author would appreciate being informed of any corrections or</t>
  </si>
  <si>
    <t>enhancements which may be included in future releases.</t>
  </si>
  <si>
    <t>Mass</t>
  </si>
  <si>
    <t>ton</t>
  </si>
  <si>
    <t>ft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</si>
  <si>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lb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-2</t>
    </r>
  </si>
  <si>
    <t>????</t>
  </si>
  <si>
    <r>
      <t>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kg</t>
    </r>
    <r>
      <rPr>
        <vertAlign val="superscript"/>
        <sz val="10"/>
        <rFont val="Arial"/>
        <family val="2"/>
      </rPr>
      <t>-2</t>
    </r>
  </si>
  <si>
    <t>MeV</t>
  </si>
  <si>
    <t>AMU</t>
  </si>
  <si>
    <t>Neutron rest mass</t>
  </si>
  <si>
    <t>Proton rest mass</t>
  </si>
  <si>
    <r>
      <t>m</t>
    </r>
    <r>
      <rPr>
        <i/>
        <vertAlign val="subscript"/>
        <sz val="10"/>
        <rFont val="Arial"/>
        <family val="2"/>
      </rPr>
      <t>p</t>
    </r>
  </si>
  <si>
    <r>
      <t>m</t>
    </r>
    <r>
      <rPr>
        <i/>
        <vertAlign val="subscript"/>
        <sz val="10"/>
        <rFont val="Arial"/>
        <family val="2"/>
      </rPr>
      <t>n</t>
    </r>
  </si>
  <si>
    <t>Copyright © 1997, 1998 by Robert J. Bradbury [bradbury@aeiveos.com]</t>
  </si>
  <si>
    <r>
      <t>10</t>
    </r>
    <r>
      <rPr>
        <vertAlign val="superscript"/>
        <sz val="8"/>
        <rFont val="Arial"/>
        <family val="2"/>
      </rPr>
      <t>-24</t>
    </r>
  </si>
  <si>
    <r>
      <t>10</t>
    </r>
    <r>
      <rPr>
        <vertAlign val="superscript"/>
        <sz val="8"/>
        <rFont val="Arial"/>
        <family val="2"/>
      </rPr>
      <t>-21</t>
    </r>
  </si>
  <si>
    <r>
      <t>10</t>
    </r>
    <r>
      <rPr>
        <vertAlign val="superscript"/>
        <sz val="8"/>
        <rFont val="Arial"/>
        <family val="2"/>
      </rPr>
      <t>-18</t>
    </r>
  </si>
  <si>
    <r>
      <t>10</t>
    </r>
    <r>
      <rPr>
        <vertAlign val="superscript"/>
        <sz val="8"/>
        <rFont val="Arial"/>
        <family val="2"/>
      </rPr>
      <t>-15</t>
    </r>
  </si>
  <si>
    <r>
      <t>10</t>
    </r>
    <r>
      <rPr>
        <vertAlign val="superscript"/>
        <sz val="8"/>
        <rFont val="Arial"/>
        <family val="2"/>
      </rPr>
      <t>-12</t>
    </r>
  </si>
  <si>
    <r>
      <t>10</t>
    </r>
    <r>
      <rPr>
        <vertAlign val="superscript"/>
        <sz val="8"/>
        <rFont val="Arial"/>
        <family val="2"/>
      </rPr>
      <t>-9</t>
    </r>
  </si>
  <si>
    <r>
      <t>10</t>
    </r>
    <r>
      <rPr>
        <vertAlign val="superscript"/>
        <sz val="8"/>
        <rFont val="Arial"/>
        <family val="2"/>
      </rPr>
      <t>-6</t>
    </r>
  </si>
  <si>
    <r>
      <t>10</t>
    </r>
    <r>
      <rPr>
        <vertAlign val="superscript"/>
        <sz val="8"/>
        <rFont val="Arial"/>
        <family val="2"/>
      </rPr>
      <t>-3</t>
    </r>
  </si>
  <si>
    <r>
      <t>10</t>
    </r>
    <r>
      <rPr>
        <vertAlign val="superscript"/>
        <sz val="8"/>
        <rFont val="Arial"/>
        <family val="2"/>
      </rPr>
      <t>-2</t>
    </r>
  </si>
  <si>
    <r>
      <t>10</t>
    </r>
    <r>
      <rPr>
        <vertAlign val="superscript"/>
        <sz val="8"/>
        <rFont val="Arial"/>
        <family val="2"/>
      </rPr>
      <t>-1</t>
    </r>
  </si>
  <si>
    <r>
      <t>10</t>
    </r>
    <r>
      <rPr>
        <vertAlign val="superscript"/>
        <sz val="8"/>
        <rFont val="Arial"/>
        <family val="2"/>
      </rPr>
      <t>0</t>
    </r>
  </si>
  <si>
    <r>
      <t>10</t>
    </r>
    <r>
      <rPr>
        <vertAlign val="superscript"/>
        <sz val="8"/>
        <rFont val="Arial"/>
        <family val="2"/>
      </rPr>
      <t>1</t>
    </r>
  </si>
  <si>
    <r>
      <t>10</t>
    </r>
    <r>
      <rPr>
        <vertAlign val="superscript"/>
        <sz val="8"/>
        <rFont val="Arial"/>
        <family val="2"/>
      </rPr>
      <t>2</t>
    </r>
  </si>
  <si>
    <r>
      <t>10</t>
    </r>
    <r>
      <rPr>
        <vertAlign val="superscript"/>
        <sz val="8"/>
        <rFont val="Arial"/>
        <family val="2"/>
      </rPr>
      <t>3</t>
    </r>
  </si>
  <si>
    <r>
      <t>10</t>
    </r>
    <r>
      <rPr>
        <vertAlign val="superscript"/>
        <sz val="8"/>
        <rFont val="Arial"/>
        <family val="2"/>
      </rPr>
      <t>6</t>
    </r>
  </si>
  <si>
    <r>
      <t>10</t>
    </r>
    <r>
      <rPr>
        <vertAlign val="superscript"/>
        <sz val="8"/>
        <rFont val="Arial"/>
        <family val="2"/>
      </rPr>
      <t>9</t>
    </r>
  </si>
  <si>
    <r>
      <t>10</t>
    </r>
    <r>
      <rPr>
        <vertAlign val="superscript"/>
        <sz val="8"/>
        <rFont val="Arial"/>
        <family val="2"/>
      </rPr>
      <t>12</t>
    </r>
  </si>
  <si>
    <r>
      <t>10</t>
    </r>
    <r>
      <rPr>
        <vertAlign val="superscript"/>
        <sz val="8"/>
        <rFont val="Arial"/>
        <family val="2"/>
      </rPr>
      <t>15</t>
    </r>
  </si>
  <si>
    <r>
      <t>10</t>
    </r>
    <r>
      <rPr>
        <vertAlign val="superscript"/>
        <sz val="8"/>
        <rFont val="Arial"/>
        <family val="2"/>
      </rPr>
      <t>18</t>
    </r>
  </si>
  <si>
    <r>
      <t>10</t>
    </r>
    <r>
      <rPr>
        <vertAlign val="superscript"/>
        <sz val="8"/>
        <rFont val="Arial"/>
        <family val="2"/>
      </rPr>
      <t>21</t>
    </r>
  </si>
  <si>
    <r>
      <t>10</t>
    </r>
    <r>
      <rPr>
        <vertAlign val="superscript"/>
        <sz val="8"/>
        <rFont val="Arial"/>
        <family val="2"/>
      </rPr>
      <t>24</t>
    </r>
  </si>
  <si>
    <r>
      <t>10</t>
    </r>
    <r>
      <rPr>
        <vertAlign val="superscript"/>
        <sz val="8"/>
        <rFont val="Arial"/>
        <family val="2"/>
      </rPr>
      <t>27</t>
    </r>
  </si>
  <si>
    <r>
      <t>10</t>
    </r>
    <r>
      <rPr>
        <vertAlign val="superscript"/>
        <sz val="8"/>
        <rFont val="Arial"/>
        <family val="2"/>
      </rPr>
      <t>30</t>
    </r>
  </si>
  <si>
    <r>
      <t>10</t>
    </r>
    <r>
      <rPr>
        <vertAlign val="superscript"/>
        <sz val="8"/>
        <rFont val="Arial"/>
        <family val="2"/>
      </rPr>
      <t>33</t>
    </r>
  </si>
  <si>
    <r>
      <t>10</t>
    </r>
    <r>
      <rPr>
        <vertAlign val="superscript"/>
        <sz val="8"/>
        <rFont val="Arial"/>
        <family val="2"/>
      </rPr>
      <t>36</t>
    </r>
  </si>
  <si>
    <r>
      <t>10</t>
    </r>
    <r>
      <rPr>
        <vertAlign val="superscript"/>
        <sz val="8"/>
        <rFont val="Arial"/>
        <family val="2"/>
      </rPr>
      <t>39</t>
    </r>
  </si>
  <si>
    <r>
      <t>10</t>
    </r>
    <r>
      <rPr>
        <vertAlign val="superscript"/>
        <sz val="8"/>
        <rFont val="Arial"/>
        <family val="2"/>
      </rPr>
      <t>42</t>
    </r>
  </si>
  <si>
    <r>
      <t>10</t>
    </r>
    <r>
      <rPr>
        <vertAlign val="superscript"/>
        <sz val="8"/>
        <rFont val="Arial"/>
        <family val="2"/>
      </rPr>
      <t>45</t>
    </r>
  </si>
  <si>
    <r>
      <t>10</t>
    </r>
    <r>
      <rPr>
        <vertAlign val="superscript"/>
        <sz val="8"/>
        <rFont val="Arial"/>
        <family val="2"/>
      </rPr>
      <t>48</t>
    </r>
  </si>
  <si>
    <r>
      <t>10</t>
    </r>
    <r>
      <rPr>
        <vertAlign val="superscript"/>
        <sz val="8"/>
        <rFont val="Arial"/>
        <family val="2"/>
      </rPr>
      <t>51</t>
    </r>
  </si>
  <si>
    <r>
      <t>10</t>
    </r>
    <r>
      <rPr>
        <vertAlign val="superscript"/>
        <sz val="8"/>
        <rFont val="Arial"/>
        <family val="2"/>
      </rPr>
      <t>54</t>
    </r>
  </si>
  <si>
    <r>
      <t>10</t>
    </r>
    <r>
      <rPr>
        <vertAlign val="superscript"/>
        <sz val="8"/>
        <rFont val="Arial"/>
        <family val="2"/>
      </rPr>
      <t>57</t>
    </r>
  </si>
  <si>
    <r>
      <t>10</t>
    </r>
    <r>
      <rPr>
        <vertAlign val="superscript"/>
        <sz val="8"/>
        <rFont val="Arial"/>
        <family val="2"/>
      </rPr>
      <t>60</t>
    </r>
  </si>
  <si>
    <r>
      <t>10</t>
    </r>
    <r>
      <rPr>
        <vertAlign val="superscript"/>
        <sz val="8"/>
        <rFont val="Arial"/>
        <family val="2"/>
      </rPr>
      <t>63</t>
    </r>
  </si>
  <si>
    <r>
      <t>10</t>
    </r>
    <r>
      <rPr>
        <vertAlign val="superscript"/>
        <sz val="8"/>
        <rFont val="Arial"/>
        <family val="2"/>
      </rPr>
      <t>66</t>
    </r>
  </si>
  <si>
    <r>
      <t>10</t>
    </r>
    <r>
      <rPr>
        <vertAlign val="superscript"/>
        <sz val="8"/>
        <rFont val="Arial"/>
        <family val="2"/>
      </rPr>
      <t>72</t>
    </r>
  </si>
  <si>
    <r>
      <t>10</t>
    </r>
    <r>
      <rPr>
        <vertAlign val="superscript"/>
        <sz val="8"/>
        <rFont val="Arial"/>
        <family val="2"/>
      </rPr>
      <t>78</t>
    </r>
  </si>
  <si>
    <r>
      <t>10</t>
    </r>
    <r>
      <rPr>
        <vertAlign val="superscript"/>
        <sz val="8"/>
        <rFont val="Arial"/>
        <family val="2"/>
      </rPr>
      <t>84</t>
    </r>
  </si>
  <si>
    <r>
      <t>10</t>
    </r>
    <r>
      <rPr>
        <vertAlign val="superscript"/>
        <sz val="8"/>
        <rFont val="Arial"/>
        <family val="2"/>
      </rPr>
      <t>90</t>
    </r>
  </si>
  <si>
    <r>
      <t>10</t>
    </r>
    <r>
      <rPr>
        <sz val="8"/>
        <rFont val="Arial"/>
        <family val="2"/>
      </rPr>
      <t>96</t>
    </r>
  </si>
  <si>
    <r>
      <t>10</t>
    </r>
    <r>
      <rPr>
        <vertAlign val="superscript"/>
        <sz val="8"/>
        <rFont val="Arial"/>
        <family val="2"/>
      </rPr>
      <t>100</t>
    </r>
  </si>
  <si>
    <r>
      <t>10</t>
    </r>
    <r>
      <rPr>
        <vertAlign val="superscript"/>
        <sz val="8"/>
        <rFont val="Arial"/>
        <family val="2"/>
      </rPr>
      <t>102</t>
    </r>
  </si>
  <si>
    <r>
      <t>10</t>
    </r>
    <r>
      <rPr>
        <vertAlign val="superscript"/>
        <sz val="8"/>
        <rFont val="Arial"/>
        <family val="2"/>
      </rPr>
      <t>108</t>
    </r>
  </si>
  <si>
    <r>
      <t>10</t>
    </r>
    <r>
      <rPr>
        <vertAlign val="superscript"/>
        <sz val="8"/>
        <rFont val="Arial"/>
        <family val="2"/>
      </rPr>
      <t>114</t>
    </r>
  </si>
  <si>
    <r>
      <t>10</t>
    </r>
    <r>
      <rPr>
        <vertAlign val="superscript"/>
        <sz val="8"/>
        <rFont val="Arial"/>
        <family val="2"/>
      </rPr>
      <t>120</t>
    </r>
  </si>
  <si>
    <r>
      <t>10</t>
    </r>
    <r>
      <rPr>
        <vertAlign val="superscript"/>
        <sz val="8"/>
        <rFont val="Arial"/>
        <family val="2"/>
      </rPr>
      <t>303</t>
    </r>
  </si>
  <si>
    <r>
      <t>10</t>
    </r>
    <r>
      <rPr>
        <vertAlign val="superscript"/>
        <sz val="8"/>
        <rFont val="Arial"/>
        <family val="2"/>
      </rPr>
      <t>600</t>
    </r>
  </si>
  <si>
    <r>
      <t>1E+10</t>
    </r>
    <r>
      <rPr>
        <vertAlign val="superscript"/>
        <sz val="8"/>
        <rFont val="Arial"/>
        <family val="2"/>
      </rPr>
      <t>100</t>
    </r>
  </si>
  <si>
    <r>
      <t>10</t>
    </r>
    <r>
      <rPr>
        <vertAlign val="superscript"/>
        <sz val="8"/>
        <rFont val="Arial"/>
        <family val="2"/>
      </rPr>
      <t>gogol</t>
    </r>
  </si>
  <si>
    <t>Volume</t>
  </si>
  <si>
    <r>
      <t>ft</t>
    </r>
    <r>
      <rPr>
        <vertAlign val="superscript"/>
        <sz val="10"/>
        <rFont val="Arial"/>
        <family val="2"/>
      </rPr>
      <t>3</t>
    </r>
  </si>
  <si>
    <t>atm</t>
  </si>
  <si>
    <t>torr</t>
  </si>
  <si>
    <t>760 mm Hg</t>
  </si>
  <si>
    <t>Pascal</t>
  </si>
  <si>
    <r>
      <t>N/m</t>
    </r>
    <r>
      <rPr>
        <vertAlign val="superscript"/>
        <sz val="10"/>
        <rFont val="Arial"/>
        <family val="2"/>
      </rPr>
      <t>2</t>
    </r>
  </si>
  <si>
    <t>Force per unit area</t>
  </si>
  <si>
    <t>kT</t>
  </si>
  <si>
    <t xml:space="preserve">  TNT</t>
  </si>
  <si>
    <t>MT</t>
  </si>
  <si>
    <t>accurate</t>
  </si>
  <si>
    <t>inaccurate?</t>
  </si>
  <si>
    <t>acre</t>
  </si>
  <si>
    <t>Absolute Zero</t>
  </si>
  <si>
    <t>°K</t>
  </si>
  <si>
    <t>°C</t>
  </si>
  <si>
    <t>°F</t>
  </si>
  <si>
    <t>CMB Temperature</t>
  </si>
  <si>
    <t>cm</t>
  </si>
  <si>
    <t>in</t>
  </si>
  <si>
    <r>
      <t>G</t>
    </r>
    <r>
      <rPr>
        <i/>
        <vertAlign val="subscript"/>
        <sz val="10"/>
        <rFont val="Arial"/>
        <family val="2"/>
      </rPr>
      <t>english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</si>
</sst>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%"/>
    <numFmt numFmtId="174" formatCode="0.00000%"/>
    <numFmt numFmtId="175" formatCode="0.000E+00"/>
    <numFmt numFmtId="176" formatCode="0.0%"/>
    <numFmt numFmtId="177" formatCode="0.000%"/>
    <numFmt numFmtId="178" formatCode="0.000"/>
    <numFmt numFmtId="179" formatCode="0.0000000"/>
    <numFmt numFmtId="180" formatCode="0.E+00"/>
    <numFmt numFmtId="181" formatCode="0.0000"/>
    <numFmt numFmtId="182" formatCode="#,##0.0"/>
    <numFmt numFmtId="183" formatCode="&quot;$&quot;#,##0"/>
    <numFmt numFmtId="184" formatCode="0.00000"/>
    <numFmt numFmtId="185" formatCode="0.0E+00"/>
    <numFmt numFmtId="186" formatCode="#,##0.0000"/>
    <numFmt numFmtId="187" formatCode="0.000000%"/>
    <numFmt numFmtId="188" formatCode="#,##0.000"/>
    <numFmt numFmtId="189" formatCode="0.0000E+00"/>
    <numFmt numFmtId="190" formatCode="0.0000000E+00"/>
    <numFmt numFmtId="191" formatCode="0.000000E+00"/>
    <numFmt numFmtId="192" formatCode="0.00000E+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perscript"/>
      <sz val="11"/>
      <name val="Arial"/>
      <family val="2"/>
    </font>
    <font>
      <vertAlign val="subscript"/>
      <sz val="10"/>
      <name val="Arial"/>
      <family val="2"/>
    </font>
    <font>
      <sz val="10"/>
      <name val="Tahoma"/>
      <family val="0"/>
    </font>
    <font>
      <sz val="10"/>
      <name val="Fixedsys"/>
      <family val="3"/>
    </font>
    <font>
      <vertAlign val="subscript"/>
      <sz val="10"/>
      <name val="Symbol"/>
      <family val="1"/>
    </font>
    <font>
      <b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Dashed"/>
      <bottom style="double"/>
    </border>
    <border>
      <left style="thin"/>
      <right style="thin"/>
      <top style="mediumDashed"/>
      <bottom style="double"/>
    </border>
    <border>
      <left style="thin"/>
      <right style="thick"/>
      <top style="mediumDashed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Dashed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mediumDashed"/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mediumDashed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Continuous"/>
    </xf>
    <xf numFmtId="49" fontId="3" fillId="2" borderId="2" xfId="0" applyNumberFormat="1" applyFont="1" applyFill="1" applyBorder="1" applyAlignment="1">
      <alignment horizontal="centerContinuous"/>
    </xf>
    <xf numFmtId="49" fontId="3" fillId="2" borderId="3" xfId="0" applyNumberFormat="1" applyFont="1" applyFill="1" applyBorder="1" applyAlignment="1">
      <alignment horizontal="centerContinuous"/>
    </xf>
    <xf numFmtId="49" fontId="0" fillId="3" borderId="4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" fillId="0" borderId="8" xfId="0" applyNumberFormat="1" applyFont="1" applyBorder="1" applyAlignment="1">
      <alignment horizontal="center"/>
    </xf>
    <xf numFmtId="190" fontId="10" fillId="0" borderId="8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90" fontId="10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 quotePrefix="1">
      <alignment horizontal="center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3" borderId="16" xfId="0" applyNumberFormat="1" applyFill="1" applyBorder="1" applyAlignment="1">
      <alignment horizontal="center"/>
    </xf>
    <xf numFmtId="11" fontId="0" fillId="0" borderId="8" xfId="0" applyNumberFormat="1" applyBorder="1" applyAlignment="1">
      <alignment horizontal="right"/>
    </xf>
    <xf numFmtId="0" fontId="0" fillId="0" borderId="17" xfId="0" applyBorder="1" applyAlignment="1">
      <alignment/>
    </xf>
    <xf numFmtId="11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0" fontId="6" fillId="0" borderId="11" xfId="0" applyFont="1" applyBorder="1" applyAlignment="1">
      <alignment/>
    </xf>
    <xf numFmtId="184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6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23" xfId="0" applyFont="1" applyFill="1" applyBorder="1" applyAlignment="1">
      <alignment horizontal="centerContinuous"/>
    </xf>
    <xf numFmtId="0" fontId="3" fillId="2" borderId="24" xfId="0" applyFont="1" applyFill="1" applyBorder="1" applyAlignment="1">
      <alignment horizontal="centerContinuous"/>
    </xf>
    <xf numFmtId="0" fontId="3" fillId="2" borderId="25" xfId="0" applyFont="1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3" borderId="26" xfId="0" applyFill="1" applyBorder="1" applyAlignment="1">
      <alignment horizontal="center" wrapText="1"/>
    </xf>
    <xf numFmtId="49" fontId="0" fillId="3" borderId="6" xfId="0" applyNumberForma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Continuous"/>
    </xf>
    <xf numFmtId="49" fontId="3" fillId="0" borderId="2" xfId="0" applyNumberFormat="1" applyFont="1" applyBorder="1" applyAlignment="1">
      <alignment horizontal="centerContinuous"/>
    </xf>
    <xf numFmtId="49" fontId="3" fillId="0" borderId="3" xfId="0" applyNumberFormat="1" applyFont="1" applyBorder="1" applyAlignment="1">
      <alignment horizontal="centerContinuous"/>
    </xf>
    <xf numFmtId="49" fontId="0" fillId="0" borderId="27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28" xfId="0" applyNumberFormat="1" applyBorder="1" applyAlignment="1">
      <alignment horizontal="centerContinuous"/>
    </xf>
    <xf numFmtId="49" fontId="12" fillId="0" borderId="27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 horizontal="centerContinuous"/>
    </xf>
    <xf numFmtId="49" fontId="12" fillId="0" borderId="28" xfId="0" applyNumberFormat="1" applyFont="1" applyBorder="1" applyAlignment="1">
      <alignment horizontal="centerContinuous"/>
    </xf>
    <xf numFmtId="49" fontId="12" fillId="0" borderId="29" xfId="0" applyNumberFormat="1" applyFont="1" applyBorder="1" applyAlignment="1">
      <alignment horizontal="centerContinuous"/>
    </xf>
    <xf numFmtId="49" fontId="12" fillId="0" borderId="30" xfId="0" applyNumberFormat="1" applyFont="1" applyBorder="1" applyAlignment="1">
      <alignment horizontal="centerContinuous"/>
    </xf>
    <xf numFmtId="49" fontId="12" fillId="0" borderId="31" xfId="0" applyNumberFormat="1" applyFont="1" applyBorder="1" applyAlignment="1">
      <alignment horizontal="centerContinuous"/>
    </xf>
    <xf numFmtId="1" fontId="0" fillId="0" borderId="11" xfId="0" applyNumberFormat="1" applyBorder="1" applyAlignment="1">
      <alignment horizontal="right"/>
    </xf>
    <xf numFmtId="189" fontId="0" fillId="0" borderId="12" xfId="0" applyNumberFormat="1" applyBorder="1" applyAlignment="1">
      <alignment/>
    </xf>
    <xf numFmtId="191" fontId="10" fillId="0" borderId="11" xfId="0" applyNumberFormat="1" applyFont="1" applyBorder="1" applyAlignment="1">
      <alignment horizontal="right"/>
    </xf>
    <xf numFmtId="190" fontId="0" fillId="0" borderId="11" xfId="0" applyNumberFormat="1" applyBorder="1" applyAlignment="1">
      <alignment horizontal="right"/>
    </xf>
    <xf numFmtId="192" fontId="10" fillId="0" borderId="11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49" fontId="14" fillId="0" borderId="8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/>
    </xf>
    <xf numFmtId="11" fontId="14" fillId="0" borderId="11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49" fontId="14" fillId="0" borderId="14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11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78" fontId="10" fillId="0" borderId="14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49" fontId="0" fillId="0" borderId="32" xfId="0" applyNumberFormat="1" applyBorder="1" applyAlignment="1">
      <alignment horizontal="center"/>
    </xf>
    <xf numFmtId="182" fontId="10" fillId="0" borderId="32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13"/>
  <sheetViews>
    <sheetView workbookViewId="0" topLeftCell="A1">
      <selection activeCell="A1" sqref="A1"/>
    </sheetView>
  </sheetViews>
  <sheetFormatPr defaultColWidth="9.140625" defaultRowHeight="12.75"/>
  <sheetData>
    <row r="1" spans="1:8" ht="18.75" thickTop="1">
      <c r="A1" s="62" t="s">
        <v>332</v>
      </c>
      <c r="B1" s="63"/>
      <c r="C1" s="63"/>
      <c r="D1" s="63"/>
      <c r="E1" s="63"/>
      <c r="F1" s="63"/>
      <c r="G1" s="63"/>
      <c r="H1" s="64"/>
    </row>
    <row r="2" spans="1:8" ht="12.75">
      <c r="A2" s="65"/>
      <c r="B2" s="66"/>
      <c r="C2" s="66"/>
      <c r="D2" s="66"/>
      <c r="E2" s="66"/>
      <c r="F2" s="66"/>
      <c r="G2" s="66"/>
      <c r="H2" s="67"/>
    </row>
    <row r="3" spans="1:8" ht="12.75">
      <c r="A3" s="68" t="s">
        <v>333</v>
      </c>
      <c r="B3" s="69"/>
      <c r="C3" s="69"/>
      <c r="D3" s="69"/>
      <c r="E3" s="69"/>
      <c r="F3" s="69"/>
      <c r="G3" s="69"/>
      <c r="H3" s="70"/>
    </row>
    <row r="4" spans="1:8" ht="12.75">
      <c r="A4" s="68" t="s">
        <v>351</v>
      </c>
      <c r="B4" s="69"/>
      <c r="C4" s="69"/>
      <c r="D4" s="69"/>
      <c r="E4" s="69"/>
      <c r="F4" s="69"/>
      <c r="G4" s="69"/>
      <c r="H4" s="70"/>
    </row>
    <row r="5" spans="1:8" ht="12.75">
      <c r="A5" s="68" t="s">
        <v>334</v>
      </c>
      <c r="B5" s="69"/>
      <c r="C5" s="69"/>
      <c r="D5" s="69"/>
      <c r="E5" s="69"/>
      <c r="F5" s="69"/>
      <c r="G5" s="69"/>
      <c r="H5" s="70"/>
    </row>
    <row r="6" spans="1:8" ht="12.75">
      <c r="A6" s="68" t="s">
        <v>335</v>
      </c>
      <c r="B6" s="69"/>
      <c r="C6" s="69"/>
      <c r="D6" s="69"/>
      <c r="E6" s="69"/>
      <c r="F6" s="69"/>
      <c r="G6" s="69"/>
      <c r="H6" s="70"/>
    </row>
    <row r="7" spans="1:8" ht="12.75">
      <c r="A7" s="68"/>
      <c r="B7" s="69"/>
      <c r="C7" s="69"/>
      <c r="D7" s="69"/>
      <c r="E7" s="69"/>
      <c r="F7" s="69"/>
      <c r="G7" s="69"/>
      <c r="H7" s="70"/>
    </row>
    <row r="8" spans="1:8" ht="12.75">
      <c r="A8" s="68" t="s">
        <v>336</v>
      </c>
      <c r="B8" s="69"/>
      <c r="C8" s="69"/>
      <c r="D8" s="69"/>
      <c r="E8" s="69"/>
      <c r="F8" s="69"/>
      <c r="G8" s="69"/>
      <c r="H8" s="70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68" t="s">
        <v>337</v>
      </c>
      <c r="B10" s="69"/>
      <c r="C10" s="69"/>
      <c r="D10" s="69"/>
      <c r="E10" s="69"/>
      <c r="F10" s="69"/>
      <c r="G10" s="69"/>
      <c r="H10" s="70"/>
    </row>
    <row r="11" spans="1:8" ht="12.75">
      <c r="A11" s="68" t="s">
        <v>338</v>
      </c>
      <c r="B11" s="69"/>
      <c r="C11" s="69"/>
      <c r="D11" s="69"/>
      <c r="E11" s="69"/>
      <c r="F11" s="69"/>
      <c r="G11" s="69"/>
      <c r="H11" s="70"/>
    </row>
    <row r="12" spans="1:8" ht="12.75">
      <c r="A12" s="68"/>
      <c r="B12" s="69"/>
      <c r="C12" s="69"/>
      <c r="D12" s="69"/>
      <c r="E12" s="69"/>
      <c r="F12" s="69"/>
      <c r="G12" s="69"/>
      <c r="H12" s="70"/>
    </row>
    <row r="13" spans="1:8" ht="13.5" thickBot="1">
      <c r="A13" s="71"/>
      <c r="B13" s="72"/>
      <c r="C13" s="72"/>
      <c r="D13" s="72"/>
      <c r="E13" s="72"/>
      <c r="F13" s="72"/>
      <c r="G13" s="72"/>
      <c r="H13" s="73"/>
    </row>
    <row r="1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E24"/>
  <sheetViews>
    <sheetView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25.28125" style="0" customWidth="1"/>
    <col min="3" max="3" width="20.00390625" style="0" customWidth="1"/>
    <col min="4" max="4" width="12.00390625" style="0" bestFit="1" customWidth="1"/>
    <col min="5" max="5" width="14.8515625" style="0" customWidth="1"/>
  </cols>
  <sheetData>
    <row r="1" spans="1:5" ht="19.5" thickBot="1" thickTop="1">
      <c r="A1" s="1" t="s">
        <v>0</v>
      </c>
      <c r="B1" s="2"/>
      <c r="C1" s="2"/>
      <c r="D1" s="2"/>
      <c r="E1" s="3"/>
    </row>
    <row r="2" spans="1:5" ht="13.5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5" thickTop="1">
      <c r="A3" s="8" t="s">
        <v>6</v>
      </c>
      <c r="B3" s="9" t="s">
        <v>7</v>
      </c>
      <c r="C3" s="10" t="s">
        <v>33</v>
      </c>
      <c r="D3" s="10" t="s">
        <v>34</v>
      </c>
      <c r="E3" s="11"/>
    </row>
    <row r="4" spans="1:5" ht="14.25">
      <c r="A4" s="12"/>
      <c r="B4" s="13" t="s">
        <v>8</v>
      </c>
      <c r="C4" s="14" t="s">
        <v>35</v>
      </c>
      <c r="D4" s="14" t="s">
        <v>34</v>
      </c>
      <c r="E4" s="15"/>
    </row>
    <row r="5" spans="1:5" ht="15.75" customHeight="1">
      <c r="A5" s="12"/>
      <c r="B5" s="13" t="s">
        <v>9</v>
      </c>
      <c r="C5" s="14" t="s">
        <v>36</v>
      </c>
      <c r="D5" s="14" t="s">
        <v>34</v>
      </c>
      <c r="E5" s="15"/>
    </row>
    <row r="6" spans="1:5" ht="14.25">
      <c r="A6" s="12"/>
      <c r="B6" s="13" t="s">
        <v>10</v>
      </c>
      <c r="C6" s="14" t="s">
        <v>37</v>
      </c>
      <c r="D6" s="14" t="s">
        <v>38</v>
      </c>
      <c r="E6" s="15"/>
    </row>
    <row r="7" spans="1:5" ht="15.75">
      <c r="A7" s="12" t="s">
        <v>11</v>
      </c>
      <c r="B7" s="13" t="s">
        <v>12</v>
      </c>
      <c r="C7" s="14" t="s">
        <v>39</v>
      </c>
      <c r="D7" s="14" t="s">
        <v>13</v>
      </c>
      <c r="E7" s="15"/>
    </row>
    <row r="8" spans="1:5" ht="14.25">
      <c r="A8" s="12"/>
      <c r="B8" s="13" t="s">
        <v>14</v>
      </c>
      <c r="C8" s="16" t="s">
        <v>40</v>
      </c>
      <c r="D8" s="14" t="s">
        <v>15</v>
      </c>
      <c r="E8" s="15"/>
    </row>
    <row r="9" spans="1:5" ht="12.75">
      <c r="A9" s="12"/>
      <c r="B9" s="13"/>
      <c r="C9" s="14"/>
      <c r="D9" s="14"/>
      <c r="E9" s="15"/>
    </row>
    <row r="10" spans="1:5" ht="14.25">
      <c r="A10" s="12" t="s">
        <v>16</v>
      </c>
      <c r="B10" s="13" t="s">
        <v>17</v>
      </c>
      <c r="C10" s="17" t="s">
        <v>41</v>
      </c>
      <c r="D10" s="14" t="s">
        <v>42</v>
      </c>
      <c r="E10" s="15"/>
    </row>
    <row r="11" spans="1:5" ht="14.25">
      <c r="A11" s="12"/>
      <c r="B11" s="13" t="s">
        <v>18</v>
      </c>
      <c r="C11" s="16" t="s">
        <v>43</v>
      </c>
      <c r="D11" s="14" t="s">
        <v>44</v>
      </c>
      <c r="E11" s="15"/>
    </row>
    <row r="12" spans="1:5" ht="12.75">
      <c r="A12" s="12"/>
      <c r="B12" s="13" t="s">
        <v>19</v>
      </c>
      <c r="C12" s="16" t="s">
        <v>45</v>
      </c>
      <c r="D12" s="14" t="s">
        <v>20</v>
      </c>
      <c r="E12" s="15"/>
    </row>
    <row r="13" spans="1:5" ht="14.25">
      <c r="A13" s="12"/>
      <c r="B13" s="13" t="s">
        <v>19</v>
      </c>
      <c r="C13" s="16" t="s">
        <v>46</v>
      </c>
      <c r="D13" s="14" t="s">
        <v>20</v>
      </c>
      <c r="E13" s="15"/>
    </row>
    <row r="14" spans="1:5" ht="15.75">
      <c r="A14" s="12"/>
      <c r="B14" s="13" t="s">
        <v>21</v>
      </c>
      <c r="C14" s="16" t="s">
        <v>47</v>
      </c>
      <c r="D14" s="14" t="s">
        <v>20</v>
      </c>
      <c r="E14" s="15"/>
    </row>
    <row r="15" spans="1:5" ht="12.75">
      <c r="A15" s="12"/>
      <c r="B15" s="13" t="s">
        <v>22</v>
      </c>
      <c r="C15" s="14" t="s">
        <v>48</v>
      </c>
      <c r="D15" s="14" t="s">
        <v>23</v>
      </c>
      <c r="E15" s="15"/>
    </row>
    <row r="16" spans="1:5" ht="12.75">
      <c r="A16" s="12"/>
      <c r="B16" s="13"/>
      <c r="C16" s="14"/>
      <c r="D16" s="14"/>
      <c r="E16" s="15"/>
    </row>
    <row r="17" spans="1:5" ht="14.25">
      <c r="A17" s="12" t="s">
        <v>24</v>
      </c>
      <c r="B17" s="13" t="s">
        <v>25</v>
      </c>
      <c r="C17" s="14" t="s">
        <v>49</v>
      </c>
      <c r="D17" s="14" t="s">
        <v>26</v>
      </c>
      <c r="E17" s="15"/>
    </row>
    <row r="18" spans="1:5" ht="14.25">
      <c r="A18" s="12"/>
      <c r="B18" s="13" t="s">
        <v>27</v>
      </c>
      <c r="C18" s="14" t="s">
        <v>50</v>
      </c>
      <c r="D18" s="14" t="s">
        <v>26</v>
      </c>
      <c r="E18" s="15"/>
    </row>
    <row r="19" spans="1:5" ht="14.25">
      <c r="A19" s="12"/>
      <c r="B19" s="13" t="s">
        <v>28</v>
      </c>
      <c r="C19" s="14" t="s">
        <v>51</v>
      </c>
      <c r="D19" s="14" t="s">
        <v>29</v>
      </c>
      <c r="E19" s="15"/>
    </row>
    <row r="20" spans="1:5" ht="12.75">
      <c r="A20" s="12"/>
      <c r="B20" s="13" t="s">
        <v>30</v>
      </c>
      <c r="C20" s="14" t="s">
        <v>52</v>
      </c>
      <c r="D20" s="14"/>
      <c r="E20" s="15"/>
    </row>
    <row r="21" spans="1:5" ht="12.75">
      <c r="A21" s="12"/>
      <c r="B21" s="13" t="s">
        <v>31</v>
      </c>
      <c r="C21" s="14" t="s">
        <v>53</v>
      </c>
      <c r="D21" s="14" t="s">
        <v>32</v>
      </c>
      <c r="E21" s="15"/>
    </row>
    <row r="22" spans="1:5" ht="12.75">
      <c r="A22" s="12"/>
      <c r="B22" s="13"/>
      <c r="C22" s="13"/>
      <c r="D22" s="13"/>
      <c r="E22" s="15"/>
    </row>
    <row r="23" spans="1:5" ht="12.75">
      <c r="A23" s="12"/>
      <c r="B23" s="13"/>
      <c r="C23" s="13"/>
      <c r="D23" s="13"/>
      <c r="E23" s="15"/>
    </row>
    <row r="24" spans="1:5" ht="13.5" thickBot="1">
      <c r="A24" s="18"/>
      <c r="B24" s="19"/>
      <c r="C24" s="19"/>
      <c r="D24" s="19"/>
      <c r="E24" s="20"/>
    </row>
    <row r="25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D24"/>
  <sheetViews>
    <sheetView workbookViewId="0" topLeftCell="A1">
      <selection activeCell="A3" sqref="A3"/>
    </sheetView>
  </sheetViews>
  <sheetFormatPr defaultColWidth="9.140625" defaultRowHeight="12.75"/>
  <cols>
    <col min="1" max="1" width="18.57421875" style="0" bestFit="1" customWidth="1"/>
    <col min="2" max="2" width="13.28125" style="0" bestFit="1" customWidth="1"/>
    <col min="3" max="3" width="7.28125" style="0" bestFit="1" customWidth="1"/>
    <col min="4" max="4" width="11.140625" style="0" bestFit="1" customWidth="1"/>
  </cols>
  <sheetData>
    <row r="1" spans="1:4" ht="19.5" thickBot="1" thickTop="1">
      <c r="A1" s="1" t="s">
        <v>176</v>
      </c>
      <c r="B1" s="2"/>
      <c r="C1" s="2"/>
      <c r="D1" s="3"/>
    </row>
    <row r="2" spans="1:4" ht="13.5" thickBot="1">
      <c r="A2" s="4" t="s">
        <v>177</v>
      </c>
      <c r="B2" s="5" t="s">
        <v>178</v>
      </c>
      <c r="C2" s="5" t="s">
        <v>56</v>
      </c>
      <c r="D2" s="7" t="s">
        <v>179</v>
      </c>
    </row>
    <row r="3" spans="1:4" ht="13.5" thickTop="1">
      <c r="A3" s="8" t="s">
        <v>180</v>
      </c>
      <c r="B3" s="9" t="s">
        <v>181</v>
      </c>
      <c r="C3" s="10" t="s">
        <v>182</v>
      </c>
      <c r="D3" s="52" t="s">
        <v>183</v>
      </c>
    </row>
    <row r="4" spans="1:4" ht="12.75">
      <c r="A4" s="12" t="s">
        <v>184</v>
      </c>
      <c r="B4" s="13" t="s">
        <v>185</v>
      </c>
      <c r="C4" s="14" t="s">
        <v>186</v>
      </c>
      <c r="D4" s="53" t="s">
        <v>187</v>
      </c>
    </row>
    <row r="5" spans="1:4" ht="12.75">
      <c r="A5" s="12" t="s">
        <v>188</v>
      </c>
      <c r="B5" s="13" t="s">
        <v>189</v>
      </c>
      <c r="C5" s="14" t="s">
        <v>72</v>
      </c>
      <c r="D5" s="53" t="s">
        <v>190</v>
      </c>
    </row>
    <row r="6" spans="1:4" ht="14.25">
      <c r="A6" s="12" t="s">
        <v>191</v>
      </c>
      <c r="B6" s="13" t="s">
        <v>192</v>
      </c>
      <c r="C6" s="54" t="s">
        <v>193</v>
      </c>
      <c r="D6" s="53" t="s">
        <v>29</v>
      </c>
    </row>
    <row r="7" spans="1:4" ht="12.75">
      <c r="A7" s="12" t="s">
        <v>194</v>
      </c>
      <c r="B7" s="13" t="s">
        <v>195</v>
      </c>
      <c r="C7" s="14" t="s">
        <v>196</v>
      </c>
      <c r="D7" s="53" t="s">
        <v>183</v>
      </c>
    </row>
    <row r="8" spans="1:4" ht="12.75">
      <c r="A8" s="12" t="s">
        <v>197</v>
      </c>
      <c r="B8" s="13" t="s">
        <v>198</v>
      </c>
      <c r="C8" s="14" t="s">
        <v>67</v>
      </c>
      <c r="D8" s="53" t="s">
        <v>199</v>
      </c>
    </row>
    <row r="9" spans="1:4" ht="12.75">
      <c r="A9" s="12" t="s">
        <v>200</v>
      </c>
      <c r="B9" s="13" t="s">
        <v>201</v>
      </c>
      <c r="C9" s="14" t="s">
        <v>202</v>
      </c>
      <c r="D9" s="53" t="s">
        <v>247</v>
      </c>
    </row>
    <row r="10" spans="1:4" ht="12.75">
      <c r="A10" s="12" t="s">
        <v>203</v>
      </c>
      <c r="B10" s="13" t="s">
        <v>204</v>
      </c>
      <c r="C10" s="14" t="s">
        <v>205</v>
      </c>
      <c r="D10" s="53" t="s">
        <v>206</v>
      </c>
    </row>
    <row r="11" spans="1:4" ht="12.75">
      <c r="A11" s="12" t="s">
        <v>207</v>
      </c>
      <c r="B11" s="13" t="s">
        <v>208</v>
      </c>
      <c r="C11" s="17" t="s">
        <v>26</v>
      </c>
      <c r="D11" s="53" t="s">
        <v>209</v>
      </c>
    </row>
    <row r="12" spans="1:4" ht="12.75">
      <c r="A12" s="12" t="s">
        <v>210</v>
      </c>
      <c r="B12" s="13" t="s">
        <v>211</v>
      </c>
      <c r="C12" s="14" t="s">
        <v>23</v>
      </c>
      <c r="D12" s="53" t="s">
        <v>212</v>
      </c>
    </row>
    <row r="13" spans="1:4" ht="15">
      <c r="A13" s="12" t="s">
        <v>330</v>
      </c>
      <c r="B13" s="13"/>
      <c r="C13" s="14" t="s">
        <v>329</v>
      </c>
      <c r="D13" s="53" t="s">
        <v>328</v>
      </c>
    </row>
    <row r="14" spans="1:4" ht="14.25">
      <c r="A14" s="12" t="s">
        <v>19</v>
      </c>
      <c r="B14" s="13" t="s">
        <v>214</v>
      </c>
      <c r="C14" s="14" t="s">
        <v>20</v>
      </c>
      <c r="D14" s="53" t="s">
        <v>248</v>
      </c>
    </row>
    <row r="15" spans="1:4" ht="12.75">
      <c r="A15" s="12" t="s">
        <v>215</v>
      </c>
      <c r="B15" s="13" t="s">
        <v>216</v>
      </c>
      <c r="C15" s="14" t="s">
        <v>217</v>
      </c>
      <c r="D15" s="53" t="s">
        <v>187</v>
      </c>
    </row>
    <row r="16" spans="1:4" ht="14.25">
      <c r="A16" s="12" t="s">
        <v>218</v>
      </c>
      <c r="B16" s="13" t="s">
        <v>219</v>
      </c>
      <c r="C16" s="14" t="s">
        <v>220</v>
      </c>
      <c r="D16" s="53" t="s">
        <v>249</v>
      </c>
    </row>
    <row r="17" spans="1:4" ht="12.75">
      <c r="A17" s="12" t="s">
        <v>221</v>
      </c>
      <c r="B17" s="13" t="s">
        <v>222</v>
      </c>
      <c r="C17" s="14" t="s">
        <v>217</v>
      </c>
      <c r="D17" s="53" t="s">
        <v>223</v>
      </c>
    </row>
    <row r="18" spans="1:4" ht="12.75">
      <c r="A18" s="12" t="s">
        <v>224</v>
      </c>
      <c r="B18" s="13" t="s">
        <v>225</v>
      </c>
      <c r="C18" s="14" t="s">
        <v>226</v>
      </c>
      <c r="D18" s="53" t="s">
        <v>227</v>
      </c>
    </row>
    <row r="19" spans="1:4" ht="12.75">
      <c r="A19" s="12" t="s">
        <v>228</v>
      </c>
      <c r="B19" s="13" t="s">
        <v>229</v>
      </c>
      <c r="C19" s="14" t="s">
        <v>80</v>
      </c>
      <c r="D19" s="53" t="s">
        <v>230</v>
      </c>
    </row>
    <row r="20" spans="1:4" ht="14.25">
      <c r="A20" s="12" t="s">
        <v>231</v>
      </c>
      <c r="B20" s="13" t="s">
        <v>232</v>
      </c>
      <c r="C20" s="14" t="s">
        <v>233</v>
      </c>
      <c r="D20" s="53" t="s">
        <v>250</v>
      </c>
    </row>
    <row r="21" spans="1:4" ht="12.75">
      <c r="A21" s="12" t="s">
        <v>234</v>
      </c>
      <c r="B21" s="13" t="s">
        <v>235</v>
      </c>
      <c r="C21" s="14" t="s">
        <v>26</v>
      </c>
      <c r="D21" s="53" t="s">
        <v>236</v>
      </c>
    </row>
    <row r="22" spans="1:4" ht="14.25">
      <c r="A22" s="12" t="s">
        <v>237</v>
      </c>
      <c r="B22" s="13" t="s">
        <v>238</v>
      </c>
      <c r="C22" s="14" t="s">
        <v>239</v>
      </c>
      <c r="D22" s="53" t="s">
        <v>251</v>
      </c>
    </row>
    <row r="23" spans="1:4" ht="12.75">
      <c r="A23" s="12" t="s">
        <v>240</v>
      </c>
      <c r="B23" s="13" t="s">
        <v>241</v>
      </c>
      <c r="C23" s="14" t="s">
        <v>242</v>
      </c>
      <c r="D23" s="53" t="s">
        <v>243</v>
      </c>
    </row>
    <row r="24" spans="1:4" ht="15" thickBot="1">
      <c r="A24" s="18" t="s">
        <v>244</v>
      </c>
      <c r="B24" s="19" t="s">
        <v>245</v>
      </c>
      <c r="C24" s="31" t="s">
        <v>246</v>
      </c>
      <c r="D24" s="55" t="s">
        <v>252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75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" sqref="A4"/>
    </sheetView>
  </sheetViews>
  <sheetFormatPr defaultColWidth="9.140625" defaultRowHeight="12.75"/>
  <cols>
    <col min="1" max="1" width="10.8515625" style="0" customWidth="1"/>
    <col min="2" max="2" width="12.140625" style="0" customWidth="1"/>
    <col min="3" max="3" width="13.28125" style="0" customWidth="1"/>
    <col min="4" max="4" width="10.421875" style="0" bestFit="1" customWidth="1"/>
    <col min="5" max="5" width="18.00390625" style="0" customWidth="1"/>
    <col min="7" max="7" width="9.00390625" style="0" bestFit="1" customWidth="1"/>
  </cols>
  <sheetData>
    <row r="1" spans="1:5" ht="19.5" thickBot="1" thickTop="1">
      <c r="A1" s="1" t="s">
        <v>136</v>
      </c>
      <c r="B1" s="2"/>
      <c r="C1" s="2"/>
      <c r="D1" s="2"/>
      <c r="E1" s="3"/>
    </row>
    <row r="2" spans="1:5" ht="13.5" thickBot="1">
      <c r="A2" s="4" t="s">
        <v>137</v>
      </c>
      <c r="B2" s="33" t="s">
        <v>4</v>
      </c>
      <c r="C2" s="5" t="s">
        <v>138</v>
      </c>
      <c r="D2" s="5" t="s">
        <v>4</v>
      </c>
      <c r="E2" s="7" t="s">
        <v>5</v>
      </c>
    </row>
    <row r="3" spans="1:5" ht="15" thickTop="1">
      <c r="A3" s="8" t="s">
        <v>139</v>
      </c>
      <c r="B3" s="9" t="s">
        <v>169</v>
      </c>
      <c r="C3" s="34">
        <f>10^6</f>
        <v>1000000</v>
      </c>
      <c r="D3" s="9" t="s">
        <v>34</v>
      </c>
      <c r="E3" s="11"/>
    </row>
    <row r="4" spans="1:5" ht="14.25">
      <c r="A4" s="35"/>
      <c r="B4" s="13" t="s">
        <v>34</v>
      </c>
      <c r="C4" s="36">
        <f>10^4</f>
        <v>10000</v>
      </c>
      <c r="D4" s="13" t="s">
        <v>170</v>
      </c>
      <c r="E4" s="37"/>
    </row>
    <row r="5" spans="1:5" ht="14.25">
      <c r="A5" s="35"/>
      <c r="B5" s="13" t="s">
        <v>170</v>
      </c>
      <c r="C5" s="36">
        <f>10^2</f>
        <v>100</v>
      </c>
      <c r="D5" s="13" t="s">
        <v>171</v>
      </c>
      <c r="E5" s="37"/>
    </row>
    <row r="6" spans="1:5" ht="14.25">
      <c r="A6" s="35"/>
      <c r="B6" s="13" t="s">
        <v>171</v>
      </c>
      <c r="C6" s="36">
        <f>10^6</f>
        <v>1000000</v>
      </c>
      <c r="D6" s="38" t="s">
        <v>172</v>
      </c>
      <c r="E6" s="37"/>
    </row>
    <row r="7" spans="1:5" ht="14.25">
      <c r="A7" s="35"/>
      <c r="B7" s="38" t="s">
        <v>172</v>
      </c>
      <c r="C7" s="36">
        <f>10^6</f>
        <v>1000000</v>
      </c>
      <c r="D7" s="13" t="s">
        <v>173</v>
      </c>
      <c r="E7" s="37"/>
    </row>
    <row r="8" spans="1:5" ht="14.25">
      <c r="A8" s="35"/>
      <c r="B8" s="13" t="s">
        <v>34</v>
      </c>
      <c r="C8" s="39">
        <f>1.19599*9</f>
        <v>10.763910000000001</v>
      </c>
      <c r="D8" s="13" t="s">
        <v>174</v>
      </c>
      <c r="E8" s="37"/>
    </row>
    <row r="9" spans="1:5" ht="14.25">
      <c r="A9" s="35"/>
      <c r="B9" s="13" t="s">
        <v>34</v>
      </c>
      <c r="C9" s="39">
        <f>C8*144</f>
        <v>1550.00304</v>
      </c>
      <c r="D9" s="13" t="s">
        <v>175</v>
      </c>
      <c r="E9" s="37"/>
    </row>
    <row r="10" spans="1:5" ht="14.25">
      <c r="A10" s="35"/>
      <c r="B10" s="13" t="s">
        <v>175</v>
      </c>
      <c r="C10" s="39">
        <f>6.4516</f>
        <v>6.4516</v>
      </c>
      <c r="D10" s="13" t="s">
        <v>170</v>
      </c>
      <c r="E10" s="37"/>
    </row>
    <row r="11" spans="1:5" ht="12.75">
      <c r="A11" s="35"/>
      <c r="B11" s="13"/>
      <c r="C11" s="39"/>
      <c r="D11" s="13"/>
      <c r="E11" s="37"/>
    </row>
    <row r="12" spans="1:5" ht="12.75">
      <c r="A12" s="35" t="s">
        <v>140</v>
      </c>
      <c r="B12" s="13" t="s">
        <v>141</v>
      </c>
      <c r="C12" s="40">
        <v>4.184</v>
      </c>
      <c r="D12" s="13" t="s">
        <v>23</v>
      </c>
      <c r="E12" s="37"/>
    </row>
    <row r="13" spans="1:5" ht="12.75">
      <c r="A13" s="35"/>
      <c r="B13" s="41" t="s">
        <v>142</v>
      </c>
      <c r="C13" s="42">
        <f>10^7</f>
        <v>10000000</v>
      </c>
      <c r="D13" s="43" t="s">
        <v>143</v>
      </c>
      <c r="E13" s="37"/>
    </row>
    <row r="14" spans="1:5" ht="12.75">
      <c r="A14" s="12"/>
      <c r="B14" s="44" t="s">
        <v>142</v>
      </c>
      <c r="C14" s="45">
        <v>0.2389</v>
      </c>
      <c r="D14" s="13" t="s">
        <v>141</v>
      </c>
      <c r="E14" s="15"/>
    </row>
    <row r="15" spans="1:5" ht="12.75">
      <c r="A15" s="12"/>
      <c r="B15" s="44" t="s">
        <v>142</v>
      </c>
      <c r="C15" s="46">
        <f>6.24151*10^18</f>
        <v>6.24151E+18</v>
      </c>
      <c r="D15" s="13" t="s">
        <v>144</v>
      </c>
      <c r="E15" s="15"/>
    </row>
    <row r="16" spans="1:5" ht="12.75">
      <c r="A16" s="12"/>
      <c r="B16" s="44" t="s">
        <v>142</v>
      </c>
      <c r="C16" s="46">
        <f>C15/10^6</f>
        <v>6241510000000</v>
      </c>
      <c r="D16" s="13" t="s">
        <v>345</v>
      </c>
      <c r="E16" s="75"/>
    </row>
    <row r="17" spans="1:5" ht="12.75">
      <c r="A17" s="12"/>
      <c r="B17" s="44" t="s">
        <v>142</v>
      </c>
      <c r="C17" s="46">
        <f>C15/10^12</f>
        <v>6241510</v>
      </c>
      <c r="D17" s="13" t="s">
        <v>145</v>
      </c>
      <c r="E17" s="15"/>
    </row>
    <row r="18" spans="1:5" ht="12.75">
      <c r="A18" s="12"/>
      <c r="B18" s="44" t="s">
        <v>59</v>
      </c>
      <c r="C18" s="46">
        <f>8.98755*10^16</f>
        <v>89875500000000000</v>
      </c>
      <c r="D18" s="13" t="s">
        <v>23</v>
      </c>
      <c r="E18" s="15"/>
    </row>
    <row r="19" spans="1:5" ht="12.75">
      <c r="A19" s="12"/>
      <c r="B19" s="44" t="s">
        <v>346</v>
      </c>
      <c r="C19" s="46">
        <f>931.5017</f>
        <v>931.5017</v>
      </c>
      <c r="D19" s="13" t="s">
        <v>345</v>
      </c>
      <c r="E19" s="15"/>
    </row>
    <row r="20" spans="1:5" ht="12.75">
      <c r="A20" s="12"/>
      <c r="B20" s="44" t="s">
        <v>32</v>
      </c>
      <c r="C20" s="47">
        <v>4.186</v>
      </c>
      <c r="D20" s="13" t="s">
        <v>26</v>
      </c>
      <c r="E20" s="15"/>
    </row>
    <row r="21" spans="1:5" ht="12.75">
      <c r="A21" s="12"/>
      <c r="B21" s="44" t="s">
        <v>151</v>
      </c>
      <c r="C21" s="74">
        <v>252</v>
      </c>
      <c r="D21" s="13" t="s">
        <v>141</v>
      </c>
      <c r="E21" s="15"/>
    </row>
    <row r="22" spans="1:5" ht="12.75">
      <c r="A22" s="12"/>
      <c r="B22" s="44" t="s">
        <v>151</v>
      </c>
      <c r="C22" s="47">
        <v>1.054</v>
      </c>
      <c r="D22" s="13" t="s">
        <v>152</v>
      </c>
      <c r="E22" s="15"/>
    </row>
    <row r="23" spans="1:5" ht="12.75">
      <c r="A23" s="12"/>
      <c r="B23" s="44" t="s">
        <v>151</v>
      </c>
      <c r="C23" s="50">
        <f>BTU_to_kJ*1000</f>
        <v>1054</v>
      </c>
      <c r="D23" s="13" t="s">
        <v>23</v>
      </c>
      <c r="E23" s="15"/>
    </row>
    <row r="24" spans="1:5" ht="12.75">
      <c r="A24" s="12"/>
      <c r="B24" s="44" t="s">
        <v>153</v>
      </c>
      <c r="C24" s="74">
        <f>3600</f>
        <v>3600</v>
      </c>
      <c r="D24" s="13" t="s">
        <v>152</v>
      </c>
      <c r="E24" s="15"/>
    </row>
    <row r="25" spans="1:5" ht="12.75">
      <c r="A25" s="12"/>
      <c r="B25" s="44" t="s">
        <v>154</v>
      </c>
      <c r="C25" s="48">
        <v>0.2389</v>
      </c>
      <c r="D25" s="13" t="s">
        <v>32</v>
      </c>
      <c r="E25" s="15"/>
    </row>
    <row r="26" spans="1:6" ht="12.75">
      <c r="A26" s="12" t="s">
        <v>410</v>
      </c>
      <c r="B26" s="44" t="s">
        <v>59</v>
      </c>
      <c r="C26" s="46">
        <f>4.1868*10^9</f>
        <v>4186800000</v>
      </c>
      <c r="D26" s="13" t="s">
        <v>23</v>
      </c>
      <c r="E26" s="15"/>
      <c r="F26" s="100"/>
    </row>
    <row r="27" spans="1:5" ht="12.75">
      <c r="A27" s="12"/>
      <c r="B27" s="44" t="s">
        <v>409</v>
      </c>
      <c r="C27" s="36">
        <f>4.184*10^12</f>
        <v>4184000000000</v>
      </c>
      <c r="D27" s="13" t="s">
        <v>23</v>
      </c>
      <c r="E27" s="15" t="s">
        <v>412</v>
      </c>
    </row>
    <row r="28" spans="1:5" ht="12.75">
      <c r="A28" s="12"/>
      <c r="B28" s="44" t="s">
        <v>411</v>
      </c>
      <c r="C28" s="36">
        <f>4.22*10^15</f>
        <v>4220000000000000</v>
      </c>
      <c r="D28" s="13" t="s">
        <v>23</v>
      </c>
      <c r="E28" s="15" t="s">
        <v>413</v>
      </c>
    </row>
    <row r="29" spans="1:5" ht="12.75">
      <c r="A29" s="12"/>
      <c r="B29" s="44"/>
      <c r="C29" s="36"/>
      <c r="D29" s="13"/>
      <c r="E29" s="15"/>
    </row>
    <row r="30" spans="1:5" ht="12.75">
      <c r="A30" s="12" t="s">
        <v>339</v>
      </c>
      <c r="B30" s="44" t="s">
        <v>340</v>
      </c>
      <c r="C30" s="48">
        <v>2204.6</v>
      </c>
      <c r="D30" s="13" t="s">
        <v>146</v>
      </c>
      <c r="E30" s="15"/>
    </row>
    <row r="31" spans="1:5" ht="12.75">
      <c r="A31" s="12"/>
      <c r="B31" s="44" t="s">
        <v>340</v>
      </c>
      <c r="C31" s="48">
        <f>ton_to_lb*lb_to_kg</f>
        <v>999.9897389019998</v>
      </c>
      <c r="D31" s="13" t="s">
        <v>59</v>
      </c>
      <c r="E31" s="15"/>
    </row>
    <row r="32" spans="1:5" ht="12.75">
      <c r="A32" s="12"/>
      <c r="B32" s="44" t="s">
        <v>146</v>
      </c>
      <c r="C32" s="48">
        <f>1/C33</f>
        <v>0.4535923699999999</v>
      </c>
      <c r="D32" s="13" t="s">
        <v>59</v>
      </c>
      <c r="E32" s="15"/>
    </row>
    <row r="33" spans="1:5" ht="12.75">
      <c r="A33" s="12"/>
      <c r="B33" s="44" t="s">
        <v>59</v>
      </c>
      <c r="C33" s="15">
        <f>1/(4.5359237*10^-1)</f>
        <v>2.204622621848776</v>
      </c>
      <c r="D33" s="13" t="s">
        <v>146</v>
      </c>
      <c r="E33" s="15"/>
    </row>
    <row r="34" spans="1:5" ht="12.75">
      <c r="A34" s="12"/>
      <c r="B34" s="44" t="s">
        <v>59</v>
      </c>
      <c r="C34" s="46">
        <f>C33*16</f>
        <v>35.27396194958042</v>
      </c>
      <c r="D34" s="13" t="s">
        <v>147</v>
      </c>
      <c r="E34" s="15"/>
    </row>
    <row r="35" spans="1:5" ht="12.75">
      <c r="A35" s="12"/>
      <c r="B35" s="44" t="s">
        <v>148</v>
      </c>
      <c r="C35" s="46">
        <v>5</v>
      </c>
      <c r="D35" s="13" t="s">
        <v>149</v>
      </c>
      <c r="E35" s="15"/>
    </row>
    <row r="36" spans="1:5" ht="12.75">
      <c r="A36" s="12"/>
      <c r="B36" s="13" t="s">
        <v>148</v>
      </c>
      <c r="C36" s="46">
        <v>15.4324</v>
      </c>
      <c r="D36" s="13" t="s">
        <v>150</v>
      </c>
      <c r="E36" s="15"/>
    </row>
    <row r="37" spans="1:5" ht="12.75">
      <c r="A37" s="12"/>
      <c r="B37" s="13" t="s">
        <v>346</v>
      </c>
      <c r="C37" s="77">
        <f>1.6605665*10^-27</f>
        <v>1.6605665000000003E-27</v>
      </c>
      <c r="D37" s="13" t="s">
        <v>59</v>
      </c>
      <c r="E37" s="15"/>
    </row>
    <row r="38" spans="1:5" ht="12.75">
      <c r="A38" s="12"/>
      <c r="B38" s="13"/>
      <c r="C38" s="46"/>
      <c r="D38" s="13"/>
      <c r="E38" s="15"/>
    </row>
    <row r="39" spans="1:5" ht="15">
      <c r="A39" s="12" t="s">
        <v>327</v>
      </c>
      <c r="B39" s="44" t="s">
        <v>329</v>
      </c>
      <c r="C39" s="48">
        <v>1</v>
      </c>
      <c r="D39" s="13" t="s">
        <v>328</v>
      </c>
      <c r="E39" s="15"/>
    </row>
    <row r="40" spans="1:5" ht="14.25">
      <c r="A40" s="12"/>
      <c r="B40" s="44" t="s">
        <v>213</v>
      </c>
      <c r="C40" s="36">
        <f>1*10^-26</f>
        <v>9.999999999999999E-27</v>
      </c>
      <c r="D40" s="13" t="s">
        <v>328</v>
      </c>
      <c r="E40" s="15"/>
    </row>
    <row r="41" spans="1:5" ht="12.75">
      <c r="A41" s="12"/>
      <c r="B41" s="44"/>
      <c r="C41" s="36"/>
      <c r="D41" s="13"/>
      <c r="E41" s="15"/>
    </row>
    <row r="42" spans="1:5" ht="12.75">
      <c r="A42" s="12" t="s">
        <v>155</v>
      </c>
      <c r="B42" s="44" t="s">
        <v>156</v>
      </c>
      <c r="C42" s="49">
        <f>3.26163</f>
        <v>3.26163</v>
      </c>
      <c r="D42" s="13" t="s">
        <v>106</v>
      </c>
      <c r="E42" s="15"/>
    </row>
    <row r="43" spans="1:5" ht="12.75">
      <c r="A43" s="12"/>
      <c r="B43" s="44" t="s">
        <v>156</v>
      </c>
      <c r="C43" s="50">
        <f>C42*C45/C48</f>
        <v>206264.40153371033</v>
      </c>
      <c r="D43" s="13" t="s">
        <v>110</v>
      </c>
      <c r="E43" s="15"/>
    </row>
    <row r="44" spans="1:5" ht="12.75">
      <c r="A44" s="12"/>
      <c r="B44" s="44" t="s">
        <v>156</v>
      </c>
      <c r="C44" s="46">
        <f>C42*C45</f>
        <v>30856741940640</v>
      </c>
      <c r="D44" s="13" t="s">
        <v>107</v>
      </c>
      <c r="E44" s="15"/>
    </row>
    <row r="45" spans="1:5" ht="12.75">
      <c r="A45" s="12"/>
      <c r="B45" s="44" t="s">
        <v>106</v>
      </c>
      <c r="C45" s="46">
        <f>9.460528*10^12</f>
        <v>9460528000000</v>
      </c>
      <c r="D45" s="13" t="s">
        <v>107</v>
      </c>
      <c r="E45" s="15"/>
    </row>
    <row r="46" spans="1:5" ht="12.75">
      <c r="A46" s="12"/>
      <c r="B46" s="44" t="s">
        <v>106</v>
      </c>
      <c r="C46" s="46">
        <f>C45/C48</f>
        <v>63239.66897953181</v>
      </c>
      <c r="D46" s="13" t="s">
        <v>110</v>
      </c>
      <c r="E46" s="15"/>
    </row>
    <row r="47" spans="1:5" ht="12.75">
      <c r="A47" s="12"/>
      <c r="B47" s="44" t="s">
        <v>106</v>
      </c>
      <c r="C47" s="48">
        <f>1/Parsec_to_LY</f>
        <v>0.3065951686733321</v>
      </c>
      <c r="D47" s="13" t="s">
        <v>156</v>
      </c>
      <c r="E47" s="15"/>
    </row>
    <row r="48" spans="1:5" ht="12.75">
      <c r="A48" s="12"/>
      <c r="B48" s="44" t="s">
        <v>110</v>
      </c>
      <c r="C48" s="46">
        <f>1.49598*10^8</f>
        <v>149598000</v>
      </c>
      <c r="D48" s="13" t="s">
        <v>107</v>
      </c>
      <c r="E48" s="15"/>
    </row>
    <row r="49" spans="1:5" ht="12.75">
      <c r="A49" s="12"/>
      <c r="B49" s="44" t="s">
        <v>110</v>
      </c>
      <c r="C49" s="46">
        <f>1/Parsec_to_AU</f>
        <v>4.848146323671694E-06</v>
      </c>
      <c r="D49" s="13" t="s">
        <v>156</v>
      </c>
      <c r="E49" s="15"/>
    </row>
    <row r="50" spans="1:5" ht="12.75">
      <c r="A50" s="12"/>
      <c r="B50" s="44" t="s">
        <v>110</v>
      </c>
      <c r="C50" s="46">
        <f>1/Parsec_to_km</f>
        <v>3.240782847144811E-14</v>
      </c>
      <c r="D50" s="13" t="s">
        <v>107</v>
      </c>
      <c r="E50" s="15"/>
    </row>
    <row r="51" spans="1:5" ht="12.75">
      <c r="A51" s="12"/>
      <c r="B51" s="44" t="s">
        <v>157</v>
      </c>
      <c r="C51" s="48">
        <v>1.609344</v>
      </c>
      <c r="D51" s="13" t="s">
        <v>107</v>
      </c>
      <c r="E51" s="15"/>
    </row>
    <row r="52" spans="1:5" ht="12.75">
      <c r="A52" s="12"/>
      <c r="B52" s="44" t="s">
        <v>157</v>
      </c>
      <c r="C52" s="74">
        <v>5280</v>
      </c>
      <c r="D52" s="13" t="s">
        <v>341</v>
      </c>
      <c r="E52" s="15"/>
    </row>
    <row r="53" spans="1:5" ht="12.75">
      <c r="A53" s="12"/>
      <c r="B53" s="44" t="s">
        <v>15</v>
      </c>
      <c r="C53" s="36">
        <f>10^9</f>
        <v>1000000000</v>
      </c>
      <c r="D53" s="13" t="s">
        <v>158</v>
      </c>
      <c r="E53" s="15"/>
    </row>
    <row r="54" spans="1:5" ht="12.75">
      <c r="A54" s="12"/>
      <c r="B54" s="44" t="s">
        <v>15</v>
      </c>
      <c r="C54" s="49">
        <v>3.28</v>
      </c>
      <c r="D54" s="13" t="s">
        <v>341</v>
      </c>
      <c r="E54" s="15"/>
    </row>
    <row r="55" spans="1:5" ht="12.75">
      <c r="A55" s="12"/>
      <c r="B55" s="44" t="s">
        <v>421</v>
      </c>
      <c r="C55" s="49">
        <v>2.54</v>
      </c>
      <c r="D55" s="13" t="s">
        <v>420</v>
      </c>
      <c r="E55" s="15"/>
    </row>
    <row r="56" spans="1:5" ht="12.75">
      <c r="A56" s="12"/>
      <c r="B56" s="44" t="s">
        <v>341</v>
      </c>
      <c r="C56" s="47">
        <f>1/C54</f>
        <v>0.3048780487804878</v>
      </c>
      <c r="D56" s="13" t="s">
        <v>15</v>
      </c>
      <c r="E56" s="15"/>
    </row>
    <row r="57" spans="1:5" ht="12.75">
      <c r="A57" s="12"/>
      <c r="B57" s="44" t="s">
        <v>158</v>
      </c>
      <c r="C57" s="49">
        <v>10</v>
      </c>
      <c r="D57" s="13" t="s">
        <v>159</v>
      </c>
      <c r="E57" s="15"/>
    </row>
    <row r="58" spans="1:5" ht="12.75">
      <c r="A58" s="12"/>
      <c r="B58" s="44" t="s">
        <v>159</v>
      </c>
      <c r="C58" s="48">
        <f>1.88972</f>
        <v>1.88972</v>
      </c>
      <c r="D58" s="13" t="s">
        <v>160</v>
      </c>
      <c r="E58" s="15" t="s">
        <v>161</v>
      </c>
    </row>
    <row r="59" spans="1:5" ht="12.75">
      <c r="A59" s="12"/>
      <c r="B59" s="44"/>
      <c r="C59" s="48"/>
      <c r="D59" s="13"/>
      <c r="E59" s="15"/>
    </row>
    <row r="60" spans="1:5" ht="14.25">
      <c r="A60" s="12" t="s">
        <v>18</v>
      </c>
      <c r="B60" s="44" t="s">
        <v>406</v>
      </c>
      <c r="C60" s="74">
        <v>1</v>
      </c>
      <c r="D60" s="13" t="s">
        <v>407</v>
      </c>
      <c r="E60" s="15" t="s">
        <v>408</v>
      </c>
    </row>
    <row r="61" spans="1:5" ht="12.75">
      <c r="A61" s="12"/>
      <c r="B61" s="44" t="s">
        <v>162</v>
      </c>
      <c r="C61" s="74">
        <v>100</v>
      </c>
      <c r="D61" s="13" t="s">
        <v>163</v>
      </c>
      <c r="E61" s="15"/>
    </row>
    <row r="62" spans="1:5" ht="12.75">
      <c r="A62" s="12"/>
      <c r="B62" s="44" t="s">
        <v>164</v>
      </c>
      <c r="C62" s="39">
        <v>6.89476</v>
      </c>
      <c r="D62" s="13" t="s">
        <v>163</v>
      </c>
      <c r="E62" s="15"/>
    </row>
    <row r="63" spans="1:5" ht="12.75">
      <c r="A63" s="12"/>
      <c r="B63" s="44" t="s">
        <v>403</v>
      </c>
      <c r="C63" s="50">
        <v>101325</v>
      </c>
      <c r="D63" s="13" t="s">
        <v>239</v>
      </c>
      <c r="E63" s="15" t="s">
        <v>405</v>
      </c>
    </row>
    <row r="64" spans="1:5" ht="12.75">
      <c r="A64" s="12"/>
      <c r="B64" s="44" t="s">
        <v>403</v>
      </c>
      <c r="C64" s="74">
        <v>760</v>
      </c>
      <c r="D64" s="13" t="s">
        <v>404</v>
      </c>
      <c r="E64" s="15"/>
    </row>
    <row r="65" spans="1:5" ht="12.75">
      <c r="A65" s="12"/>
      <c r="B65" s="44"/>
      <c r="C65" s="39"/>
      <c r="D65" s="13"/>
      <c r="E65" s="15"/>
    </row>
    <row r="66" spans="1:5" ht="12.75">
      <c r="A66" s="12"/>
      <c r="B66" s="44"/>
      <c r="C66" s="39"/>
      <c r="D66" s="13"/>
      <c r="E66" s="15"/>
    </row>
    <row r="67" spans="1:5" ht="12.75">
      <c r="A67" s="12" t="s">
        <v>165</v>
      </c>
      <c r="B67" s="44" t="s">
        <v>166</v>
      </c>
      <c r="C67" s="47">
        <f>10^-2</f>
        <v>0.01</v>
      </c>
      <c r="D67" s="13" t="s">
        <v>183</v>
      </c>
      <c r="E67" s="15" t="s">
        <v>167</v>
      </c>
    </row>
    <row r="68" spans="1:5" ht="12.75">
      <c r="A68" s="12"/>
      <c r="B68" s="44" t="s">
        <v>168</v>
      </c>
      <c r="C68" s="47">
        <v>87</v>
      </c>
      <c r="D68" s="13" t="s">
        <v>331</v>
      </c>
      <c r="E68" s="15"/>
    </row>
    <row r="69" spans="1:5" ht="12.75">
      <c r="A69" s="12"/>
      <c r="B69" s="44"/>
      <c r="C69" s="13"/>
      <c r="D69" s="13"/>
      <c r="E69" s="15"/>
    </row>
    <row r="70" spans="1:5" ht="14.25">
      <c r="A70" s="12" t="s">
        <v>139</v>
      </c>
      <c r="B70" s="44" t="s">
        <v>34</v>
      </c>
      <c r="C70" s="13">
        <v>10.763911</v>
      </c>
      <c r="D70" s="13" t="s">
        <v>174</v>
      </c>
      <c r="E70" s="15"/>
    </row>
    <row r="71" spans="1:5" ht="14.25">
      <c r="A71" s="12"/>
      <c r="B71" s="44" t="s">
        <v>414</v>
      </c>
      <c r="C71" s="13">
        <f>4.046856*10^3</f>
        <v>4046.856</v>
      </c>
      <c r="D71" s="13" t="s">
        <v>34</v>
      </c>
      <c r="E71" s="15"/>
    </row>
    <row r="72" spans="1:5" ht="12.75">
      <c r="A72" s="12"/>
      <c r="B72" s="44"/>
      <c r="C72" s="13"/>
      <c r="D72" s="13"/>
      <c r="E72" s="15"/>
    </row>
    <row r="73" spans="1:5" ht="14.25">
      <c r="A73" s="12" t="s">
        <v>401</v>
      </c>
      <c r="B73" s="44" t="s">
        <v>402</v>
      </c>
      <c r="C73" s="13">
        <v>0.02831685</v>
      </c>
      <c r="D73" s="13" t="s">
        <v>38</v>
      </c>
      <c r="E73" s="15"/>
    </row>
    <row r="74" spans="1:5" ht="12.75">
      <c r="A74" s="12"/>
      <c r="B74" s="44"/>
      <c r="C74" s="13"/>
      <c r="D74" s="13"/>
      <c r="E74" s="15"/>
    </row>
    <row r="75" spans="1:5" ht="13.5" thickBot="1">
      <c r="A75" s="18"/>
      <c r="B75" s="51"/>
      <c r="C75" s="19"/>
      <c r="D75" s="19"/>
      <c r="E75" s="20"/>
    </row>
    <row r="76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workbookViewId="0" topLeftCell="A1">
      <pane xSplit="4" ySplit="2" topLeftCell="E2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4" sqref="A44"/>
    </sheetView>
  </sheetViews>
  <sheetFormatPr defaultColWidth="9.140625" defaultRowHeight="12.75" outlineLevelRow="1"/>
  <cols>
    <col min="1" max="1" width="31.7109375" style="0" bestFit="1" customWidth="1"/>
    <col min="2" max="2" width="8.8515625" style="0" bestFit="1" customWidth="1"/>
    <col min="3" max="3" width="18.421875" style="0" customWidth="1"/>
    <col min="4" max="4" width="9.7109375" style="0" bestFit="1" customWidth="1"/>
    <col min="5" max="5" width="13.8515625" style="0" customWidth="1"/>
    <col min="6" max="6" width="7.57421875" style="0" bestFit="1" customWidth="1"/>
    <col min="7" max="7" width="3.00390625" style="0" bestFit="1" customWidth="1"/>
    <col min="8" max="8" width="7.57421875" style="0" bestFit="1" customWidth="1"/>
    <col min="9" max="9" width="2.8515625" style="0" bestFit="1" customWidth="1"/>
  </cols>
  <sheetData>
    <row r="1" spans="1:5" ht="19.5" thickBot="1" thickTop="1">
      <c r="A1" s="1" t="s">
        <v>54</v>
      </c>
      <c r="B1" s="2"/>
      <c r="C1" s="2"/>
      <c r="D1" s="2"/>
      <c r="E1" s="3"/>
    </row>
    <row r="2" spans="1:5" ht="13.5" thickBot="1">
      <c r="A2" s="4" t="s">
        <v>55</v>
      </c>
      <c r="B2" s="5" t="s">
        <v>56</v>
      </c>
      <c r="C2" s="5" t="s">
        <v>57</v>
      </c>
      <c r="D2" s="5" t="s">
        <v>4</v>
      </c>
      <c r="E2" s="7" t="s">
        <v>5</v>
      </c>
    </row>
    <row r="3" spans="1:5" ht="15" customHeight="1" thickTop="1">
      <c r="A3" s="8" t="s">
        <v>58</v>
      </c>
      <c r="B3" s="21" t="s">
        <v>118</v>
      </c>
      <c r="C3" s="22">
        <f>1.6605402*10^-27</f>
        <v>1.6605402E-27</v>
      </c>
      <c r="D3" s="10" t="s">
        <v>59</v>
      </c>
      <c r="E3" s="11"/>
    </row>
    <row r="4" spans="1:5" ht="17.25" customHeight="1">
      <c r="A4" s="12" t="s">
        <v>60</v>
      </c>
      <c r="B4" s="23" t="s">
        <v>119</v>
      </c>
      <c r="C4" s="24">
        <f>6.0221367*10^23</f>
        <v>6.0221367E+23</v>
      </c>
      <c r="D4" s="14" t="s">
        <v>120</v>
      </c>
      <c r="E4" s="15"/>
    </row>
    <row r="5" spans="1:5" ht="17.25" customHeight="1">
      <c r="A5" s="12" t="s">
        <v>61</v>
      </c>
      <c r="B5" s="25" t="s">
        <v>121</v>
      </c>
      <c r="C5" s="24">
        <f>9.2740154*10^-24</f>
        <v>9.2740154E-24</v>
      </c>
      <c r="D5" s="14" t="s">
        <v>62</v>
      </c>
      <c r="E5" s="15"/>
    </row>
    <row r="6" spans="1:5" ht="12.75" customHeight="1">
      <c r="A6" s="12" t="s">
        <v>63</v>
      </c>
      <c r="B6" s="26" t="s">
        <v>64</v>
      </c>
      <c r="C6" s="24">
        <f>1.380658*10^-23</f>
        <v>1.380658E-23</v>
      </c>
      <c r="D6" s="14" t="s">
        <v>65</v>
      </c>
      <c r="E6" s="15"/>
    </row>
    <row r="7" spans="1:5" ht="12.75" customHeight="1">
      <c r="A7" s="12" t="s">
        <v>66</v>
      </c>
      <c r="B7" s="27" t="s">
        <v>122</v>
      </c>
      <c r="C7" s="24">
        <f>1.60217733*10^19</f>
        <v>1.60217733E+19</v>
      </c>
      <c r="D7" s="14" t="s">
        <v>67</v>
      </c>
      <c r="E7" s="15"/>
    </row>
    <row r="8" spans="1:5" ht="15" customHeight="1">
      <c r="A8" s="12" t="s">
        <v>68</v>
      </c>
      <c r="B8" s="27" t="s">
        <v>123</v>
      </c>
      <c r="C8" s="24">
        <f>-1.75881962*10^11</f>
        <v>-175881962000</v>
      </c>
      <c r="D8" s="14" t="s">
        <v>69</v>
      </c>
      <c r="E8" s="15"/>
    </row>
    <row r="9" spans="1:5" ht="14.25" customHeight="1">
      <c r="A9" s="12" t="s">
        <v>70</v>
      </c>
      <c r="B9" s="26" t="s">
        <v>124</v>
      </c>
      <c r="C9" s="24">
        <f>9.1093897*10^-31</f>
        <v>9.109389700000001E-31</v>
      </c>
      <c r="D9" s="14" t="s">
        <v>59</v>
      </c>
      <c r="E9" s="15"/>
    </row>
    <row r="10" spans="1:5" ht="14.25" customHeight="1">
      <c r="A10" s="12" t="s">
        <v>348</v>
      </c>
      <c r="B10" s="26" t="s">
        <v>349</v>
      </c>
      <c r="C10" s="76">
        <f>1.007276*AMU_to_kg</f>
        <v>1.6726487818540004E-27</v>
      </c>
      <c r="D10" s="14" t="s">
        <v>59</v>
      </c>
      <c r="E10" s="15"/>
    </row>
    <row r="11" spans="1:5" ht="14.25" customHeight="1">
      <c r="A11" s="12" t="s">
        <v>347</v>
      </c>
      <c r="B11" s="26" t="s">
        <v>350</v>
      </c>
      <c r="C11" s="76">
        <f>1.008665*AMU_to_kg</f>
        <v>1.6749553087225E-27</v>
      </c>
      <c r="D11" s="14" t="s">
        <v>59</v>
      </c>
      <c r="E11" s="15"/>
    </row>
    <row r="12" spans="1:5" ht="12.75" customHeight="1">
      <c r="A12" s="12" t="s">
        <v>71</v>
      </c>
      <c r="B12" s="26" t="s">
        <v>72</v>
      </c>
      <c r="C12" s="24">
        <f>9.6485309*10^4</f>
        <v>96485.30900000001</v>
      </c>
      <c r="D12" s="14" t="s">
        <v>73</v>
      </c>
      <c r="E12" s="15"/>
    </row>
    <row r="13" spans="1:5" ht="12.75" customHeight="1">
      <c r="A13" s="12" t="s">
        <v>74</v>
      </c>
      <c r="B13" s="25" t="s">
        <v>75</v>
      </c>
      <c r="C13" s="24">
        <f>0.00729735308</f>
        <v>0.00729735308</v>
      </c>
      <c r="D13" s="14" t="s">
        <v>76</v>
      </c>
      <c r="E13" s="15"/>
    </row>
    <row r="14" spans="1:5" ht="12.75" customHeight="1">
      <c r="A14" s="12" t="s">
        <v>77</v>
      </c>
      <c r="B14" s="23" t="s">
        <v>125</v>
      </c>
      <c r="C14" s="24">
        <f>4.8359767*10^14</f>
        <v>483597670000000</v>
      </c>
      <c r="D14" s="14" t="s">
        <v>78</v>
      </c>
      <c r="E14" s="15"/>
    </row>
    <row r="15" spans="1:5" ht="12.75" customHeight="1">
      <c r="A15" s="12" t="s">
        <v>79</v>
      </c>
      <c r="B15" s="25" t="s">
        <v>126</v>
      </c>
      <c r="C15" s="24">
        <f>2.06783461*10^-15</f>
        <v>2.06783461E-15</v>
      </c>
      <c r="D15" s="14" t="s">
        <v>80</v>
      </c>
      <c r="E15" s="15"/>
    </row>
    <row r="16" spans="1:5" ht="12.75" customHeight="1">
      <c r="A16" s="12" t="s">
        <v>81</v>
      </c>
      <c r="B16" s="26" t="s">
        <v>82</v>
      </c>
      <c r="C16" s="78">
        <f>8.31451</f>
        <v>8.31451</v>
      </c>
      <c r="D16" s="14" t="s">
        <v>83</v>
      </c>
      <c r="E16" s="15"/>
    </row>
    <row r="17" spans="1:5" ht="14.25">
      <c r="A17" s="12" t="s">
        <v>84</v>
      </c>
      <c r="B17" s="26" t="s">
        <v>85</v>
      </c>
      <c r="C17" s="24">
        <f>6.7259*10^-11</f>
        <v>6.7259E-11</v>
      </c>
      <c r="D17" s="14" t="s">
        <v>127</v>
      </c>
      <c r="E17" s="15" t="s">
        <v>344</v>
      </c>
    </row>
    <row r="18" spans="1:5" ht="15.75">
      <c r="A18" s="12"/>
      <c r="B18" s="26" t="s">
        <v>422</v>
      </c>
      <c r="C18" s="24">
        <f>C17*ft_to_m^3*lb_to_kg</f>
        <v>8.645589587464155E-13</v>
      </c>
      <c r="D18" s="14" t="s">
        <v>342</v>
      </c>
      <c r="E18" s="15" t="s">
        <v>343</v>
      </c>
    </row>
    <row r="19" spans="1:5" ht="15.75">
      <c r="A19" s="12" t="s">
        <v>86</v>
      </c>
      <c r="B19" s="25" t="s">
        <v>128</v>
      </c>
      <c r="C19" s="24">
        <f>4*PI()*10^-7</f>
        <v>1.2566370614359173E-06</v>
      </c>
      <c r="D19" s="14" t="s">
        <v>87</v>
      </c>
      <c r="E19" s="15"/>
    </row>
    <row r="20" spans="1:5" ht="12.75" customHeight="1">
      <c r="A20" s="12" t="s">
        <v>88</v>
      </c>
      <c r="B20" s="25" t="s">
        <v>129</v>
      </c>
      <c r="C20" s="24">
        <f>8.8541878*10^-12</f>
        <v>8.8541878E-12</v>
      </c>
      <c r="D20" s="14" t="s">
        <v>89</v>
      </c>
      <c r="E20" s="15"/>
    </row>
    <row r="21" spans="1:5" ht="12.75" customHeight="1">
      <c r="A21" s="12" t="s">
        <v>90</v>
      </c>
      <c r="B21" s="25" t="s">
        <v>91</v>
      </c>
      <c r="C21" s="24">
        <f>PI()</f>
        <v>3.141592653589793</v>
      </c>
      <c r="D21" s="14" t="s">
        <v>76</v>
      </c>
      <c r="E21" s="15"/>
    </row>
    <row r="22" spans="1:5" ht="12.75">
      <c r="A22" s="12" t="s">
        <v>92</v>
      </c>
      <c r="B22" s="26" t="s">
        <v>93</v>
      </c>
      <c r="C22" s="24">
        <f>6.6260755*10^-34</f>
        <v>6.626075500000001E-34</v>
      </c>
      <c r="D22" s="14" t="s">
        <v>94</v>
      </c>
      <c r="E22" s="15"/>
    </row>
    <row r="23" spans="1:5" ht="12.75">
      <c r="A23" s="12" t="s">
        <v>95</v>
      </c>
      <c r="B23" s="26" t="s">
        <v>130</v>
      </c>
      <c r="C23" s="24">
        <f>C22/(2*PI())</f>
        <v>1.054572669125102E-34</v>
      </c>
      <c r="D23" s="14" t="s">
        <v>94</v>
      </c>
      <c r="E23" s="15"/>
    </row>
    <row r="24" spans="1:5" ht="14.25">
      <c r="A24" s="12" t="s">
        <v>96</v>
      </c>
      <c r="B24" s="26" t="s">
        <v>82</v>
      </c>
      <c r="C24" s="24">
        <f>1.0973731*10^7</f>
        <v>10973731</v>
      </c>
      <c r="D24" s="14" t="s">
        <v>131</v>
      </c>
      <c r="E24" s="15"/>
    </row>
    <row r="25" spans="1:5" ht="15.75">
      <c r="A25" s="12" t="s">
        <v>97</v>
      </c>
      <c r="B25" s="23" t="s">
        <v>132</v>
      </c>
      <c r="C25" s="24">
        <f>22.4141*10^-3</f>
        <v>0.022414100000000003</v>
      </c>
      <c r="D25" s="14" t="s">
        <v>133</v>
      </c>
      <c r="E25" s="15"/>
    </row>
    <row r="26" spans="1:5" ht="15.75">
      <c r="A26" s="12" t="s">
        <v>98</v>
      </c>
      <c r="B26" s="23" t="s">
        <v>134</v>
      </c>
      <c r="C26" s="28">
        <f>1.438769*10^-2</f>
        <v>0.01438769</v>
      </c>
      <c r="D26" s="14" t="s">
        <v>99</v>
      </c>
      <c r="E26" s="15"/>
    </row>
    <row r="27" spans="1:5" ht="14.25">
      <c r="A27" s="12" t="s">
        <v>100</v>
      </c>
      <c r="B27" s="25" t="s">
        <v>101</v>
      </c>
      <c r="C27" s="24">
        <f>5.67051*10^-8</f>
        <v>5.67051E-08</v>
      </c>
      <c r="D27" s="14" t="s">
        <v>135</v>
      </c>
      <c r="E27" s="15"/>
    </row>
    <row r="28" spans="1:5" ht="12.75" customHeight="1">
      <c r="A28" s="12" t="s">
        <v>102</v>
      </c>
      <c r="B28" s="26" t="s">
        <v>103</v>
      </c>
      <c r="C28" s="24">
        <f>299792457.4</f>
        <v>299792457.4</v>
      </c>
      <c r="D28" s="14" t="s">
        <v>104</v>
      </c>
      <c r="E28" s="15"/>
    </row>
    <row r="29" spans="1:5" ht="12.75" customHeight="1">
      <c r="A29" s="12" t="s">
        <v>105</v>
      </c>
      <c r="B29" s="23" t="s">
        <v>106</v>
      </c>
      <c r="C29" s="24">
        <f>C30/1000</f>
        <v>9460730453646.24</v>
      </c>
      <c r="D29" s="14" t="s">
        <v>107</v>
      </c>
      <c r="E29" s="15"/>
    </row>
    <row r="30" spans="1:5" ht="12.75" customHeight="1">
      <c r="A30" s="12" t="s">
        <v>108</v>
      </c>
      <c r="B30" s="23"/>
      <c r="C30" s="24">
        <f>C28*C34</f>
        <v>9460730453646240</v>
      </c>
      <c r="D30" s="14" t="s">
        <v>15</v>
      </c>
      <c r="E30" s="15"/>
    </row>
    <row r="31" spans="1:5" ht="12.75">
      <c r="A31" s="12" t="s">
        <v>109</v>
      </c>
      <c r="B31" s="23" t="s">
        <v>110</v>
      </c>
      <c r="C31" s="29">
        <v>149597879</v>
      </c>
      <c r="D31" s="14" t="s">
        <v>107</v>
      </c>
      <c r="E31" s="15"/>
    </row>
    <row r="32" spans="1:5" ht="12.75">
      <c r="A32" s="12" t="s">
        <v>111</v>
      </c>
      <c r="B32" s="23"/>
      <c r="C32" s="29">
        <f>C31*1000</f>
        <v>149597879000</v>
      </c>
      <c r="D32" s="14" t="s">
        <v>15</v>
      </c>
      <c r="E32" s="15"/>
    </row>
    <row r="33" spans="1:5" ht="12.75">
      <c r="A33" s="12" t="s">
        <v>112</v>
      </c>
      <c r="B33" s="23" t="s">
        <v>113</v>
      </c>
      <c r="C33" s="29">
        <f>60*60*24</f>
        <v>86400</v>
      </c>
      <c r="D33" s="14" t="s">
        <v>101</v>
      </c>
      <c r="E33" s="15"/>
    </row>
    <row r="34" spans="1:5" ht="12.75">
      <c r="A34" s="12" t="s">
        <v>114</v>
      </c>
      <c r="B34" s="23" t="s">
        <v>115</v>
      </c>
      <c r="C34" s="29">
        <f>60*60*24*365.25</f>
        <v>31557600</v>
      </c>
      <c r="D34" s="14" t="s">
        <v>101</v>
      </c>
      <c r="E34" s="15"/>
    </row>
    <row r="35" spans="1:5" ht="12.75">
      <c r="A35" s="12" t="s">
        <v>116</v>
      </c>
      <c r="B35" s="23"/>
      <c r="C35" s="29">
        <f>C32/C28</f>
        <v>499.00481252067686</v>
      </c>
      <c r="D35" s="14" t="s">
        <v>101</v>
      </c>
      <c r="E35" s="15"/>
    </row>
    <row r="36" spans="1:5" ht="12.75">
      <c r="A36" s="104" t="s">
        <v>117</v>
      </c>
      <c r="B36" s="105"/>
      <c r="C36" s="106">
        <f>C33/60</f>
        <v>1440</v>
      </c>
      <c r="D36" s="101" t="s">
        <v>15</v>
      </c>
      <c r="E36" s="102"/>
    </row>
    <row r="37" spans="1:12" ht="12.75" hidden="1" outlineLevel="1">
      <c r="A37" s="12"/>
      <c r="B37" s="23"/>
      <c r="C37" s="13">
        <v>-459.69</v>
      </c>
      <c r="D37" s="14" t="s">
        <v>418</v>
      </c>
      <c r="E37" s="15"/>
      <c r="J37" s="32"/>
      <c r="L37" s="32"/>
    </row>
    <row r="38" spans="1:12" ht="12.75" hidden="1" outlineLevel="1">
      <c r="A38" s="12"/>
      <c r="B38" s="23"/>
      <c r="C38" s="13">
        <v>-273.15</v>
      </c>
      <c r="D38" s="14" t="s">
        <v>417</v>
      </c>
      <c r="E38" s="15"/>
      <c r="J38" s="32"/>
      <c r="L38" s="32"/>
    </row>
    <row r="39" spans="1:12" ht="12.75" collapsed="1">
      <c r="A39" s="12" t="s">
        <v>415</v>
      </c>
      <c r="B39" s="23"/>
      <c r="C39" s="107">
        <v>0</v>
      </c>
      <c r="D39" s="14" t="s">
        <v>416</v>
      </c>
      <c r="E39" s="15"/>
      <c r="J39" s="32"/>
      <c r="L39" s="32"/>
    </row>
    <row r="40" spans="1:5" ht="12.75" hidden="1" outlineLevel="1">
      <c r="A40" s="12"/>
      <c r="B40" s="13"/>
      <c r="C40" s="13">
        <f>AbsoluteZeroF+CMBTemperatureK</f>
        <v>-456.955</v>
      </c>
      <c r="D40" s="14" t="s">
        <v>418</v>
      </c>
      <c r="E40" s="15"/>
    </row>
    <row r="41" spans="1:5" ht="12.75" hidden="1" outlineLevel="1">
      <c r="A41" s="12"/>
      <c r="B41" s="23"/>
      <c r="C41" s="13">
        <f>AbsoluteZeroC+CMBTemperatureK</f>
        <v>-270.41499999999996</v>
      </c>
      <c r="D41" s="14" t="s">
        <v>417</v>
      </c>
      <c r="E41" s="15"/>
    </row>
    <row r="42" spans="1:5" ht="13.5" collapsed="1" thickBot="1">
      <c r="A42" s="18" t="s">
        <v>419</v>
      </c>
      <c r="B42" s="30"/>
      <c r="C42" s="103">
        <v>2.735</v>
      </c>
      <c r="D42" s="31" t="s">
        <v>416</v>
      </c>
      <c r="E42" s="20"/>
    </row>
    <row r="4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50"/>
  <sheetViews>
    <sheetView workbookViewId="0" topLeftCell="A1">
      <selection activeCell="A21" sqref="A21"/>
    </sheetView>
  </sheetViews>
  <sheetFormatPr defaultColWidth="9.140625" defaultRowHeight="12.75"/>
  <cols>
    <col min="1" max="1" width="7.7109375" style="0" bestFit="1" customWidth="1"/>
    <col min="2" max="2" width="12.00390625" style="0" bestFit="1" customWidth="1"/>
    <col min="3" max="3" width="12.7109375" style="0" bestFit="1" customWidth="1"/>
    <col min="4" max="4" width="7.00390625" style="0" bestFit="1" customWidth="1"/>
    <col min="5" max="5" width="16.28125" style="0" customWidth="1"/>
    <col min="6" max="6" width="15.8515625" style="0" customWidth="1"/>
    <col min="8" max="8" width="12.28125" style="0" bestFit="1" customWidth="1"/>
  </cols>
  <sheetData>
    <row r="1" spans="1:6" ht="19.5" thickBot="1" thickTop="1">
      <c r="A1" s="56" t="s">
        <v>253</v>
      </c>
      <c r="B1" s="57"/>
      <c r="C1" s="57"/>
      <c r="D1" s="57"/>
      <c r="E1" s="57"/>
      <c r="F1" s="58"/>
    </row>
    <row r="2" spans="1:6" ht="26.25" thickBot="1">
      <c r="A2" s="59" t="s">
        <v>254</v>
      </c>
      <c r="B2" s="6" t="s">
        <v>255</v>
      </c>
      <c r="C2" s="6" t="s">
        <v>57</v>
      </c>
      <c r="D2" s="6" t="s">
        <v>256</v>
      </c>
      <c r="E2" s="60" t="s">
        <v>257</v>
      </c>
      <c r="F2" s="61" t="s">
        <v>258</v>
      </c>
    </row>
    <row r="3" spans="1:6" ht="13.5" thickTop="1">
      <c r="A3" s="79" t="s">
        <v>259</v>
      </c>
      <c r="B3" s="80" t="s">
        <v>260</v>
      </c>
      <c r="C3" s="81">
        <f>1*10^-24</f>
        <v>1.0000000000000001E-24</v>
      </c>
      <c r="D3" s="82" t="s">
        <v>352</v>
      </c>
      <c r="E3" s="81"/>
      <c r="F3" s="83"/>
    </row>
    <row r="4" spans="1:6" ht="12.75">
      <c r="A4" s="84" t="s">
        <v>261</v>
      </c>
      <c r="B4" s="85" t="s">
        <v>262</v>
      </c>
      <c r="C4" s="86">
        <f>1*10^-21</f>
        <v>1E-21</v>
      </c>
      <c r="D4" s="87" t="s">
        <v>353</v>
      </c>
      <c r="E4" s="86"/>
      <c r="F4" s="88"/>
    </row>
    <row r="5" spans="1:6" ht="12.75">
      <c r="A5" s="84" t="s">
        <v>263</v>
      </c>
      <c r="B5" s="85" t="s">
        <v>75</v>
      </c>
      <c r="C5" s="86">
        <f>1*10^-18</f>
        <v>1E-18</v>
      </c>
      <c r="D5" s="87" t="s">
        <v>354</v>
      </c>
      <c r="E5" s="86"/>
      <c r="F5" s="88"/>
    </row>
    <row r="6" spans="1:6" ht="12.75">
      <c r="A6" s="84" t="s">
        <v>264</v>
      </c>
      <c r="B6" s="85" t="s">
        <v>265</v>
      </c>
      <c r="C6" s="86">
        <f>1*10^-15</f>
        <v>1E-15</v>
      </c>
      <c r="D6" s="87" t="s">
        <v>355</v>
      </c>
      <c r="E6" s="86"/>
      <c r="F6" s="88"/>
    </row>
    <row r="7" spans="1:6" ht="12.75">
      <c r="A7" s="84" t="s">
        <v>266</v>
      </c>
      <c r="B7" s="85" t="s">
        <v>91</v>
      </c>
      <c r="C7" s="86">
        <f>1*10^-12</f>
        <v>1E-12</v>
      </c>
      <c r="D7" s="87" t="s">
        <v>356</v>
      </c>
      <c r="E7" s="86" t="s">
        <v>267</v>
      </c>
      <c r="F7" s="88"/>
    </row>
    <row r="8" spans="1:6" ht="12.75">
      <c r="A8" s="84" t="s">
        <v>268</v>
      </c>
      <c r="B8" s="85" t="s">
        <v>269</v>
      </c>
      <c r="C8" s="86">
        <f>1*10^-9</f>
        <v>1E-09</v>
      </c>
      <c r="D8" s="87" t="s">
        <v>357</v>
      </c>
      <c r="E8" s="86" t="s">
        <v>270</v>
      </c>
      <c r="F8" s="88"/>
    </row>
    <row r="9" spans="1:6" ht="12.75">
      <c r="A9" s="84" t="s">
        <v>271</v>
      </c>
      <c r="B9" s="89" t="s">
        <v>15</v>
      </c>
      <c r="C9" s="86">
        <f>1*10^-6</f>
        <v>1E-06</v>
      </c>
      <c r="D9" s="87" t="s">
        <v>358</v>
      </c>
      <c r="E9" s="86" t="s">
        <v>272</v>
      </c>
      <c r="F9" s="88"/>
    </row>
    <row r="10" spans="1:6" ht="12.75">
      <c r="A10" s="84" t="s">
        <v>273</v>
      </c>
      <c r="B10" s="85" t="s">
        <v>15</v>
      </c>
      <c r="C10" s="86">
        <f>1*10^-3</f>
        <v>0.001</v>
      </c>
      <c r="D10" s="87" t="s">
        <v>359</v>
      </c>
      <c r="E10" s="86" t="s">
        <v>274</v>
      </c>
      <c r="F10" s="88"/>
    </row>
    <row r="11" spans="1:6" ht="12.75">
      <c r="A11" s="84" t="s">
        <v>275</v>
      </c>
      <c r="B11" s="85" t="s">
        <v>103</v>
      </c>
      <c r="C11" s="86">
        <f>1*10^-2</f>
        <v>0.01</v>
      </c>
      <c r="D11" s="87" t="s">
        <v>360</v>
      </c>
      <c r="E11" s="86" t="s">
        <v>276</v>
      </c>
      <c r="F11" s="88"/>
    </row>
    <row r="12" spans="1:6" ht="12.75">
      <c r="A12" s="84" t="s">
        <v>277</v>
      </c>
      <c r="B12" s="85" t="s">
        <v>278</v>
      </c>
      <c r="C12" s="86">
        <f>1*10^-1</f>
        <v>0.1</v>
      </c>
      <c r="D12" s="90" t="s">
        <v>361</v>
      </c>
      <c r="E12" s="86" t="s">
        <v>279</v>
      </c>
      <c r="F12" s="88"/>
    </row>
    <row r="13" spans="1:6" ht="12.75">
      <c r="A13" s="84" t="s">
        <v>280</v>
      </c>
      <c r="B13" s="85"/>
      <c r="C13" s="86">
        <f>1*10^0</f>
        <v>1</v>
      </c>
      <c r="D13" s="87" t="s">
        <v>362</v>
      </c>
      <c r="E13" s="86" t="s">
        <v>281</v>
      </c>
      <c r="F13" s="88"/>
    </row>
    <row r="14" spans="1:6" ht="12.75">
      <c r="A14" s="84" t="s">
        <v>282</v>
      </c>
      <c r="B14" s="85" t="s">
        <v>283</v>
      </c>
      <c r="C14" s="86">
        <f>1*10^1</f>
        <v>10</v>
      </c>
      <c r="D14" s="87" t="s">
        <v>363</v>
      </c>
      <c r="E14" s="86" t="s">
        <v>284</v>
      </c>
      <c r="F14" s="88"/>
    </row>
    <row r="15" spans="1:6" ht="12.75">
      <c r="A15" s="84" t="s">
        <v>285</v>
      </c>
      <c r="B15" s="85" t="s">
        <v>93</v>
      </c>
      <c r="C15" s="86">
        <f>1*10^2</f>
        <v>100</v>
      </c>
      <c r="D15" s="87" t="s">
        <v>364</v>
      </c>
      <c r="E15" s="86" t="s">
        <v>286</v>
      </c>
      <c r="F15" s="88"/>
    </row>
    <row r="16" spans="1:6" ht="12.75">
      <c r="A16" s="84" t="s">
        <v>287</v>
      </c>
      <c r="B16" s="85" t="s">
        <v>64</v>
      </c>
      <c r="C16" s="91">
        <f>1*10^3</f>
        <v>1000</v>
      </c>
      <c r="D16" s="87" t="s">
        <v>365</v>
      </c>
      <c r="E16" s="86" t="s">
        <v>288</v>
      </c>
      <c r="F16" s="88"/>
    </row>
    <row r="17" spans="1:6" ht="12.75">
      <c r="A17" s="84" t="s">
        <v>289</v>
      </c>
      <c r="B17" s="85" t="s">
        <v>290</v>
      </c>
      <c r="C17" s="91">
        <f>1*10^6</f>
        <v>1000000</v>
      </c>
      <c r="D17" s="87" t="s">
        <v>366</v>
      </c>
      <c r="E17" s="86" t="s">
        <v>291</v>
      </c>
      <c r="F17" s="88"/>
    </row>
    <row r="18" spans="1:6" ht="12.75">
      <c r="A18" s="84" t="s">
        <v>292</v>
      </c>
      <c r="B18" s="85" t="s">
        <v>85</v>
      </c>
      <c r="C18" s="91">
        <f>1*10^9</f>
        <v>1000000000</v>
      </c>
      <c r="D18" s="87" t="s">
        <v>367</v>
      </c>
      <c r="E18" s="86" t="s">
        <v>293</v>
      </c>
      <c r="F18" s="88" t="s">
        <v>294</v>
      </c>
    </row>
    <row r="19" spans="1:6" ht="12.75">
      <c r="A19" s="84" t="s">
        <v>295</v>
      </c>
      <c r="B19" s="85" t="s">
        <v>233</v>
      </c>
      <c r="C19" s="86">
        <f>1*10^12</f>
        <v>1000000000000</v>
      </c>
      <c r="D19" s="87" t="s">
        <v>368</v>
      </c>
      <c r="E19" s="86" t="s">
        <v>296</v>
      </c>
      <c r="F19" s="88" t="s">
        <v>293</v>
      </c>
    </row>
    <row r="20" spans="1:6" ht="12.75">
      <c r="A20" s="84" t="s">
        <v>297</v>
      </c>
      <c r="B20" s="85" t="s">
        <v>298</v>
      </c>
      <c r="C20" s="86">
        <f>1*10^15</f>
        <v>1000000000000000</v>
      </c>
      <c r="D20" s="87" t="s">
        <v>369</v>
      </c>
      <c r="E20" s="86" t="s">
        <v>299</v>
      </c>
      <c r="F20" s="88"/>
    </row>
    <row r="21" spans="1:6" ht="12.75">
      <c r="A21" s="84" t="s">
        <v>300</v>
      </c>
      <c r="B21" s="85" t="s">
        <v>301</v>
      </c>
      <c r="C21" s="86">
        <f>1*10^18</f>
        <v>1E+18</v>
      </c>
      <c r="D21" s="87" t="s">
        <v>370</v>
      </c>
      <c r="E21" s="86" t="s">
        <v>302</v>
      </c>
      <c r="F21" s="88" t="s">
        <v>296</v>
      </c>
    </row>
    <row r="22" spans="1:6" ht="12.75">
      <c r="A22" s="84" t="s">
        <v>303</v>
      </c>
      <c r="B22" s="92" t="s">
        <v>304</v>
      </c>
      <c r="C22" s="93">
        <f>1*10^21</f>
        <v>1E+21</v>
      </c>
      <c r="D22" s="87" t="s">
        <v>371</v>
      </c>
      <c r="E22" s="86" t="s">
        <v>305</v>
      </c>
      <c r="F22" s="88"/>
    </row>
    <row r="23" spans="1:6" ht="12.75">
      <c r="A23" s="84" t="s">
        <v>306</v>
      </c>
      <c r="B23" s="92" t="s">
        <v>307</v>
      </c>
      <c r="C23" s="93">
        <f>1*10^24</f>
        <v>1E+24</v>
      </c>
      <c r="D23" s="87" t="s">
        <v>372</v>
      </c>
      <c r="E23" s="86" t="s">
        <v>308</v>
      </c>
      <c r="F23" s="88" t="s">
        <v>299</v>
      </c>
    </row>
    <row r="24" spans="1:6" ht="12.75">
      <c r="A24" s="84"/>
      <c r="B24" s="86"/>
      <c r="C24" s="93">
        <f>1*10^27</f>
        <v>1E+27</v>
      </c>
      <c r="D24" s="87" t="s">
        <v>373</v>
      </c>
      <c r="E24" s="86" t="s">
        <v>309</v>
      </c>
      <c r="F24" s="88"/>
    </row>
    <row r="25" spans="1:6" ht="12.75">
      <c r="A25" s="84"/>
      <c r="B25" s="86"/>
      <c r="C25" s="93">
        <f>1*10^30</f>
        <v>1E+30</v>
      </c>
      <c r="D25" s="87" t="s">
        <v>374</v>
      </c>
      <c r="E25" s="86" t="s">
        <v>310</v>
      </c>
      <c r="F25" s="88" t="s">
        <v>302</v>
      </c>
    </row>
    <row r="26" spans="1:6" ht="12.75">
      <c r="A26" s="84"/>
      <c r="B26" s="86"/>
      <c r="C26" s="93">
        <f>1*10^33</f>
        <v>1E+33</v>
      </c>
      <c r="D26" s="87" t="s">
        <v>375</v>
      </c>
      <c r="E26" s="86" t="s">
        <v>311</v>
      </c>
      <c r="F26" s="88"/>
    </row>
    <row r="27" spans="1:6" ht="12.75">
      <c r="A27" s="84"/>
      <c r="B27" s="86"/>
      <c r="C27" s="93">
        <f>1*10^36</f>
        <v>1E+36</v>
      </c>
      <c r="D27" s="87" t="s">
        <v>376</v>
      </c>
      <c r="E27" s="86" t="s">
        <v>312</v>
      </c>
      <c r="F27" s="88" t="s">
        <v>305</v>
      </c>
    </row>
    <row r="28" spans="1:6" ht="12.75">
      <c r="A28" s="84"/>
      <c r="B28" s="86"/>
      <c r="C28" s="93">
        <f>1*10^39</f>
        <v>1E+39</v>
      </c>
      <c r="D28" s="90" t="s">
        <v>377</v>
      </c>
      <c r="E28" s="86" t="s">
        <v>313</v>
      </c>
      <c r="F28" s="88"/>
    </row>
    <row r="29" spans="1:6" ht="12.75">
      <c r="A29" s="84"/>
      <c r="B29" s="86"/>
      <c r="C29" s="93">
        <f>1*10^42</f>
        <v>1E+42</v>
      </c>
      <c r="D29" s="87" t="s">
        <v>378</v>
      </c>
      <c r="E29" s="86" t="s">
        <v>314</v>
      </c>
      <c r="F29" s="88" t="s">
        <v>308</v>
      </c>
    </row>
    <row r="30" spans="1:6" ht="12.75">
      <c r="A30" s="84"/>
      <c r="B30" s="86"/>
      <c r="C30" s="93">
        <f>1*10^45</f>
        <v>1E+45</v>
      </c>
      <c r="D30" s="87" t="s">
        <v>379</v>
      </c>
      <c r="E30" s="86" t="s">
        <v>315</v>
      </c>
      <c r="F30" s="88"/>
    </row>
    <row r="31" spans="1:6" ht="12.75">
      <c r="A31" s="84"/>
      <c r="B31" s="86"/>
      <c r="C31" s="93">
        <f>1*10^48</f>
        <v>1E+48</v>
      </c>
      <c r="D31" s="87" t="s">
        <v>380</v>
      </c>
      <c r="E31" s="86" t="s">
        <v>316</v>
      </c>
      <c r="F31" s="88" t="s">
        <v>309</v>
      </c>
    </row>
    <row r="32" spans="1:6" ht="12.75">
      <c r="A32" s="84"/>
      <c r="B32" s="86"/>
      <c r="C32" s="93">
        <f>1*10^51</f>
        <v>1E+51</v>
      </c>
      <c r="D32" s="87" t="s">
        <v>381</v>
      </c>
      <c r="E32" s="86" t="s">
        <v>317</v>
      </c>
      <c r="F32" s="88"/>
    </row>
    <row r="33" spans="1:6" ht="12.75">
      <c r="A33" s="84"/>
      <c r="B33" s="86"/>
      <c r="C33" s="93">
        <f>1*10^54</f>
        <v>1E+54</v>
      </c>
      <c r="D33" s="87" t="s">
        <v>382</v>
      </c>
      <c r="E33" s="86" t="s">
        <v>318</v>
      </c>
      <c r="F33" s="88" t="s">
        <v>310</v>
      </c>
    </row>
    <row r="34" spans="1:6" ht="12.75">
      <c r="A34" s="84"/>
      <c r="B34" s="86"/>
      <c r="C34" s="93">
        <f>1*10^57</f>
        <v>1E+57</v>
      </c>
      <c r="D34" s="87" t="s">
        <v>383</v>
      </c>
      <c r="E34" s="86" t="s">
        <v>319</v>
      </c>
      <c r="F34" s="88"/>
    </row>
    <row r="35" spans="1:6" ht="12.75">
      <c r="A35" s="84"/>
      <c r="B35" s="86"/>
      <c r="C35" s="93">
        <f>1*10^60</f>
        <v>1E+60</v>
      </c>
      <c r="D35" s="87" t="s">
        <v>384</v>
      </c>
      <c r="E35" s="86" t="s">
        <v>320</v>
      </c>
      <c r="F35" s="88" t="s">
        <v>311</v>
      </c>
    </row>
    <row r="36" spans="1:6" ht="12.75">
      <c r="A36" s="84"/>
      <c r="B36" s="86"/>
      <c r="C36" s="93">
        <f>1*10^63</f>
        <v>1E+63</v>
      </c>
      <c r="D36" s="87" t="s">
        <v>385</v>
      </c>
      <c r="E36" s="86" t="s">
        <v>321</v>
      </c>
      <c r="F36" s="88"/>
    </row>
    <row r="37" spans="1:6" ht="12.75">
      <c r="A37" s="84"/>
      <c r="B37" s="86"/>
      <c r="C37" s="93">
        <f>1*10^66</f>
        <v>1E+66</v>
      </c>
      <c r="D37" s="87" t="s">
        <v>386</v>
      </c>
      <c r="E37" s="86"/>
      <c r="F37" s="88" t="s">
        <v>312</v>
      </c>
    </row>
    <row r="38" spans="1:6" ht="12.75">
      <c r="A38" s="84"/>
      <c r="B38" s="86"/>
      <c r="C38" s="93">
        <f>1*10^72</f>
        <v>1E+72</v>
      </c>
      <c r="D38" s="87" t="s">
        <v>387</v>
      </c>
      <c r="E38" s="86"/>
      <c r="F38" s="88" t="s">
        <v>313</v>
      </c>
    </row>
    <row r="39" spans="1:6" ht="12.75">
      <c r="A39" s="84"/>
      <c r="B39" s="86"/>
      <c r="C39" s="93">
        <f>1*10^78</f>
        <v>1E+78</v>
      </c>
      <c r="D39" s="87" t="s">
        <v>388</v>
      </c>
      <c r="E39" s="86"/>
      <c r="F39" s="88" t="s">
        <v>314</v>
      </c>
    </row>
    <row r="40" spans="1:6" ht="12.75">
      <c r="A40" s="84"/>
      <c r="B40" s="86"/>
      <c r="C40" s="93">
        <f>1*10^84</f>
        <v>1E+84</v>
      </c>
      <c r="D40" s="87" t="s">
        <v>389</v>
      </c>
      <c r="E40" s="86"/>
      <c r="F40" s="88" t="s">
        <v>315</v>
      </c>
    </row>
    <row r="41" spans="1:6" ht="12.75">
      <c r="A41" s="84"/>
      <c r="B41" s="86"/>
      <c r="C41" s="93">
        <f>1*10^90</f>
        <v>1E+90</v>
      </c>
      <c r="D41" s="87" t="s">
        <v>390</v>
      </c>
      <c r="E41" s="86"/>
      <c r="F41" s="88" t="s">
        <v>316</v>
      </c>
    </row>
    <row r="42" spans="1:6" ht="12.75">
      <c r="A42" s="84"/>
      <c r="B42" s="86"/>
      <c r="C42" s="93">
        <f>1*10^96</f>
        <v>1E+96</v>
      </c>
      <c r="D42" s="87" t="s">
        <v>391</v>
      </c>
      <c r="E42" s="86"/>
      <c r="F42" s="88" t="s">
        <v>322</v>
      </c>
    </row>
    <row r="43" spans="1:6" ht="12.75">
      <c r="A43" s="84"/>
      <c r="B43" s="86"/>
      <c r="C43" s="93">
        <f>1*10^100</f>
        <v>1E+100</v>
      </c>
      <c r="D43" s="87" t="s">
        <v>392</v>
      </c>
      <c r="E43" s="86" t="s">
        <v>323</v>
      </c>
      <c r="F43" s="88"/>
    </row>
    <row r="44" spans="1:6" ht="12.75">
      <c r="A44" s="84"/>
      <c r="B44" s="86"/>
      <c r="C44" s="93">
        <f>1*10^102</f>
        <v>1E+102</v>
      </c>
      <c r="D44" s="87" t="s">
        <v>393</v>
      </c>
      <c r="E44" s="86"/>
      <c r="F44" s="88" t="s">
        <v>318</v>
      </c>
    </row>
    <row r="45" spans="1:6" ht="12.75">
      <c r="A45" s="84"/>
      <c r="B45" s="86"/>
      <c r="C45" s="93">
        <f>1*10^108</f>
        <v>1E+108</v>
      </c>
      <c r="D45" s="90" t="s">
        <v>394</v>
      </c>
      <c r="E45" s="86"/>
      <c r="F45" s="88" t="s">
        <v>319</v>
      </c>
    </row>
    <row r="46" spans="1:6" ht="12.75">
      <c r="A46" s="84"/>
      <c r="B46" s="86"/>
      <c r="C46" s="93">
        <f>1*10^114</f>
        <v>1E+114</v>
      </c>
      <c r="D46" s="87" t="s">
        <v>395</v>
      </c>
      <c r="E46" s="86"/>
      <c r="F46" s="88" t="s">
        <v>320</v>
      </c>
    </row>
    <row r="47" spans="1:6" ht="12.75">
      <c r="A47" s="84"/>
      <c r="B47" s="86"/>
      <c r="C47" s="93">
        <f>1*10^120</f>
        <v>1E+120</v>
      </c>
      <c r="D47" s="87" t="s">
        <v>396</v>
      </c>
      <c r="E47" s="86"/>
      <c r="F47" s="88" t="s">
        <v>321</v>
      </c>
    </row>
    <row r="48" spans="1:6" ht="12.75">
      <c r="A48" s="84"/>
      <c r="B48" s="86"/>
      <c r="C48" s="93">
        <f>1*10^303</f>
        <v>1E+303</v>
      </c>
      <c r="D48" s="87" t="s">
        <v>397</v>
      </c>
      <c r="E48" s="86" t="s">
        <v>324</v>
      </c>
      <c r="F48" s="88"/>
    </row>
    <row r="49" spans="1:6" ht="12.75">
      <c r="A49" s="84"/>
      <c r="B49" s="86"/>
      <c r="C49" s="94" t="s">
        <v>325</v>
      </c>
      <c r="D49" s="95" t="s">
        <v>398</v>
      </c>
      <c r="E49" s="86"/>
      <c r="F49" s="88" t="s">
        <v>324</v>
      </c>
    </row>
    <row r="50" spans="1:6" ht="13.5" thickBot="1">
      <c r="A50" s="96"/>
      <c r="B50" s="97"/>
      <c r="C50" s="98" t="s">
        <v>399</v>
      </c>
      <c r="D50" s="97" t="s">
        <v>400</v>
      </c>
      <c r="E50" s="97" t="s">
        <v>326</v>
      </c>
      <c r="F50" s="99"/>
    </row>
    <row r="51" ht="13.5" thickTop="1"/>
  </sheetData>
  <printOptions/>
  <pageMargins left="0.75" right="0.75" top="0.61" bottom="0.58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Aeiveos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Bradbury</dc:creator>
  <cp:keywords/>
  <dc:description/>
  <cp:lastModifiedBy>Robert J. Bradbury</cp:lastModifiedBy>
  <dcterms:created xsi:type="dcterms:W3CDTF">1998-03-28T01:21:56Z</dcterms:created>
  <dcterms:modified xsi:type="dcterms:W3CDTF">2005-07-05T07:47:13Z</dcterms:modified>
  <cp:category/>
  <cp:version/>
  <cp:contentType/>
  <cp:contentStatus/>
</cp:coreProperties>
</file>