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2" activeTab="0"/>
  </bookViews>
  <sheets>
    <sheet name="01_01_05" sheetId="1" r:id="rId1"/>
    <sheet name="2005" sheetId="2" r:id="rId2"/>
    <sheet name="26_01_05" sheetId="3" r:id="rId3"/>
    <sheet name="01_02_05" sheetId="4" r:id="rId4"/>
    <sheet name="01_04_05" sheetId="5" r:id="rId5"/>
    <sheet name="01_05_05" sheetId="6" r:id="rId6"/>
    <sheet name="01_06_05" sheetId="7" r:id="rId7"/>
    <sheet name="01_07_05" sheetId="8" r:id="rId8"/>
    <sheet name="01_08_05" sheetId="9" r:id="rId9"/>
    <sheet name="Лист1" sheetId="10" r:id="rId10"/>
    <sheet name="01_09_05" sheetId="11" r:id="rId11"/>
    <sheet name="01_10_05" sheetId="12" r:id="rId12"/>
    <sheet name="01_11_05" sheetId="13" r:id="rId13"/>
    <sheet name="01_12_05" sheetId="14" r:id="rId14"/>
    <sheet name="Лист2" sheetId="15" r:id="rId15"/>
    <sheet name="01_01_06" sheetId="16" r:id="rId16"/>
    <sheet name="01_02_06" sheetId="17" r:id="rId17"/>
    <sheet name="01_03_06" sheetId="18" r:id="rId18"/>
    <sheet name="Лист3" sheetId="19" r:id="rId19"/>
    <sheet name="01_04_06" sheetId="20" r:id="rId20"/>
    <sheet name="01_05_06" sheetId="21" r:id="rId21"/>
    <sheet name="01_06_06" sheetId="22" r:id="rId22"/>
    <sheet name="01_07_06" sheetId="23" r:id="rId23"/>
    <sheet name="01_08_06" sheetId="24" r:id="rId24"/>
    <sheet name="01_09_06" sheetId="25" r:id="rId25"/>
    <sheet name="01_11_06" sheetId="26" r:id="rId26"/>
    <sheet name="01_10_06" sheetId="27" r:id="rId27"/>
    <sheet name="21_11_06" sheetId="28" r:id="rId28"/>
    <sheet name="01_12_06" sheetId="29" r:id="rId29"/>
    <sheet name="01_01_07" sheetId="30" r:id="rId30"/>
    <sheet name="свод" sheetId="31" r:id="rId31"/>
    <sheet name="Лист4" sheetId="32" r:id="rId32"/>
  </sheets>
  <definedNames>
    <definedName name="Excel_BuiltIn_Print_Area_1">'01_01_05'!$A$1:$Q$58</definedName>
    <definedName name="Excel_BuiltIn_Print_Area_4">'01_02_05'!$A$1:$N$43</definedName>
    <definedName name="Excel_BuiltIn_Print_Area_5">'01_04_05'!$A$1:$N$47</definedName>
    <definedName name="Excel_BuiltIn_Print_Area_3">'26_01_05'!$A$1:$N$41</definedName>
  </definedNames>
  <calcPr fullCalcOnLoad="1"/>
</workbook>
</file>

<file path=xl/sharedStrings.xml><?xml version="1.0" encoding="utf-8"?>
<sst xmlns="http://schemas.openxmlformats.org/spreadsheetml/2006/main" count="2091" uniqueCount="297">
  <si>
    <t>Наименование</t>
  </si>
  <si>
    <t>Сумма</t>
  </si>
  <si>
    <t xml:space="preserve">Срок </t>
  </si>
  <si>
    <t xml:space="preserve">Дата </t>
  </si>
  <si>
    <t>Обесп-ие кредита   (залог)</t>
  </si>
  <si>
    <t>Цена залога</t>
  </si>
  <si>
    <t>Оценочная</t>
  </si>
  <si>
    <t>%</t>
  </si>
  <si>
    <t>К-во</t>
  </si>
  <si>
    <t xml:space="preserve"> срок </t>
  </si>
  <si>
    <t xml:space="preserve">Динамика расчетов </t>
  </si>
  <si>
    <t>предприятия</t>
  </si>
  <si>
    <t>банка, в котором</t>
  </si>
  <si>
    <t xml:space="preserve">кредита, </t>
  </si>
  <si>
    <t>возврата</t>
  </si>
  <si>
    <t>составления</t>
  </si>
  <si>
    <t>предприятия,</t>
  </si>
  <si>
    <t>стоимость залога</t>
  </si>
  <si>
    <t xml:space="preserve">годовых </t>
  </si>
  <si>
    <t>дней</t>
  </si>
  <si>
    <t xml:space="preserve">уплаты % </t>
  </si>
  <si>
    <t>по % за кредит по сущ.на дату дог.</t>
  </si>
  <si>
    <t>взят кредит</t>
  </si>
  <si>
    <t>руб.</t>
  </si>
  <si>
    <t>долл $</t>
  </si>
  <si>
    <t>договора о</t>
  </si>
  <si>
    <t>наим-ие</t>
  </si>
  <si>
    <t>к-во</t>
  </si>
  <si>
    <t>банком, руб.</t>
  </si>
  <si>
    <t>на 1.07</t>
  </si>
  <si>
    <t>на 1.09</t>
  </si>
  <si>
    <t>начислено</t>
  </si>
  <si>
    <t>уплачено</t>
  </si>
  <si>
    <t>зад-сть</t>
  </si>
  <si>
    <t>залоге</t>
  </si>
  <si>
    <t>шт.</t>
  </si>
  <si>
    <t>фвап</t>
  </si>
  <si>
    <t>посл.раб.день</t>
  </si>
  <si>
    <t>вфап</t>
  </si>
  <si>
    <t>кон.мес.</t>
  </si>
  <si>
    <t>недвиж.имущество (ФОК Аксион)</t>
  </si>
  <si>
    <t>Итого</t>
  </si>
  <si>
    <t>нет</t>
  </si>
  <si>
    <t>Основные средства</t>
  </si>
  <si>
    <t>фап</t>
  </si>
  <si>
    <t>вфп</t>
  </si>
  <si>
    <t>вапфва</t>
  </si>
  <si>
    <t>пфвап</t>
  </si>
  <si>
    <t>ОАО "Аксион-Техмаш"</t>
  </si>
  <si>
    <t>вфапфвап</t>
  </si>
  <si>
    <t>3, 1,             2, 1</t>
  </si>
  <si>
    <t>в течении 10 раб.дней</t>
  </si>
  <si>
    <t>ОАО "Аксион-Строй"</t>
  </si>
  <si>
    <t>ОАО "Аксител"</t>
  </si>
  <si>
    <t>ОАО "Мобилбанк"</t>
  </si>
  <si>
    <t>24.07.2003г</t>
  </si>
  <si>
    <t>оборуд.</t>
  </si>
  <si>
    <t>ОАО "Аксион-Принт"</t>
  </si>
  <si>
    <t>ОАО "Рифей"</t>
  </si>
  <si>
    <t>ВСЕГО</t>
  </si>
  <si>
    <t>К возврату в январе 2005</t>
  </si>
  <si>
    <t>Исполнитель</t>
  </si>
  <si>
    <t>арыарпр</t>
  </si>
  <si>
    <t>тел. 53-58</t>
  </si>
  <si>
    <t>Банк</t>
  </si>
  <si>
    <t>кред.дог.</t>
  </si>
  <si>
    <t>дата сост</t>
  </si>
  <si>
    <t>дата возвр.</t>
  </si>
  <si>
    <t>дог.зал.тов.</t>
  </si>
  <si>
    <t>дог.зал.имущ.</t>
  </si>
  <si>
    <t>дог.поруч.</t>
  </si>
  <si>
    <t>дата</t>
  </si>
  <si>
    <t>вап</t>
  </si>
  <si>
    <t>8/1 А-Х</t>
  </si>
  <si>
    <t>фвапфвапфп</t>
  </si>
  <si>
    <t>6500-031/00078</t>
  </si>
  <si>
    <t>6500-031/00078/1 (прил6) А-Х</t>
  </si>
  <si>
    <t>6500-031/00078/2 (прил7) А-Х</t>
  </si>
  <si>
    <t>арраррыарапр</t>
  </si>
  <si>
    <t>аырыар</t>
  </si>
  <si>
    <t>фвапфвап</t>
  </si>
  <si>
    <t>фывап</t>
  </si>
  <si>
    <t>предпосл.раб.день</t>
  </si>
  <si>
    <t>фывапфывп</t>
  </si>
  <si>
    <t>фывпыфвп</t>
  </si>
  <si>
    <t>ыфвпывфп</t>
  </si>
  <si>
    <t>фвыап</t>
  </si>
  <si>
    <t>ывфпыфвп</t>
  </si>
  <si>
    <t>п</t>
  </si>
  <si>
    <t>с 24 по 31 число</t>
  </si>
  <si>
    <t>фвавапвафп</t>
  </si>
  <si>
    <t>19 088 00</t>
  </si>
  <si>
    <t>пфавпвфап</t>
  </si>
  <si>
    <t>фывпфыв</t>
  </si>
  <si>
    <t>вфапфва</t>
  </si>
  <si>
    <t>вафпвфап</t>
  </si>
  <si>
    <t>вфапвфап</t>
  </si>
  <si>
    <t>впвфапвапфвап</t>
  </si>
  <si>
    <t>вфапвфапвп</t>
  </si>
  <si>
    <t>фвавп</t>
  </si>
  <si>
    <t>ыапрыар</t>
  </si>
  <si>
    <t>фвапфвапфва</t>
  </si>
  <si>
    <t>фвапфвавфапп</t>
  </si>
  <si>
    <t>вафпфвп</t>
  </si>
  <si>
    <t>вфа</t>
  </si>
  <si>
    <t>до 24.03.05</t>
  </si>
  <si>
    <t>фвааапфвапфвап</t>
  </si>
  <si>
    <t>фвапфвапвфап</t>
  </si>
  <si>
    <t>станки</t>
  </si>
  <si>
    <t>вфапвфа</t>
  </si>
  <si>
    <t>фвапвфап</t>
  </si>
  <si>
    <t>фвапфвапфвап</t>
  </si>
  <si>
    <t>апфвап</t>
  </si>
  <si>
    <t>пффвап</t>
  </si>
  <si>
    <t>К возврату в феврале 2005</t>
  </si>
  <si>
    <t xml:space="preserve">пролонгирован </t>
  </si>
  <si>
    <t>Начальник финансового управления</t>
  </si>
  <si>
    <t>ыарыапр</t>
  </si>
  <si>
    <t>тел. 67-69</t>
  </si>
  <si>
    <t xml:space="preserve">С П Р А В К А </t>
  </si>
  <si>
    <t>фвапвфапфвапфвап</t>
  </si>
  <si>
    <t>(руб.)</t>
  </si>
  <si>
    <t>Наименование предприятия</t>
  </si>
  <si>
    <t>Наименование банка, в котором взят кредит</t>
  </si>
  <si>
    <t>Сумма кредита</t>
  </si>
  <si>
    <t>Срок возврата</t>
  </si>
  <si>
    <t>Дата составления договора о залоге</t>
  </si>
  <si>
    <t>Обеспечение кредита   (залог)</t>
  </si>
  <si>
    <t>Цена залога предприятия</t>
  </si>
  <si>
    <t>Оценочная стоимость залога</t>
  </si>
  <si>
    <t>% годовых</t>
  </si>
  <si>
    <t xml:space="preserve"> срок уплаты %</t>
  </si>
  <si>
    <t>в апреле</t>
  </si>
  <si>
    <t>20 числа</t>
  </si>
  <si>
    <t>ЭК1ТТ-07</t>
  </si>
  <si>
    <t>за март - первые 10 раб.дн.апр. за апр.- до 18 апр.</t>
  </si>
  <si>
    <t>К возврату в апреле 2005</t>
  </si>
  <si>
    <t>ап</t>
  </si>
  <si>
    <t>вапф</t>
  </si>
  <si>
    <t>ффвап</t>
  </si>
  <si>
    <t>МРДСП-01</t>
  </si>
  <si>
    <t>ДКИ-Н-04</t>
  </si>
  <si>
    <t>с 25 по предпосл. раб.д. м-ца</t>
  </si>
  <si>
    <t>К возврату в мае 2005</t>
  </si>
  <si>
    <t>в т.ч. АХ</t>
  </si>
  <si>
    <t>в т.ч.ИМЗ</t>
  </si>
  <si>
    <t>К возврату в июне 2005</t>
  </si>
  <si>
    <t>фвапп</t>
  </si>
  <si>
    <t>фваппвфап</t>
  </si>
  <si>
    <t>Внешторгбанк (ОАО)</t>
  </si>
  <si>
    <t>Урало-Сибирский Банк</t>
  </si>
  <si>
    <t>К возврату в июле 2005</t>
  </si>
  <si>
    <t>фвапф</t>
  </si>
  <si>
    <t>фвп</t>
  </si>
  <si>
    <t>фвапфвапвафп</t>
  </si>
  <si>
    <t>ОАО "Ижевский мотозавод "Аксион-холдинг"</t>
  </si>
  <si>
    <t>Межбизнесбанк</t>
  </si>
  <si>
    <t>Сбербанк                                (кред.линия 100 000 000)</t>
  </si>
  <si>
    <t>Бин-Банк                                 (кред.линия на 45 000 000)</t>
  </si>
  <si>
    <t>,</t>
  </si>
  <si>
    <t>Зеленина Е.А.   тел.59-56</t>
  </si>
  <si>
    <t>фвапфв</t>
  </si>
  <si>
    <t>фвапфва</t>
  </si>
  <si>
    <t>пфва</t>
  </si>
  <si>
    <t>аппа</t>
  </si>
  <si>
    <t>фвапфвп</t>
  </si>
  <si>
    <t>пвфап</t>
  </si>
  <si>
    <t>фп</t>
  </si>
  <si>
    <t>К возврату в октябре 2005</t>
  </si>
  <si>
    <t>рыара</t>
  </si>
  <si>
    <t>ыараы</t>
  </si>
  <si>
    <t>пвфа</t>
  </si>
  <si>
    <t>вафп</t>
  </si>
  <si>
    <t>с 21 по 31 число</t>
  </si>
  <si>
    <t>рповпроа</t>
  </si>
  <si>
    <t>арыарпа</t>
  </si>
  <si>
    <t>ЫВАВАААА</t>
  </si>
  <si>
    <t>ФВАП</t>
  </si>
  <si>
    <t>ПФВАП</t>
  </si>
  <si>
    <t>ПФВА</t>
  </si>
  <si>
    <t>ПВФА</t>
  </si>
  <si>
    <t>ВФА</t>
  </si>
  <si>
    <t>ВАФП</t>
  </si>
  <si>
    <t>ВФАП</t>
  </si>
  <si>
    <t>П</t>
  </si>
  <si>
    <t>ЫВАФВЫПФЫВП</t>
  </si>
  <si>
    <t>ФП</t>
  </si>
  <si>
    <t>ФВАПфвапвфап</t>
  </si>
  <si>
    <t>ФВАПФВАПвфап</t>
  </si>
  <si>
    <t>ФВАПФВАП</t>
  </si>
  <si>
    <t>ФВАПП</t>
  </si>
  <si>
    <t>ФВАПФП</t>
  </si>
  <si>
    <t>ФВАПВФАПФ</t>
  </si>
  <si>
    <t>ФВП</t>
  </si>
  <si>
    <t>ВФАПФВА</t>
  </si>
  <si>
    <t>ВП</t>
  </si>
  <si>
    <t>ФВАПФВАПФВАП</t>
  </si>
  <si>
    <t>ФВАПВФАПВФАП</t>
  </si>
  <si>
    <t>ФВАПФВАПВФАП</t>
  </si>
  <si>
    <t>ФВАПВФА</t>
  </si>
  <si>
    <t>ВАФ</t>
  </si>
  <si>
    <t>ПФВ</t>
  </si>
  <si>
    <t>0,1% единовременно не позднее 29.11.05, остальное 20 числа каждого месяца</t>
  </si>
  <si>
    <t>АП</t>
  </si>
  <si>
    <t>ВФАПФВАП</t>
  </si>
  <si>
    <t>К возврату в январе 2006 года</t>
  </si>
  <si>
    <t>ФВА</t>
  </si>
  <si>
    <t>АФП</t>
  </si>
  <si>
    <t>ПВ</t>
  </si>
  <si>
    <t>ФВАПВФАП</t>
  </si>
  <si>
    <t>ВФАПВФАПВАФП</t>
  </si>
  <si>
    <t>ФВАПФВАПВАФПВ</t>
  </si>
  <si>
    <t>ПВФАП</t>
  </si>
  <si>
    <t>ПВАФ</t>
  </si>
  <si>
    <t>21 числа каждого месяца</t>
  </si>
  <si>
    <t>кон. мес.</t>
  </si>
  <si>
    <t>К возврату в марте 2006 года</t>
  </si>
  <si>
    <t>ФВАФВАПВАФП</t>
  </si>
  <si>
    <t>ВФАПФВАПФВАПФВАП</t>
  </si>
  <si>
    <t>АПФВАП</t>
  </si>
  <si>
    <t>ПВФФВ</t>
  </si>
  <si>
    <t xml:space="preserve"> 20 числа каждого месяца</t>
  </si>
  <si>
    <t>ВФП</t>
  </si>
  <si>
    <t>Ыва</t>
  </si>
  <si>
    <t>ЫВА</t>
  </si>
  <si>
    <t>А</t>
  </si>
  <si>
    <t>ваф</t>
  </si>
  <si>
    <t>ЫА</t>
  </si>
  <si>
    <t>ЫваЫВАЫ</t>
  </si>
  <si>
    <t>К возврату в апреле 2006 года</t>
  </si>
  <si>
    <t>апвфа</t>
  </si>
  <si>
    <t>пваф</t>
  </si>
  <si>
    <t>13%        0,5% обсл. ссуд.сч.</t>
  </si>
  <si>
    <t>11,5%        1% обсл. ссуд.сч.</t>
  </si>
  <si>
    <t>поручительство Концерна Аксион</t>
  </si>
  <si>
    <t>вфапфвапфвап</t>
  </si>
  <si>
    <t>К возврату в мае 2006 года</t>
  </si>
  <si>
    <t>вфапвфапваф</t>
  </si>
  <si>
    <t>вапваф</t>
  </si>
  <si>
    <t>пф</t>
  </si>
  <si>
    <t>К возврату в июне 2006 года</t>
  </si>
  <si>
    <t>вфапвфапвфап</t>
  </si>
  <si>
    <t>фв</t>
  </si>
  <si>
    <t>вафвап</t>
  </si>
  <si>
    <t>вафпфв</t>
  </si>
  <si>
    <t>вфапфвапфва</t>
  </si>
  <si>
    <t>пва</t>
  </si>
  <si>
    <t>вф</t>
  </si>
  <si>
    <t>пвф</t>
  </si>
  <si>
    <t>апваф</t>
  </si>
  <si>
    <t>аф</t>
  </si>
  <si>
    <t>К возврату в августе 2006 года</t>
  </si>
  <si>
    <t>пв</t>
  </si>
  <si>
    <t>фвапвфа</t>
  </si>
  <si>
    <t>11%        1% обсл. ссуд.сч.</t>
  </si>
  <si>
    <t>67 312 000 (без НДС)</t>
  </si>
  <si>
    <t>67 880 000 (без НДС)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</si>
  <si>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</si>
  <si>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 возврату в сентябре 2006 года</t>
  </si>
  <si>
    <t>ппвфавфа</t>
  </si>
  <si>
    <t>вфапфв</t>
  </si>
  <si>
    <t>21.09.06.</t>
  </si>
  <si>
    <t>Всего</t>
  </si>
  <si>
    <t>К возврату в ноябре 2006 года</t>
  </si>
  <si>
    <t>фапвфап</t>
  </si>
  <si>
    <t>фвапвфапвфап</t>
  </si>
  <si>
    <t>афпвафпваф</t>
  </si>
  <si>
    <t>К возврату в октябре 2006 года</t>
  </si>
  <si>
    <t>фвапфвапвфа</t>
  </si>
  <si>
    <t>вфапвфапвафп</t>
  </si>
  <si>
    <t>фва</t>
  </si>
  <si>
    <t>пав</t>
  </si>
  <si>
    <t>пфв</t>
  </si>
  <si>
    <t>вафпв</t>
  </si>
  <si>
    <t>авфп</t>
  </si>
  <si>
    <t>апвф</t>
  </si>
  <si>
    <t>афп</t>
  </si>
  <si>
    <t>вфапа</t>
  </si>
  <si>
    <t>пфваппафв</t>
  </si>
  <si>
    <t>вапфв</t>
  </si>
  <si>
    <t>фвапфвпвфа</t>
  </si>
  <si>
    <t>вфапфвапвафп</t>
  </si>
  <si>
    <t>К возврату в декабре 2006 года</t>
  </si>
  <si>
    <t>фвапфвапфвапвфапвф</t>
  </si>
  <si>
    <t>пфвапвфапвфап</t>
  </si>
  <si>
    <t>фвапвафпфвап</t>
  </si>
  <si>
    <t>К возврату в январе 2007 года</t>
  </si>
  <si>
    <t>фвапфвапваф</t>
  </si>
  <si>
    <t>вфапва</t>
  </si>
  <si>
    <t>вфвфап</t>
  </si>
  <si>
    <t>фвапв</t>
  </si>
  <si>
    <t>фвапфвапвфапвфап</t>
  </si>
  <si>
    <t>фвапфвапвафпвап</t>
  </si>
  <si>
    <t>фвапфвапфвапфва</t>
  </si>
  <si>
    <t>вфапвфапвфа</t>
  </si>
  <si>
    <t>пвафп</t>
  </si>
  <si>
    <t>фвапфвапвап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</si>
</sst>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_р_."/>
    <numFmt numFmtId="166" formatCode="DD/MM/YYYY"/>
    <numFmt numFmtId="167" formatCode="0%"/>
    <numFmt numFmtId="168" formatCode="0.0%"/>
    <numFmt numFmtId="169" formatCode="_-* #,##0.00_р_._-;\-* #,##0.00_р_._-;_-* \-??_р_._-;_-@_-"/>
    <numFmt numFmtId="170" formatCode="@"/>
    <numFmt numFmtId="171" formatCode="#,##0_ ;\-#,##0\ "/>
    <numFmt numFmtId="172" formatCode="#,##0.00"/>
    <numFmt numFmtId="173" formatCode="#,##0"/>
  </numFmts>
  <fonts count="29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1"/>
      <name val="Arial Cyr"/>
      <family val="2"/>
    </font>
    <font>
      <b/>
      <i/>
      <sz val="11"/>
      <name val="Arial Cyr"/>
      <family val="2"/>
    </font>
    <font>
      <sz val="11"/>
      <name val="Arial Cyr"/>
      <family val="2"/>
    </font>
    <font>
      <b/>
      <i/>
      <sz val="12"/>
      <name val="Arial Cyr"/>
      <family val="2"/>
    </font>
    <font>
      <b/>
      <i/>
      <sz val="14"/>
      <name val="Arial Cyr"/>
      <family val="2"/>
    </font>
    <font>
      <b/>
      <i/>
      <sz val="12"/>
      <name val="Times New Roman Cyr"/>
      <family val="1"/>
    </font>
    <font>
      <i/>
      <sz val="10"/>
      <name val="Times New Roman Cyr"/>
      <family val="1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i/>
      <sz val="12"/>
      <name val="Times New Roman Cyr"/>
      <family val="1"/>
    </font>
    <font>
      <sz val="10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sz val="16"/>
      <name val="Arial Cyr"/>
      <family val="2"/>
    </font>
    <font>
      <b/>
      <sz val="14"/>
      <name val="Times New Roman Cyr"/>
      <family val="1"/>
    </font>
    <font>
      <b/>
      <i/>
      <sz val="14"/>
      <name val="Times New Roman Cyr"/>
      <family val="1"/>
    </font>
    <font>
      <sz val="14"/>
      <name val="Times New Roman Cyr"/>
      <family val="1"/>
    </font>
    <font>
      <sz val="16"/>
      <name val="Times New Roman Cyr"/>
      <family val="1"/>
    </font>
    <font>
      <i/>
      <sz val="14"/>
      <name val="Times New Roman Cyr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4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3" fillId="2" borderId="1" xfId="0" applyFont="1" applyFill="1" applyBorder="1" applyAlignment="1">
      <alignment horizontal="center"/>
    </xf>
    <xf numFmtId="164" fontId="3" fillId="2" borderId="2" xfId="0" applyFont="1" applyFill="1" applyBorder="1" applyAlignment="1">
      <alignment horizontal="center"/>
    </xf>
    <xf numFmtId="164" fontId="3" fillId="2" borderId="3" xfId="0" applyFont="1" applyFill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2" borderId="5" xfId="0" applyFont="1" applyFill="1" applyBorder="1" applyAlignment="1">
      <alignment horizontal="center"/>
    </xf>
    <xf numFmtId="164" fontId="3" fillId="0" borderId="6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3" fillId="2" borderId="7" xfId="0" applyFont="1" applyFill="1" applyBorder="1" applyAlignment="1">
      <alignment horizontal="center"/>
    </xf>
    <xf numFmtId="164" fontId="3" fillId="2" borderId="0" xfId="0" applyFont="1" applyFill="1" applyBorder="1" applyAlignment="1">
      <alignment horizontal="center"/>
    </xf>
    <xf numFmtId="164" fontId="3" fillId="2" borderId="8" xfId="0" applyFont="1" applyFill="1" applyBorder="1" applyAlignment="1">
      <alignment horizontal="center"/>
    </xf>
    <xf numFmtId="164" fontId="3" fillId="2" borderId="9" xfId="0" applyFont="1" applyFill="1" applyBorder="1" applyAlignment="1">
      <alignment horizontal="center"/>
    </xf>
    <xf numFmtId="164" fontId="3" fillId="2" borderId="10" xfId="0" applyFont="1" applyFill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11" xfId="0" applyFont="1" applyBorder="1" applyAlignment="1">
      <alignment horizontal="center"/>
    </xf>
    <xf numFmtId="164" fontId="2" fillId="0" borderId="12" xfId="0" applyFont="1" applyBorder="1" applyAlignment="1">
      <alignment horizontal="center"/>
    </xf>
    <xf numFmtId="164" fontId="4" fillId="2" borderId="13" xfId="0" applyFont="1" applyFill="1" applyBorder="1" applyAlignment="1">
      <alignment horizontal="center"/>
    </xf>
    <xf numFmtId="164" fontId="4" fillId="2" borderId="14" xfId="0" applyFont="1" applyFill="1" applyBorder="1" applyAlignment="1">
      <alignment horizontal="center"/>
    </xf>
    <xf numFmtId="164" fontId="4" fillId="2" borderId="15" xfId="0" applyFont="1" applyFill="1" applyBorder="1" applyAlignment="1">
      <alignment horizontal="center"/>
    </xf>
    <xf numFmtId="164" fontId="3" fillId="2" borderId="15" xfId="0" applyFont="1" applyFill="1" applyBorder="1" applyAlignment="1">
      <alignment horizontal="center"/>
    </xf>
    <xf numFmtId="164" fontId="4" fillId="2" borderId="16" xfId="0" applyFont="1" applyFill="1" applyBorder="1" applyAlignment="1">
      <alignment horizontal="center"/>
    </xf>
    <xf numFmtId="164" fontId="4" fillId="2" borderId="10" xfId="0" applyFont="1" applyFill="1" applyBorder="1" applyAlignment="1">
      <alignment horizontal="center"/>
    </xf>
    <xf numFmtId="164" fontId="4" fillId="2" borderId="17" xfId="0" applyFont="1" applyFill="1" applyBorder="1" applyAlignment="1">
      <alignment horizontal="center"/>
    </xf>
    <xf numFmtId="164" fontId="4" fillId="0" borderId="0" xfId="0" applyFont="1" applyAlignment="1">
      <alignment horizontal="center"/>
    </xf>
    <xf numFmtId="164" fontId="3" fillId="0" borderId="1" xfId="0" applyFont="1" applyBorder="1" applyAlignment="1">
      <alignment/>
    </xf>
    <xf numFmtId="164" fontId="0" fillId="0" borderId="18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6" fontId="2" fillId="0" borderId="4" xfId="0" applyNumberFormat="1" applyFont="1" applyBorder="1" applyAlignment="1">
      <alignment horizontal="center" wrapText="1"/>
    </xf>
    <xf numFmtId="166" fontId="0" fillId="0" borderId="4" xfId="0" applyNumberFormat="1" applyBorder="1" applyAlignment="1">
      <alignment horizontal="center"/>
    </xf>
    <xf numFmtId="164" fontId="0" fillId="0" borderId="4" xfId="0" applyBorder="1" applyAlignment="1">
      <alignment horizontal="center"/>
    </xf>
    <xf numFmtId="167" fontId="2" fillId="0" borderId="4" xfId="0" applyNumberFormat="1" applyFont="1" applyBorder="1" applyAlignment="1">
      <alignment horizontal="center"/>
    </xf>
    <xf numFmtId="164" fontId="0" fillId="0" borderId="19" xfId="0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4" fontId="0" fillId="0" borderId="12" xfId="0" applyBorder="1" applyAlignment="1">
      <alignment/>
    </xf>
    <xf numFmtId="164" fontId="3" fillId="0" borderId="7" xfId="0" applyFont="1" applyBorder="1" applyAlignment="1">
      <alignment/>
    </xf>
    <xf numFmtId="164" fontId="0" fillId="0" borderId="20" xfId="0" applyFon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6" fontId="2" fillId="0" borderId="21" xfId="0" applyNumberFormat="1" applyFon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64" fontId="0" fillId="0" borderId="21" xfId="0" applyFont="1" applyFill="1" applyBorder="1" applyAlignment="1">
      <alignment horizontal="center"/>
    </xf>
    <xf numFmtId="164" fontId="0" fillId="0" borderId="21" xfId="0" applyBorder="1" applyAlignment="1">
      <alignment horizontal="center"/>
    </xf>
    <xf numFmtId="167" fontId="2" fillId="0" borderId="21" xfId="0" applyNumberFormat="1" applyFont="1" applyBorder="1" applyAlignment="1">
      <alignment horizontal="center"/>
    </xf>
    <xf numFmtId="167" fontId="0" fillId="0" borderId="22" xfId="0" applyNumberFormat="1" applyFont="1" applyBorder="1" applyAlignment="1">
      <alignment horizontal="center"/>
    </xf>
    <xf numFmtId="164" fontId="0" fillId="0" borderId="20" xfId="0" applyFont="1" applyBorder="1" applyAlignment="1">
      <alignment horizontal="center" wrapText="1"/>
    </xf>
    <xf numFmtId="168" fontId="2" fillId="0" borderId="21" xfId="0" applyNumberFormat="1" applyFont="1" applyBorder="1" applyAlignment="1">
      <alignment horizontal="center"/>
    </xf>
    <xf numFmtId="167" fontId="0" fillId="0" borderId="23" xfId="0" applyNumberFormat="1" applyFont="1" applyBorder="1" applyAlignment="1">
      <alignment horizontal="center" vertical="center" wrapText="1"/>
    </xf>
    <xf numFmtId="164" fontId="0" fillId="0" borderId="17" xfId="0" applyFont="1" applyFill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6" fontId="2" fillId="0" borderId="17" xfId="0" applyNumberFormat="1" applyFon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164" fontId="0" fillId="0" borderId="21" xfId="0" applyFont="1" applyBorder="1" applyAlignment="1">
      <alignment horizontal="center" wrapText="1"/>
    </xf>
    <xf numFmtId="164" fontId="0" fillId="0" borderId="17" xfId="0" applyBorder="1" applyAlignment="1">
      <alignment horizontal="center"/>
    </xf>
    <xf numFmtId="167" fontId="0" fillId="0" borderId="17" xfId="0" applyNumberFormat="1" applyBorder="1" applyAlignment="1">
      <alignment horizontal="center"/>
    </xf>
    <xf numFmtId="167" fontId="0" fillId="0" borderId="24" xfId="0" applyNumberFormat="1" applyBorder="1" applyAlignment="1">
      <alignment horizontal="center"/>
    </xf>
    <xf numFmtId="165" fontId="0" fillId="0" borderId="12" xfId="0" applyNumberFormat="1" applyBorder="1" applyAlignment="1">
      <alignment/>
    </xf>
    <xf numFmtId="165" fontId="0" fillId="0" borderId="8" xfId="0" applyNumberFormat="1" applyBorder="1" applyAlignment="1">
      <alignment/>
    </xf>
    <xf numFmtId="165" fontId="0" fillId="0" borderId="11" xfId="0" applyNumberFormat="1" applyBorder="1" applyAlignment="1">
      <alignment horizontal="center"/>
    </xf>
    <xf numFmtId="166" fontId="2" fillId="0" borderId="11" xfId="0" applyNumberFormat="1" applyFon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4" fontId="0" fillId="0" borderId="11" xfId="0" applyBorder="1" applyAlignment="1">
      <alignment horizontal="center"/>
    </xf>
    <xf numFmtId="168" fontId="2" fillId="0" borderId="11" xfId="0" applyNumberFormat="1" applyFont="1" applyBorder="1" applyAlignment="1">
      <alignment horizontal="center"/>
    </xf>
    <xf numFmtId="164" fontId="3" fillId="0" borderId="13" xfId="0" applyFont="1" applyBorder="1" applyAlignment="1">
      <alignment horizontal="right"/>
    </xf>
    <xf numFmtId="164" fontId="4" fillId="3" borderId="25" xfId="0" applyFont="1" applyFill="1" applyBorder="1" applyAlignment="1">
      <alignment horizontal="right"/>
    </xf>
    <xf numFmtId="165" fontId="3" fillId="3" borderId="25" xfId="0" applyNumberFormat="1" applyFont="1" applyFill="1" applyBorder="1" applyAlignment="1">
      <alignment horizontal="center"/>
    </xf>
    <xf numFmtId="165" fontId="3" fillId="3" borderId="26" xfId="0" applyNumberFormat="1" applyFont="1" applyFill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3" fillId="0" borderId="17" xfId="0" applyNumberFormat="1" applyFont="1" applyBorder="1" applyAlignment="1">
      <alignment horizontal="center"/>
    </xf>
    <xf numFmtId="164" fontId="3" fillId="0" borderId="10" xfId="0" applyFont="1" applyBorder="1" applyAlignment="1">
      <alignment/>
    </xf>
    <xf numFmtId="164" fontId="3" fillId="0" borderId="0" xfId="0" applyFont="1" applyAlignment="1">
      <alignment/>
    </xf>
    <xf numFmtId="164" fontId="0" fillId="0" borderId="4" xfId="0" applyFont="1" applyFill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7" fontId="0" fillId="0" borderId="4" xfId="0" applyNumberFormat="1" applyBorder="1" applyAlignment="1">
      <alignment horizontal="center"/>
    </xf>
    <xf numFmtId="167" fontId="0" fillId="0" borderId="5" xfId="0" applyNumberFormat="1" applyFont="1" applyBorder="1" applyAlignment="1">
      <alignment horizontal="center"/>
    </xf>
    <xf numFmtId="167" fontId="0" fillId="0" borderId="21" xfId="0" applyNumberFormat="1" applyFont="1" applyBorder="1" applyAlignment="1">
      <alignment horizontal="center"/>
    </xf>
    <xf numFmtId="164" fontId="4" fillId="3" borderId="11" xfId="0" applyFont="1" applyFill="1" applyBorder="1" applyAlignment="1">
      <alignment horizontal="right"/>
    </xf>
    <xf numFmtId="165" fontId="3" fillId="3" borderId="11" xfId="0" applyNumberFormat="1" applyFont="1" applyFill="1" applyBorder="1" applyAlignment="1">
      <alignment horizontal="center"/>
    </xf>
    <xf numFmtId="165" fontId="3" fillId="3" borderId="27" xfId="0" applyNumberFormat="1" applyFont="1" applyFill="1" applyBorder="1" applyAlignment="1">
      <alignment horizontal="center"/>
    </xf>
    <xf numFmtId="164" fontId="3" fillId="0" borderId="1" xfId="0" applyFont="1" applyFill="1" applyBorder="1" applyAlignment="1">
      <alignment/>
    </xf>
    <xf numFmtId="165" fontId="0" fillId="0" borderId="21" xfId="0" applyNumberFormat="1" applyFill="1" applyBorder="1" applyAlignment="1">
      <alignment horizontal="center"/>
    </xf>
    <xf numFmtId="166" fontId="2" fillId="0" borderId="21" xfId="0" applyNumberFormat="1" applyFont="1" applyFill="1" applyBorder="1" applyAlignment="1">
      <alignment horizontal="center"/>
    </xf>
    <xf numFmtId="166" fontId="0" fillId="0" borderId="21" xfId="0" applyNumberFormat="1" applyFill="1" applyBorder="1" applyAlignment="1">
      <alignment horizontal="center"/>
    </xf>
    <xf numFmtId="167" fontId="0" fillId="0" borderId="4" xfId="0" applyNumberFormat="1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4" fontId="0" fillId="0" borderId="28" xfId="0" applyFill="1" applyBorder="1" applyAlignment="1">
      <alignment horizontal="center" vertical="center"/>
    </xf>
    <xf numFmtId="165" fontId="0" fillId="0" borderId="12" xfId="0" applyNumberFormat="1" applyFill="1" applyBorder="1" applyAlignment="1">
      <alignment horizontal="center"/>
    </xf>
    <xf numFmtId="165" fontId="0" fillId="0" borderId="8" xfId="0" applyNumberFormat="1" applyFill="1" applyBorder="1" applyAlignment="1">
      <alignment horizontal="center"/>
    </xf>
    <xf numFmtId="164" fontId="0" fillId="0" borderId="12" xfId="0" applyFill="1" applyBorder="1" applyAlignment="1">
      <alignment/>
    </xf>
    <xf numFmtId="164" fontId="0" fillId="0" borderId="0" xfId="0" applyFill="1" applyAlignment="1">
      <alignment/>
    </xf>
    <xf numFmtId="164" fontId="0" fillId="0" borderId="7" xfId="0" applyFont="1" applyFill="1" applyBorder="1" applyAlignment="1">
      <alignment/>
    </xf>
    <xf numFmtId="164" fontId="0" fillId="0" borderId="29" xfId="0" applyFill="1" applyBorder="1" applyAlignment="1">
      <alignment horizontal="center"/>
    </xf>
    <xf numFmtId="165" fontId="0" fillId="0" borderId="17" xfId="0" applyNumberFormat="1" applyFill="1" applyBorder="1" applyAlignment="1">
      <alignment horizontal="center"/>
    </xf>
    <xf numFmtId="166" fontId="0" fillId="0" borderId="17" xfId="0" applyNumberFormat="1" applyFill="1" applyBorder="1" applyAlignment="1">
      <alignment horizontal="center"/>
    </xf>
    <xf numFmtId="165" fontId="0" fillId="0" borderId="21" xfId="0" applyNumberFormat="1" applyFill="1" applyBorder="1" applyAlignment="1">
      <alignment horizontal="center" vertical="center"/>
    </xf>
    <xf numFmtId="167" fontId="0" fillId="0" borderId="21" xfId="0" applyNumberFormat="1" applyFill="1" applyBorder="1" applyAlignment="1">
      <alignment horizontal="center" vertical="center"/>
    </xf>
    <xf numFmtId="165" fontId="0" fillId="0" borderId="12" xfId="0" applyNumberFormat="1" applyFill="1" applyBorder="1" applyAlignment="1">
      <alignment/>
    </xf>
    <xf numFmtId="165" fontId="0" fillId="0" borderId="8" xfId="0" applyNumberFormat="1" applyFill="1" applyBorder="1" applyAlignment="1">
      <alignment/>
    </xf>
    <xf numFmtId="164" fontId="0" fillId="0" borderId="20" xfId="0" applyFill="1" applyBorder="1" applyAlignment="1">
      <alignment horizontal="center"/>
    </xf>
    <xf numFmtId="167" fontId="0" fillId="0" borderId="21" xfId="0" applyNumberFormat="1" applyFill="1" applyBorder="1" applyAlignment="1">
      <alignment horizontal="center"/>
    </xf>
    <xf numFmtId="164" fontId="3" fillId="0" borderId="1" xfId="0" applyFont="1" applyFill="1" applyBorder="1" applyAlignment="1">
      <alignment horizontal="center"/>
    </xf>
    <xf numFmtId="164" fontId="0" fillId="0" borderId="21" xfId="0" applyFont="1" applyFill="1" applyBorder="1" applyAlignment="1">
      <alignment horizontal="center" wrapText="1"/>
    </xf>
    <xf numFmtId="166" fontId="0" fillId="0" borderId="21" xfId="0" applyNumberFormat="1" applyFill="1" applyBorder="1" applyAlignment="1">
      <alignment horizontal="left"/>
    </xf>
    <xf numFmtId="164" fontId="0" fillId="0" borderId="30" xfId="0" applyBorder="1" applyAlignment="1">
      <alignment horizontal="left"/>
    </xf>
    <xf numFmtId="167" fontId="0" fillId="0" borderId="22" xfId="0" applyNumberFormat="1" applyFill="1" applyBorder="1" applyAlignment="1">
      <alignment horizontal="center" vertical="center" wrapText="1"/>
    </xf>
    <xf numFmtId="164" fontId="3" fillId="0" borderId="7" xfId="0" applyFont="1" applyFill="1" applyBorder="1" applyAlignment="1">
      <alignment horizontal="center"/>
    </xf>
    <xf numFmtId="165" fontId="3" fillId="3" borderId="31" xfId="0" applyNumberFormat="1" applyFont="1" applyFill="1" applyBorder="1" applyAlignment="1">
      <alignment horizontal="center"/>
    </xf>
    <xf numFmtId="165" fontId="3" fillId="3" borderId="32" xfId="0" applyNumberFormat="1" applyFont="1" applyFill="1" applyBorder="1" applyAlignment="1">
      <alignment horizontal="center"/>
    </xf>
    <xf numFmtId="165" fontId="3" fillId="3" borderId="33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165" fontId="3" fillId="0" borderId="17" xfId="0" applyNumberFormat="1" applyFont="1" applyFill="1" applyBorder="1" applyAlignment="1">
      <alignment horizontal="center"/>
    </xf>
    <xf numFmtId="164" fontId="3" fillId="0" borderId="10" xfId="0" applyFont="1" applyFill="1" applyBorder="1" applyAlignment="1">
      <alignment/>
    </xf>
    <xf numFmtId="164" fontId="0" fillId="0" borderId="2" xfId="0" applyFont="1" applyBorder="1" applyAlignment="1">
      <alignment horizontal="center"/>
    </xf>
    <xf numFmtId="165" fontId="0" fillId="0" borderId="3" xfId="0" applyNumberFormat="1" applyFon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4" fontId="0" fillId="0" borderId="3" xfId="0" applyFont="1" applyFill="1" applyBorder="1" applyAlignment="1">
      <alignment horizontal="center" wrapText="1"/>
    </xf>
    <xf numFmtId="164" fontId="0" fillId="0" borderId="3" xfId="0" applyFont="1" applyBorder="1" applyAlignment="1">
      <alignment horizontal="center" wrapText="1"/>
    </xf>
    <xf numFmtId="167" fontId="0" fillId="0" borderId="3" xfId="0" applyNumberFormat="1" applyBorder="1" applyAlignment="1">
      <alignment horizontal="center"/>
    </xf>
    <xf numFmtId="167" fontId="0" fillId="0" borderId="5" xfId="0" applyNumberFormat="1" applyFont="1" applyBorder="1" applyAlignment="1">
      <alignment horizontal="left" wrapText="1"/>
    </xf>
    <xf numFmtId="164" fontId="3" fillId="0" borderId="12" xfId="0" applyFont="1" applyBorder="1" applyAlignment="1">
      <alignment/>
    </xf>
    <xf numFmtId="164" fontId="0" fillId="0" borderId="0" xfId="0" applyFont="1" applyBorder="1" applyAlignment="1">
      <alignment horizontal="center"/>
    </xf>
    <xf numFmtId="166" fontId="2" fillId="0" borderId="8" xfId="0" applyNumberFormat="1" applyFon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4" fontId="0" fillId="0" borderId="8" xfId="0" applyFont="1" applyFill="1" applyBorder="1" applyAlignment="1">
      <alignment horizontal="center"/>
    </xf>
    <xf numFmtId="164" fontId="0" fillId="0" borderId="8" xfId="0" applyBorder="1" applyAlignment="1">
      <alignment horizontal="center"/>
    </xf>
    <xf numFmtId="167" fontId="0" fillId="0" borderId="8" xfId="0" applyNumberFormat="1" applyBorder="1" applyAlignment="1">
      <alignment horizontal="center"/>
    </xf>
    <xf numFmtId="167" fontId="0" fillId="0" borderId="9" xfId="0" applyNumberFormat="1" applyBorder="1" applyAlignment="1">
      <alignment horizontal="center"/>
    </xf>
    <xf numFmtId="169" fontId="0" fillId="0" borderId="0" xfId="0" applyNumberFormat="1" applyFont="1" applyBorder="1" applyAlignment="1">
      <alignment horizontal="center"/>
    </xf>
    <xf numFmtId="164" fontId="0" fillId="0" borderId="34" xfId="0" applyBorder="1" applyAlignment="1">
      <alignment/>
    </xf>
    <xf numFmtId="164" fontId="0" fillId="0" borderId="0" xfId="0" applyBorder="1" applyAlignment="1">
      <alignment/>
    </xf>
    <xf numFmtId="165" fontId="0" fillId="0" borderId="8" xfId="0" applyNumberFormat="1" applyFont="1" applyBorder="1" applyAlignment="1">
      <alignment horizontal="center"/>
    </xf>
    <xf numFmtId="167" fontId="0" fillId="0" borderId="9" xfId="0" applyNumberFormat="1" applyBorder="1" applyAlignment="1">
      <alignment horizontal="left"/>
    </xf>
    <xf numFmtId="164" fontId="3" fillId="0" borderId="35" xfId="0" applyFont="1" applyBorder="1" applyAlignment="1">
      <alignment/>
    </xf>
    <xf numFmtId="164" fontId="4" fillId="3" borderId="17" xfId="0" applyFont="1" applyFill="1" applyBorder="1" applyAlignment="1">
      <alignment horizontal="right"/>
    </xf>
    <xf numFmtId="165" fontId="3" fillId="3" borderId="17" xfId="0" applyNumberFormat="1" applyFont="1" applyFill="1" applyBorder="1" applyAlignment="1">
      <alignment horizontal="center"/>
    </xf>
    <xf numFmtId="165" fontId="3" fillId="0" borderId="29" xfId="0" applyNumberFormat="1" applyFont="1" applyBorder="1" applyAlignment="1">
      <alignment horizontal="center"/>
    </xf>
    <xf numFmtId="165" fontId="3" fillId="3" borderId="36" xfId="0" applyNumberFormat="1" applyFont="1" applyFill="1" applyBorder="1" applyAlignment="1">
      <alignment horizontal="center"/>
    </xf>
    <xf numFmtId="164" fontId="0" fillId="3" borderId="36" xfId="0" applyFill="1" applyBorder="1" applyAlignment="1">
      <alignment horizontal="center"/>
    </xf>
    <xf numFmtId="164" fontId="0" fillId="3" borderId="10" xfId="0" applyFill="1" applyBorder="1" applyAlignment="1">
      <alignment horizontal="center"/>
    </xf>
    <xf numFmtId="165" fontId="3" fillId="3" borderId="29" xfId="0" applyNumberFormat="1" applyFont="1" applyFill="1" applyBorder="1" applyAlignment="1">
      <alignment horizontal="center"/>
    </xf>
    <xf numFmtId="165" fontId="3" fillId="3" borderId="37" xfId="0" applyNumberFormat="1" applyFont="1" applyFill="1" applyBorder="1" applyAlignment="1">
      <alignment horizontal="center"/>
    </xf>
    <xf numFmtId="164" fontId="0" fillId="0" borderId="17" xfId="0" applyBorder="1" applyAlignment="1">
      <alignment/>
    </xf>
    <xf numFmtId="164" fontId="3" fillId="0" borderId="7" xfId="0" applyFont="1" applyBorder="1" applyAlignment="1">
      <alignment horizontal="right"/>
    </xf>
    <xf numFmtId="164" fontId="3" fillId="0" borderId="0" xfId="0" applyFont="1" applyBorder="1" applyAlignment="1">
      <alignment horizontal="right"/>
    </xf>
    <xf numFmtId="165" fontId="3" fillId="0" borderId="8" xfId="0" applyNumberFormat="1" applyFont="1" applyBorder="1" applyAlignment="1">
      <alignment horizontal="center"/>
    </xf>
    <xf numFmtId="164" fontId="2" fillId="0" borderId="8" xfId="0" applyFont="1" applyBorder="1" applyAlignment="1">
      <alignment horizontal="center"/>
    </xf>
    <xf numFmtId="164" fontId="0" fillId="0" borderId="9" xfId="0" applyBorder="1" applyAlignment="1">
      <alignment horizontal="center"/>
    </xf>
    <xf numFmtId="164" fontId="3" fillId="0" borderId="35" xfId="0" applyFont="1" applyBorder="1" applyAlignment="1">
      <alignment horizontal="right"/>
    </xf>
    <xf numFmtId="164" fontId="3" fillId="0" borderId="10" xfId="0" applyFont="1" applyBorder="1" applyAlignment="1">
      <alignment horizontal="right"/>
    </xf>
    <xf numFmtId="164" fontId="2" fillId="0" borderId="17" xfId="0" applyFont="1" applyBorder="1" applyAlignment="1">
      <alignment horizontal="center"/>
    </xf>
    <xf numFmtId="164" fontId="0" fillId="0" borderId="24" xfId="0" applyBorder="1" applyAlignment="1">
      <alignment horizontal="center"/>
    </xf>
    <xf numFmtId="165" fontId="0" fillId="0" borderId="10" xfId="0" applyNumberFormat="1" applyBorder="1" applyAlignment="1">
      <alignment/>
    </xf>
    <xf numFmtId="165" fontId="0" fillId="0" borderId="17" xfId="0" applyNumberFormat="1" applyBorder="1" applyAlignment="1">
      <alignment/>
    </xf>
    <xf numFmtId="164" fontId="0" fillId="0" borderId="10" xfId="0" applyBorder="1" applyAlignment="1">
      <alignment/>
    </xf>
    <xf numFmtId="164" fontId="3" fillId="0" borderId="7" xfId="0" applyFont="1" applyBorder="1" applyAlignment="1">
      <alignment horizontal="center"/>
    </xf>
    <xf numFmtId="164" fontId="5" fillId="0" borderId="11" xfId="0" applyFont="1" applyBorder="1" applyAlignment="1">
      <alignment horizontal="center"/>
    </xf>
    <xf numFmtId="165" fontId="5" fillId="4" borderId="12" xfId="0" applyNumberFormat="1" applyFont="1" applyFill="1" applyBorder="1" applyAlignment="1">
      <alignment horizontal="center"/>
    </xf>
    <xf numFmtId="165" fontId="5" fillId="4" borderId="8" xfId="0" applyNumberFormat="1" applyFont="1" applyFill="1" applyBorder="1" applyAlignment="1">
      <alignment horizontal="center"/>
    </xf>
    <xf numFmtId="164" fontId="3" fillId="4" borderId="8" xfId="0" applyFont="1" applyFill="1" applyBorder="1" applyAlignment="1">
      <alignment horizontal="center"/>
    </xf>
    <xf numFmtId="166" fontId="5" fillId="0" borderId="8" xfId="0" applyNumberFormat="1" applyFont="1" applyBorder="1" applyAlignment="1">
      <alignment horizontal="center"/>
    </xf>
    <xf numFmtId="164" fontId="5" fillId="0" borderId="8" xfId="0" applyFont="1" applyBorder="1" applyAlignment="1">
      <alignment horizontal="center"/>
    </xf>
    <xf numFmtId="165" fontId="5" fillId="0" borderId="8" xfId="0" applyNumberFormat="1" applyFont="1" applyBorder="1" applyAlignment="1">
      <alignment horizontal="center"/>
    </xf>
    <xf numFmtId="167" fontId="5" fillId="0" borderId="8" xfId="0" applyNumberFormat="1" applyFont="1" applyBorder="1" applyAlignment="1">
      <alignment horizontal="center"/>
    </xf>
    <xf numFmtId="167" fontId="5" fillId="0" borderId="9" xfId="0" applyNumberFormat="1" applyFont="1" applyBorder="1" applyAlignment="1">
      <alignment horizontal="center"/>
    </xf>
    <xf numFmtId="165" fontId="5" fillId="0" borderId="12" xfId="0" applyNumberFormat="1" applyFont="1" applyBorder="1" applyAlignment="1">
      <alignment/>
    </xf>
    <xf numFmtId="165" fontId="5" fillId="0" borderId="8" xfId="0" applyNumberFormat="1" applyFont="1" applyBorder="1" applyAlignment="1">
      <alignment/>
    </xf>
    <xf numFmtId="164" fontId="5" fillId="0" borderId="12" xfId="0" applyFont="1" applyBorder="1" applyAlignment="1">
      <alignment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3" fillId="0" borderId="35" xfId="0" applyFont="1" applyBorder="1" applyAlignment="1">
      <alignment horizontal="center"/>
    </xf>
    <xf numFmtId="164" fontId="3" fillId="0" borderId="17" xfId="0" applyFont="1" applyBorder="1" applyAlignment="1">
      <alignment horizontal="right"/>
    </xf>
    <xf numFmtId="164" fontId="5" fillId="0" borderId="17" xfId="0" applyFont="1" applyBorder="1" applyAlignment="1">
      <alignment horizontal="center"/>
    </xf>
    <xf numFmtId="164" fontId="5" fillId="0" borderId="36" xfId="0" applyFont="1" applyBorder="1" applyAlignment="1">
      <alignment horizontal="center"/>
    </xf>
    <xf numFmtId="166" fontId="5" fillId="0" borderId="17" xfId="0" applyNumberFormat="1" applyFont="1" applyBorder="1" applyAlignment="1">
      <alignment horizontal="center"/>
    </xf>
    <xf numFmtId="165" fontId="5" fillId="0" borderId="17" xfId="0" applyNumberFormat="1" applyFont="1" applyBorder="1" applyAlignment="1">
      <alignment horizontal="center"/>
    </xf>
    <xf numFmtId="167" fontId="5" fillId="0" borderId="17" xfId="0" applyNumberFormat="1" applyFont="1" applyBorder="1" applyAlignment="1">
      <alignment horizontal="center"/>
    </xf>
    <xf numFmtId="167" fontId="5" fillId="0" borderId="24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/>
    </xf>
    <xf numFmtId="165" fontId="5" fillId="0" borderId="17" xfId="0" applyNumberFormat="1" applyFont="1" applyBorder="1" applyAlignment="1">
      <alignment/>
    </xf>
    <xf numFmtId="164" fontId="5" fillId="0" borderId="10" xfId="0" applyFont="1" applyBorder="1" applyAlignment="1">
      <alignment/>
    </xf>
    <xf numFmtId="164" fontId="6" fillId="5" borderId="38" xfId="0" applyFont="1" applyFill="1" applyBorder="1" applyAlignment="1">
      <alignment horizontal="center"/>
    </xf>
    <xf numFmtId="165" fontId="6" fillId="5" borderId="25" xfId="0" applyNumberFormat="1" applyFont="1" applyFill="1" applyBorder="1" applyAlignment="1">
      <alignment/>
    </xf>
    <xf numFmtId="165" fontId="6" fillId="0" borderId="25" xfId="0" applyNumberFormat="1" applyFont="1" applyFill="1" applyBorder="1" applyAlignment="1">
      <alignment/>
    </xf>
    <xf numFmtId="164" fontId="6" fillId="0" borderId="31" xfId="0" applyFont="1" applyFill="1" applyBorder="1" applyAlignment="1">
      <alignment/>
    </xf>
    <xf numFmtId="164" fontId="6" fillId="0" borderId="32" xfId="0" applyFont="1" applyFill="1" applyBorder="1" applyAlignment="1">
      <alignment/>
    </xf>
    <xf numFmtId="164" fontId="6" fillId="0" borderId="33" xfId="0" applyFont="1" applyFill="1" applyBorder="1" applyAlignment="1">
      <alignment/>
    </xf>
    <xf numFmtId="165" fontId="6" fillId="0" borderId="12" xfId="0" applyNumberFormat="1" applyFont="1" applyBorder="1" applyAlignment="1">
      <alignment/>
    </xf>
    <xf numFmtId="165" fontId="6" fillId="0" borderId="8" xfId="0" applyNumberFormat="1" applyFont="1" applyBorder="1" applyAlignment="1">
      <alignment/>
    </xf>
    <xf numFmtId="164" fontId="6" fillId="0" borderId="0" xfId="0" applyFont="1" applyAlignment="1">
      <alignment/>
    </xf>
    <xf numFmtId="165" fontId="6" fillId="0" borderId="0" xfId="0" applyNumberFormat="1" applyFont="1" applyBorder="1" applyAlignment="1">
      <alignment horizontal="right"/>
    </xf>
    <xf numFmtId="165" fontId="7" fillId="0" borderId="0" xfId="0" applyNumberFormat="1" applyFont="1" applyBorder="1" applyAlignment="1">
      <alignment/>
    </xf>
    <xf numFmtId="164" fontId="0" fillId="0" borderId="0" xfId="0" applyFont="1" applyBorder="1" applyAlignment="1">
      <alignment horizontal="left"/>
    </xf>
    <xf numFmtId="164" fontId="2" fillId="0" borderId="0" xfId="0" applyFont="1" applyBorder="1" applyAlignment="1">
      <alignment/>
    </xf>
    <xf numFmtId="164" fontId="8" fillId="0" borderId="0" xfId="0" applyFont="1" applyBorder="1" applyAlignment="1">
      <alignment horizontal="right"/>
    </xf>
    <xf numFmtId="165" fontId="6" fillId="0" borderId="0" xfId="0" applyNumberFormat="1" applyFont="1" applyBorder="1" applyAlignment="1">
      <alignment/>
    </xf>
    <xf numFmtId="164" fontId="9" fillId="0" borderId="0" xfId="0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164" fontId="11" fillId="0" borderId="0" xfId="0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/>
    </xf>
    <xf numFmtId="164" fontId="12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13" fillId="0" borderId="0" xfId="0" applyFont="1" applyBorder="1" applyAlignment="1">
      <alignment/>
    </xf>
    <xf numFmtId="164" fontId="14" fillId="0" borderId="0" xfId="0" applyFont="1" applyBorder="1" applyAlignment="1">
      <alignment/>
    </xf>
    <xf numFmtId="164" fontId="14" fillId="0" borderId="0" xfId="0" applyFont="1" applyAlignment="1">
      <alignment/>
    </xf>
    <xf numFmtId="164" fontId="15" fillId="0" borderId="0" xfId="0" applyFont="1" applyAlignment="1">
      <alignment horizontal="left"/>
    </xf>
    <xf numFmtId="164" fontId="2" fillId="0" borderId="39" xfId="0" applyFont="1" applyBorder="1" applyAlignment="1">
      <alignment/>
    </xf>
    <xf numFmtId="164" fontId="2" fillId="0" borderId="40" xfId="0" applyFont="1" applyBorder="1" applyAlignment="1">
      <alignment/>
    </xf>
    <xf numFmtId="164" fontId="2" fillId="0" borderId="41" xfId="0" applyFont="1" applyBorder="1" applyAlignment="1">
      <alignment/>
    </xf>
    <xf numFmtId="164" fontId="2" fillId="0" borderId="42" xfId="0" applyFont="1" applyBorder="1" applyAlignment="1">
      <alignment/>
    </xf>
    <xf numFmtId="164" fontId="0" fillId="0" borderId="1" xfId="0" applyFont="1" applyBorder="1" applyAlignment="1">
      <alignment/>
    </xf>
    <xf numFmtId="164" fontId="0" fillId="0" borderId="3" xfId="0" applyBorder="1" applyAlignment="1">
      <alignment/>
    </xf>
    <xf numFmtId="166" fontId="0" fillId="0" borderId="3" xfId="0" applyNumberFormat="1" applyBorder="1" applyAlignment="1">
      <alignment/>
    </xf>
    <xf numFmtId="166" fontId="0" fillId="0" borderId="43" xfId="0" applyNumberFormat="1" applyBorder="1" applyAlignment="1">
      <alignment/>
    </xf>
    <xf numFmtId="170" fontId="0" fillId="0" borderId="1" xfId="0" applyNumberFormat="1" applyFont="1" applyBorder="1" applyAlignment="1">
      <alignment horizontal="right"/>
    </xf>
    <xf numFmtId="170" fontId="0" fillId="0" borderId="3" xfId="0" applyNumberFormat="1" applyBorder="1" applyAlignment="1">
      <alignment/>
    </xf>
    <xf numFmtId="166" fontId="0" fillId="0" borderId="5" xfId="0" applyNumberFormat="1" applyBorder="1" applyAlignment="1">
      <alignment/>
    </xf>
    <xf numFmtId="164" fontId="0" fillId="0" borderId="44" xfId="0" applyFont="1" applyBorder="1" applyAlignment="1">
      <alignment/>
    </xf>
    <xf numFmtId="164" fontId="0" fillId="0" borderId="4" xfId="0" applyFont="1" applyBorder="1" applyAlignment="1">
      <alignment/>
    </xf>
    <xf numFmtId="166" fontId="0" fillId="0" borderId="4" xfId="0" applyNumberFormat="1" applyBorder="1" applyAlignment="1">
      <alignment/>
    </xf>
    <xf numFmtId="166" fontId="0" fillId="0" borderId="18" xfId="0" applyNumberFormat="1" applyBorder="1" applyAlignment="1">
      <alignment/>
    </xf>
    <xf numFmtId="166" fontId="0" fillId="0" borderId="28" xfId="0" applyNumberFormat="1" applyBorder="1" applyAlignment="1">
      <alignment/>
    </xf>
    <xf numFmtId="164" fontId="0" fillId="0" borderId="38" xfId="0" applyBorder="1" applyAlignment="1">
      <alignment/>
    </xf>
    <xf numFmtId="164" fontId="0" fillId="0" borderId="25" xfId="0" applyBorder="1" applyAlignment="1">
      <alignment/>
    </xf>
    <xf numFmtId="166" fontId="0" fillId="0" borderId="25" xfId="0" applyNumberFormat="1" applyBorder="1" applyAlignment="1">
      <alignment/>
    </xf>
    <xf numFmtId="164" fontId="0" fillId="0" borderId="31" xfId="0" applyBorder="1" applyAlignment="1">
      <alignment/>
    </xf>
    <xf numFmtId="166" fontId="0" fillId="0" borderId="27" xfId="0" applyNumberFormat="1" applyBorder="1" applyAlignment="1">
      <alignment/>
    </xf>
    <xf numFmtId="164" fontId="0" fillId="0" borderId="39" xfId="0" applyFont="1" applyBorder="1" applyAlignment="1">
      <alignment/>
    </xf>
    <xf numFmtId="164" fontId="0" fillId="0" borderId="40" xfId="0" applyBorder="1" applyAlignment="1">
      <alignment/>
    </xf>
    <xf numFmtId="166" fontId="0" fillId="0" borderId="40" xfId="0" applyNumberFormat="1" applyBorder="1" applyAlignment="1">
      <alignment/>
    </xf>
    <xf numFmtId="166" fontId="0" fillId="0" borderId="41" xfId="0" applyNumberFormat="1" applyBorder="1" applyAlignment="1">
      <alignment/>
    </xf>
    <xf numFmtId="164" fontId="0" fillId="0" borderId="40" xfId="0" applyFont="1" applyBorder="1" applyAlignment="1">
      <alignment horizontal="right"/>
    </xf>
    <xf numFmtId="166" fontId="0" fillId="0" borderId="42" xfId="0" applyNumberFormat="1" applyBorder="1" applyAlignment="1">
      <alignment/>
    </xf>
    <xf numFmtId="164" fontId="0" fillId="0" borderId="35" xfId="0" applyBorder="1" applyAlignment="1">
      <alignment/>
    </xf>
    <xf numFmtId="166" fontId="0" fillId="0" borderId="17" xfId="0" applyNumberFormat="1" applyBorder="1" applyAlignment="1">
      <alignment/>
    </xf>
    <xf numFmtId="164" fontId="0" fillId="0" borderId="29" xfId="0" applyBorder="1" applyAlignment="1">
      <alignment/>
    </xf>
    <xf numFmtId="164" fontId="0" fillId="0" borderId="35" xfId="0" applyBorder="1" applyAlignment="1">
      <alignment horizontal="right"/>
    </xf>
    <xf numFmtId="164" fontId="0" fillId="0" borderId="24" xfId="0" applyBorder="1" applyAlignment="1">
      <alignment/>
    </xf>
    <xf numFmtId="164" fontId="0" fillId="0" borderId="45" xfId="0" applyBorder="1" applyAlignment="1">
      <alignment/>
    </xf>
    <xf numFmtId="164" fontId="0" fillId="0" borderId="21" xfId="0" applyBorder="1" applyAlignment="1">
      <alignment/>
    </xf>
    <xf numFmtId="166" fontId="0" fillId="0" borderId="21" xfId="0" applyNumberFormat="1" applyBorder="1" applyAlignment="1">
      <alignment/>
    </xf>
    <xf numFmtId="164" fontId="0" fillId="0" borderId="20" xfId="0" applyBorder="1" applyAlignment="1">
      <alignment/>
    </xf>
    <xf numFmtId="164" fontId="0" fillId="0" borderId="45" xfId="0" applyBorder="1" applyAlignment="1">
      <alignment horizontal="right"/>
    </xf>
    <xf numFmtId="164" fontId="0" fillId="0" borderId="22" xfId="0" applyBorder="1" applyAlignment="1">
      <alignment/>
    </xf>
    <xf numFmtId="164" fontId="0" fillId="0" borderId="38" xfId="0" applyBorder="1" applyAlignment="1">
      <alignment horizontal="right"/>
    </xf>
    <xf numFmtId="164" fontId="0" fillId="0" borderId="27" xfId="0" applyBorder="1" applyAlignment="1">
      <alignment/>
    </xf>
    <xf numFmtId="164" fontId="16" fillId="2" borderId="1" xfId="0" applyFont="1" applyFill="1" applyBorder="1" applyAlignment="1">
      <alignment horizontal="center"/>
    </xf>
    <xf numFmtId="164" fontId="16" fillId="2" borderId="2" xfId="0" applyFont="1" applyFill="1" applyBorder="1" applyAlignment="1">
      <alignment horizontal="center"/>
    </xf>
    <xf numFmtId="164" fontId="16" fillId="2" borderId="3" xfId="0" applyFont="1" applyFill="1" applyBorder="1" applyAlignment="1">
      <alignment horizontal="center"/>
    </xf>
    <xf numFmtId="164" fontId="16" fillId="0" borderId="4" xfId="0" applyFont="1" applyBorder="1" applyAlignment="1">
      <alignment horizontal="center"/>
    </xf>
    <xf numFmtId="164" fontId="16" fillId="2" borderId="5" xfId="0" applyFont="1" applyFill="1" applyBorder="1" applyAlignment="1">
      <alignment horizontal="center"/>
    </xf>
    <xf numFmtId="164" fontId="16" fillId="0" borderId="6" xfId="0" applyFont="1" applyBorder="1" applyAlignment="1">
      <alignment horizontal="center"/>
    </xf>
    <xf numFmtId="164" fontId="16" fillId="0" borderId="0" xfId="0" applyFont="1" applyAlignment="1">
      <alignment horizontal="center"/>
    </xf>
    <xf numFmtId="164" fontId="16" fillId="2" borderId="7" xfId="0" applyFont="1" applyFill="1" applyBorder="1" applyAlignment="1">
      <alignment horizontal="center"/>
    </xf>
    <xf numFmtId="164" fontId="16" fillId="2" borderId="0" xfId="0" applyFont="1" applyFill="1" applyBorder="1" applyAlignment="1">
      <alignment horizontal="center"/>
    </xf>
    <xf numFmtId="164" fontId="16" fillId="2" borderId="8" xfId="0" applyFont="1" applyFill="1" applyBorder="1" applyAlignment="1">
      <alignment horizontal="center"/>
    </xf>
    <xf numFmtId="164" fontId="16" fillId="2" borderId="9" xfId="0" applyFont="1" applyFill="1" applyBorder="1" applyAlignment="1">
      <alignment horizontal="center"/>
    </xf>
    <xf numFmtId="164" fontId="16" fillId="2" borderId="10" xfId="0" applyFont="1" applyFill="1" applyBorder="1" applyAlignment="1">
      <alignment horizontal="center"/>
    </xf>
    <xf numFmtId="164" fontId="16" fillId="0" borderId="11" xfId="0" applyFont="1" applyBorder="1" applyAlignment="1">
      <alignment horizontal="center"/>
    </xf>
    <xf numFmtId="164" fontId="16" fillId="0" borderId="12" xfId="0" applyFont="1" applyBorder="1" applyAlignment="1">
      <alignment horizontal="center"/>
    </xf>
    <xf numFmtId="164" fontId="8" fillId="2" borderId="13" xfId="0" applyFont="1" applyFill="1" applyBorder="1" applyAlignment="1">
      <alignment horizontal="center"/>
    </xf>
    <xf numFmtId="164" fontId="8" fillId="2" borderId="14" xfId="0" applyFont="1" applyFill="1" applyBorder="1" applyAlignment="1">
      <alignment horizontal="center"/>
    </xf>
    <xf numFmtId="164" fontId="8" fillId="2" borderId="15" xfId="0" applyFont="1" applyFill="1" applyBorder="1" applyAlignment="1">
      <alignment horizontal="center"/>
    </xf>
    <xf numFmtId="164" fontId="16" fillId="2" borderId="15" xfId="0" applyFont="1" applyFill="1" applyBorder="1" applyAlignment="1">
      <alignment horizontal="center"/>
    </xf>
    <xf numFmtId="164" fontId="8" fillId="2" borderId="16" xfId="0" applyFont="1" applyFill="1" applyBorder="1" applyAlignment="1">
      <alignment horizontal="center"/>
    </xf>
    <xf numFmtId="164" fontId="8" fillId="2" borderId="10" xfId="0" applyFont="1" applyFill="1" applyBorder="1" applyAlignment="1">
      <alignment horizontal="center"/>
    </xf>
    <xf numFmtId="164" fontId="8" fillId="2" borderId="17" xfId="0" applyFont="1" applyFill="1" applyBorder="1" applyAlignment="1">
      <alignment horizontal="center"/>
    </xf>
    <xf numFmtId="164" fontId="8" fillId="0" borderId="0" xfId="0" applyFont="1" applyAlignment="1">
      <alignment horizontal="center"/>
    </xf>
    <xf numFmtId="164" fontId="16" fillId="0" borderId="7" xfId="0" applyFont="1" applyBorder="1" applyAlignment="1">
      <alignment/>
    </xf>
    <xf numFmtId="164" fontId="17" fillId="0" borderId="20" xfId="0" applyFont="1" applyBorder="1" applyAlignment="1">
      <alignment horizontal="center"/>
    </xf>
    <xf numFmtId="165" fontId="17" fillId="0" borderId="21" xfId="0" applyNumberFormat="1" applyFont="1" applyBorder="1" applyAlignment="1">
      <alignment horizontal="center"/>
    </xf>
    <xf numFmtId="166" fontId="17" fillId="0" borderId="21" xfId="0" applyNumberFormat="1" applyFont="1" applyBorder="1" applyAlignment="1">
      <alignment horizontal="center"/>
    </xf>
    <xf numFmtId="164" fontId="17" fillId="0" borderId="21" xfId="0" applyFont="1" applyFill="1" applyBorder="1" applyAlignment="1">
      <alignment horizontal="center"/>
    </xf>
    <xf numFmtId="164" fontId="17" fillId="0" borderId="21" xfId="0" applyFont="1" applyBorder="1" applyAlignment="1">
      <alignment horizontal="center"/>
    </xf>
    <xf numFmtId="167" fontId="17" fillId="0" borderId="21" xfId="0" applyNumberFormat="1" applyFont="1" applyBorder="1" applyAlignment="1">
      <alignment horizontal="center"/>
    </xf>
    <xf numFmtId="167" fontId="17" fillId="0" borderId="22" xfId="0" applyNumberFormat="1" applyFont="1" applyBorder="1" applyAlignment="1">
      <alignment horizontal="center"/>
    </xf>
    <xf numFmtId="165" fontId="17" fillId="0" borderId="12" xfId="0" applyNumberFormat="1" applyFont="1" applyBorder="1" applyAlignment="1">
      <alignment horizontal="center"/>
    </xf>
    <xf numFmtId="165" fontId="17" fillId="0" borderId="8" xfId="0" applyNumberFormat="1" applyFont="1" applyBorder="1" applyAlignment="1">
      <alignment horizontal="center"/>
    </xf>
    <xf numFmtId="164" fontId="17" fillId="0" borderId="12" xfId="0" applyFont="1" applyBorder="1" applyAlignment="1">
      <alignment/>
    </xf>
    <xf numFmtId="164" fontId="17" fillId="0" borderId="0" xfId="0" applyFont="1" applyAlignment="1">
      <alignment/>
    </xf>
    <xf numFmtId="164" fontId="17" fillId="0" borderId="20" xfId="0" applyFont="1" applyBorder="1" applyAlignment="1">
      <alignment horizontal="center" wrapText="1"/>
    </xf>
    <xf numFmtId="168" fontId="17" fillId="0" borderId="21" xfId="0" applyNumberFormat="1" applyFont="1" applyBorder="1" applyAlignment="1">
      <alignment horizontal="center"/>
    </xf>
    <xf numFmtId="167" fontId="17" fillId="0" borderId="23" xfId="0" applyNumberFormat="1" applyFont="1" applyBorder="1" applyAlignment="1">
      <alignment horizontal="center" vertical="center" wrapText="1"/>
    </xf>
    <xf numFmtId="164" fontId="17" fillId="0" borderId="11" xfId="0" applyFont="1" applyBorder="1" applyAlignment="1">
      <alignment horizontal="center" wrapText="1"/>
    </xf>
    <xf numFmtId="165" fontId="17" fillId="0" borderId="11" xfId="0" applyNumberFormat="1" applyFont="1" applyBorder="1" applyAlignment="1">
      <alignment horizontal="center"/>
    </xf>
    <xf numFmtId="166" fontId="17" fillId="0" borderId="11" xfId="0" applyNumberFormat="1" applyFont="1" applyBorder="1" applyAlignment="1">
      <alignment horizontal="center"/>
    </xf>
    <xf numFmtId="164" fontId="17" fillId="0" borderId="11" xfId="0" applyFont="1" applyFill="1" applyBorder="1" applyAlignment="1">
      <alignment horizontal="center"/>
    </xf>
    <xf numFmtId="164" fontId="17" fillId="0" borderId="11" xfId="0" applyFont="1" applyBorder="1" applyAlignment="1">
      <alignment horizontal="center"/>
    </xf>
    <xf numFmtId="168" fontId="17" fillId="0" borderId="11" xfId="0" applyNumberFormat="1" applyFont="1" applyBorder="1" applyAlignment="1">
      <alignment horizontal="center"/>
    </xf>
    <xf numFmtId="167" fontId="17" fillId="0" borderId="26" xfId="0" applyNumberFormat="1" applyFont="1" applyBorder="1" applyAlignment="1">
      <alignment horizontal="center" vertical="center" wrapText="1"/>
    </xf>
    <xf numFmtId="164" fontId="17" fillId="0" borderId="8" xfId="0" applyFont="1" applyBorder="1" applyAlignment="1">
      <alignment horizontal="center" wrapText="1"/>
    </xf>
    <xf numFmtId="166" fontId="17" fillId="0" borderId="8" xfId="0" applyNumberFormat="1" applyFont="1" applyBorder="1" applyAlignment="1">
      <alignment horizontal="center"/>
    </xf>
    <xf numFmtId="164" fontId="17" fillId="0" borderId="8" xfId="0" applyFont="1" applyFill="1" applyBorder="1" applyAlignment="1">
      <alignment horizontal="center"/>
    </xf>
    <xf numFmtId="164" fontId="17" fillId="0" borderId="8" xfId="0" applyFont="1" applyBorder="1" applyAlignment="1">
      <alignment horizontal="center"/>
    </xf>
    <xf numFmtId="168" fontId="17" fillId="0" borderId="8" xfId="0" applyNumberFormat="1" applyFont="1" applyBorder="1" applyAlignment="1">
      <alignment horizontal="center"/>
    </xf>
    <xf numFmtId="167" fontId="17" fillId="0" borderId="9" xfId="0" applyNumberFormat="1" applyFont="1" applyBorder="1" applyAlignment="1">
      <alignment horizontal="center" vertical="center" wrapText="1"/>
    </xf>
    <xf numFmtId="164" fontId="17" fillId="0" borderId="17" xfId="0" applyFont="1" applyBorder="1" applyAlignment="1">
      <alignment horizontal="center" wrapText="1"/>
    </xf>
    <xf numFmtId="165" fontId="17" fillId="0" borderId="17" xfId="0" applyNumberFormat="1" applyFont="1" applyBorder="1" applyAlignment="1">
      <alignment horizontal="center"/>
    </xf>
    <xf numFmtId="166" fontId="17" fillId="0" borderId="17" xfId="0" applyNumberFormat="1" applyFont="1" applyBorder="1" applyAlignment="1">
      <alignment horizontal="center"/>
    </xf>
    <xf numFmtId="164" fontId="17" fillId="0" borderId="17" xfId="0" applyFont="1" applyFill="1" applyBorder="1" applyAlignment="1">
      <alignment horizontal="center"/>
    </xf>
    <xf numFmtId="164" fontId="17" fillId="0" borderId="17" xfId="0" applyFont="1" applyBorder="1" applyAlignment="1">
      <alignment horizontal="center"/>
    </xf>
    <xf numFmtId="168" fontId="17" fillId="0" borderId="17" xfId="0" applyNumberFormat="1" applyFont="1" applyBorder="1" applyAlignment="1">
      <alignment horizontal="center"/>
    </xf>
    <xf numFmtId="167" fontId="17" fillId="0" borderId="24" xfId="0" applyNumberFormat="1" applyFont="1" applyBorder="1" applyAlignment="1">
      <alignment horizontal="center" vertical="center" wrapText="1"/>
    </xf>
    <xf numFmtId="167" fontId="17" fillId="0" borderId="17" xfId="0" applyNumberFormat="1" applyFont="1" applyBorder="1" applyAlignment="1">
      <alignment horizontal="center"/>
    </xf>
    <xf numFmtId="167" fontId="17" fillId="0" borderId="24" xfId="0" applyNumberFormat="1" applyFont="1" applyBorder="1" applyAlignment="1">
      <alignment horizontal="center"/>
    </xf>
    <xf numFmtId="165" fontId="17" fillId="0" borderId="12" xfId="0" applyNumberFormat="1" applyFont="1" applyBorder="1" applyAlignment="1">
      <alignment/>
    </xf>
    <xf numFmtId="165" fontId="17" fillId="0" borderId="8" xfId="0" applyNumberFormat="1" applyFont="1" applyBorder="1" applyAlignment="1">
      <alignment/>
    </xf>
    <xf numFmtId="164" fontId="16" fillId="0" borderId="13" xfId="0" applyFont="1" applyBorder="1" applyAlignment="1">
      <alignment horizontal="right"/>
    </xf>
    <xf numFmtId="164" fontId="8" fillId="3" borderId="25" xfId="0" applyFont="1" applyFill="1" applyBorder="1" applyAlignment="1">
      <alignment horizontal="right"/>
    </xf>
    <xf numFmtId="165" fontId="16" fillId="3" borderId="25" xfId="0" applyNumberFormat="1" applyFont="1" applyFill="1" applyBorder="1" applyAlignment="1">
      <alignment horizontal="center"/>
    </xf>
    <xf numFmtId="165" fontId="17" fillId="3" borderId="25" xfId="0" applyNumberFormat="1" applyFont="1" applyFill="1" applyBorder="1" applyAlignment="1">
      <alignment horizontal="center"/>
    </xf>
    <xf numFmtId="165" fontId="16" fillId="3" borderId="26" xfId="0" applyNumberFormat="1" applyFont="1" applyFill="1" applyBorder="1" applyAlignment="1">
      <alignment horizontal="center"/>
    </xf>
    <xf numFmtId="165" fontId="16" fillId="0" borderId="10" xfId="0" applyNumberFormat="1" applyFont="1" applyBorder="1" applyAlignment="1">
      <alignment horizontal="center"/>
    </xf>
    <xf numFmtId="165" fontId="16" fillId="0" borderId="17" xfId="0" applyNumberFormat="1" applyFont="1" applyBorder="1" applyAlignment="1">
      <alignment horizontal="center"/>
    </xf>
    <xf numFmtId="164" fontId="16" fillId="0" borderId="10" xfId="0" applyFont="1" applyBorder="1" applyAlignment="1">
      <alignment/>
    </xf>
    <xf numFmtId="164" fontId="16" fillId="0" borderId="0" xfId="0" applyFont="1" applyAlignment="1">
      <alignment/>
    </xf>
    <xf numFmtId="164" fontId="17" fillId="0" borderId="4" xfId="0" applyFont="1" applyFill="1" applyBorder="1" applyAlignment="1">
      <alignment horizontal="center"/>
    </xf>
    <xf numFmtId="165" fontId="17" fillId="0" borderId="4" xfId="0" applyNumberFormat="1" applyFont="1" applyBorder="1" applyAlignment="1">
      <alignment horizontal="center"/>
    </xf>
    <xf numFmtId="166" fontId="17" fillId="0" borderId="4" xfId="0" applyNumberFormat="1" applyFont="1" applyBorder="1" applyAlignment="1">
      <alignment horizontal="center"/>
    </xf>
    <xf numFmtId="164" fontId="17" fillId="0" borderId="4" xfId="0" applyFont="1" applyBorder="1" applyAlignment="1">
      <alignment horizontal="center"/>
    </xf>
    <xf numFmtId="167" fontId="17" fillId="0" borderId="4" xfId="0" applyNumberFormat="1" applyFont="1" applyBorder="1" applyAlignment="1">
      <alignment horizontal="center"/>
    </xf>
    <xf numFmtId="167" fontId="17" fillId="0" borderId="5" xfId="0" applyNumberFormat="1" applyFont="1" applyBorder="1" applyAlignment="1">
      <alignment horizontal="center"/>
    </xf>
    <xf numFmtId="164" fontId="17" fillId="0" borderId="21" xfId="0" applyFont="1" applyBorder="1" applyAlignment="1">
      <alignment horizontal="center" wrapText="1"/>
    </xf>
    <xf numFmtId="164" fontId="8" fillId="3" borderId="11" xfId="0" applyFont="1" applyFill="1" applyBorder="1" applyAlignment="1">
      <alignment horizontal="right"/>
    </xf>
    <xf numFmtId="165" fontId="16" fillId="3" borderId="11" xfId="0" applyNumberFormat="1" applyFont="1" applyFill="1" applyBorder="1" applyAlignment="1">
      <alignment horizontal="center"/>
    </xf>
    <xf numFmtId="165" fontId="16" fillId="3" borderId="27" xfId="0" applyNumberFormat="1" applyFont="1" applyFill="1" applyBorder="1" applyAlignment="1">
      <alignment horizontal="center"/>
    </xf>
    <xf numFmtId="164" fontId="16" fillId="0" borderId="1" xfId="0" applyFont="1" applyFill="1" applyBorder="1" applyAlignment="1">
      <alignment/>
    </xf>
    <xf numFmtId="165" fontId="17" fillId="0" borderId="21" xfId="0" applyNumberFormat="1" applyFont="1" applyFill="1" applyBorder="1" applyAlignment="1">
      <alignment horizontal="center"/>
    </xf>
    <xf numFmtId="166" fontId="16" fillId="0" borderId="21" xfId="0" applyNumberFormat="1" applyFont="1" applyFill="1" applyBorder="1" applyAlignment="1">
      <alignment horizontal="center"/>
    </xf>
    <xf numFmtId="166" fontId="17" fillId="0" borderId="21" xfId="0" applyNumberFormat="1" applyFont="1" applyFill="1" applyBorder="1" applyAlignment="1">
      <alignment horizontal="center"/>
    </xf>
    <xf numFmtId="167" fontId="17" fillId="0" borderId="4" xfId="0" applyNumberFormat="1" applyFont="1" applyFill="1" applyBorder="1" applyAlignment="1">
      <alignment horizontal="center" vertical="center"/>
    </xf>
    <xf numFmtId="164" fontId="17" fillId="0" borderId="28" xfId="0" applyFont="1" applyFill="1" applyBorder="1" applyAlignment="1">
      <alignment horizontal="center" vertical="center"/>
    </xf>
    <xf numFmtId="165" fontId="17" fillId="0" borderId="12" xfId="0" applyNumberFormat="1" applyFont="1" applyFill="1" applyBorder="1" applyAlignment="1">
      <alignment horizontal="center"/>
    </xf>
    <xf numFmtId="165" fontId="17" fillId="0" borderId="8" xfId="0" applyNumberFormat="1" applyFont="1" applyFill="1" applyBorder="1" applyAlignment="1">
      <alignment horizontal="center"/>
    </xf>
    <xf numFmtId="164" fontId="17" fillId="0" borderId="12" xfId="0" applyFont="1" applyFill="1" applyBorder="1" applyAlignment="1">
      <alignment/>
    </xf>
    <xf numFmtId="164" fontId="17" fillId="0" borderId="0" xfId="0" applyFont="1" applyFill="1" applyAlignment="1">
      <alignment/>
    </xf>
    <xf numFmtId="164" fontId="17" fillId="0" borderId="7" xfId="0" applyFont="1" applyFill="1" applyBorder="1" applyAlignment="1">
      <alignment/>
    </xf>
    <xf numFmtId="164" fontId="17" fillId="0" borderId="29" xfId="0" applyFont="1" applyFill="1" applyBorder="1" applyAlignment="1">
      <alignment horizontal="center"/>
    </xf>
    <xf numFmtId="165" fontId="17" fillId="0" borderId="17" xfId="0" applyNumberFormat="1" applyFont="1" applyFill="1" applyBorder="1" applyAlignment="1">
      <alignment horizontal="center"/>
    </xf>
    <xf numFmtId="166" fontId="17" fillId="0" borderId="17" xfId="0" applyNumberFormat="1" applyFont="1" applyFill="1" applyBorder="1" applyAlignment="1">
      <alignment horizontal="center"/>
    </xf>
    <xf numFmtId="165" fontId="17" fillId="0" borderId="12" xfId="0" applyNumberFormat="1" applyFont="1" applyFill="1" applyBorder="1" applyAlignment="1">
      <alignment/>
    </xf>
    <xf numFmtId="165" fontId="17" fillId="0" borderId="8" xfId="0" applyNumberFormat="1" applyFont="1" applyFill="1" applyBorder="1" applyAlignment="1">
      <alignment/>
    </xf>
    <xf numFmtId="164" fontId="17" fillId="0" borderId="20" xfId="0" applyFont="1" applyFill="1" applyBorder="1" applyAlignment="1">
      <alignment horizontal="center"/>
    </xf>
    <xf numFmtId="167" fontId="17" fillId="0" borderId="21" xfId="0" applyNumberFormat="1" applyFont="1" applyFill="1" applyBorder="1" applyAlignment="1">
      <alignment horizontal="center"/>
    </xf>
    <xf numFmtId="164" fontId="8" fillId="5" borderId="38" xfId="0" applyFont="1" applyFill="1" applyBorder="1" applyAlignment="1">
      <alignment horizontal="center"/>
    </xf>
    <xf numFmtId="165" fontId="8" fillId="5" borderId="25" xfId="0" applyNumberFormat="1" applyFont="1" applyFill="1" applyBorder="1" applyAlignment="1">
      <alignment/>
    </xf>
    <xf numFmtId="164" fontId="8" fillId="0" borderId="31" xfId="0" applyFont="1" applyFill="1" applyBorder="1" applyAlignment="1">
      <alignment/>
    </xf>
    <xf numFmtId="164" fontId="8" fillId="0" borderId="33" xfId="0" applyFont="1" applyFill="1" applyBorder="1" applyAlignment="1">
      <alignment/>
    </xf>
    <xf numFmtId="165" fontId="8" fillId="0" borderId="12" xfId="0" applyNumberFormat="1" applyFont="1" applyBorder="1" applyAlignment="1">
      <alignment/>
    </xf>
    <xf numFmtId="165" fontId="8" fillId="0" borderId="8" xfId="0" applyNumberFormat="1" applyFont="1" applyBorder="1" applyAlignment="1">
      <alignment/>
    </xf>
    <xf numFmtId="164" fontId="16" fillId="0" borderId="12" xfId="0" applyFont="1" applyBorder="1" applyAlignment="1">
      <alignment/>
    </xf>
    <xf numFmtId="164" fontId="8" fillId="0" borderId="0" xfId="0" applyFont="1" applyAlignment="1">
      <alignment/>
    </xf>
    <xf numFmtId="165" fontId="8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/>
    </xf>
    <xf numFmtId="164" fontId="16" fillId="0" borderId="0" xfId="0" applyFont="1" applyBorder="1" applyAlignment="1">
      <alignment/>
    </xf>
    <xf numFmtId="164" fontId="17" fillId="0" borderId="0" xfId="0" applyFont="1" applyBorder="1" applyAlignment="1">
      <alignment/>
    </xf>
    <xf numFmtId="164" fontId="18" fillId="0" borderId="0" xfId="0" applyFont="1" applyBorder="1" applyAlignment="1">
      <alignment horizontal="right"/>
    </xf>
    <xf numFmtId="165" fontId="18" fillId="0" borderId="0" xfId="0" applyNumberFormat="1" applyFont="1" applyBorder="1" applyAlignment="1">
      <alignment horizontal="right"/>
    </xf>
    <xf numFmtId="165" fontId="17" fillId="0" borderId="0" xfId="0" applyNumberFormat="1" applyFont="1" applyBorder="1" applyAlignment="1">
      <alignment/>
    </xf>
    <xf numFmtId="164" fontId="18" fillId="0" borderId="0" xfId="0" applyFont="1" applyAlignment="1">
      <alignment horizontal="left"/>
    </xf>
    <xf numFmtId="164" fontId="19" fillId="0" borderId="0" xfId="0" applyFont="1" applyAlignment="1">
      <alignment/>
    </xf>
    <xf numFmtId="164" fontId="18" fillId="0" borderId="0" xfId="0" applyFont="1" applyBorder="1" applyAlignment="1">
      <alignment/>
    </xf>
    <xf numFmtId="164" fontId="14" fillId="0" borderId="0" xfId="0" applyFont="1" applyBorder="1" applyAlignment="1">
      <alignment horizontal="center" vertical="center"/>
    </xf>
    <xf numFmtId="164" fontId="14" fillId="0" borderId="0" xfId="0" applyFont="1" applyAlignment="1">
      <alignment horizontal="center" vertical="center"/>
    </xf>
    <xf numFmtId="164" fontId="0" fillId="0" borderId="0" xfId="0" applyFont="1" applyBorder="1" applyAlignment="1">
      <alignment vertical="center"/>
    </xf>
    <xf numFmtId="164" fontId="0" fillId="0" borderId="0" xfId="0" applyFont="1" applyAlignment="1">
      <alignment horizontal="right"/>
    </xf>
    <xf numFmtId="164" fontId="16" fillId="2" borderId="39" xfId="0" applyFont="1" applyFill="1" applyBorder="1" applyAlignment="1">
      <alignment horizontal="center" vertical="center"/>
    </xf>
    <xf numFmtId="164" fontId="16" fillId="2" borderId="40" xfId="0" applyFont="1" applyFill="1" applyBorder="1" applyAlignment="1">
      <alignment horizontal="center" vertical="center" wrapText="1"/>
    </xf>
    <xf numFmtId="164" fontId="16" fillId="0" borderId="4" xfId="0" applyFont="1" applyBorder="1" applyAlignment="1">
      <alignment horizontal="center" vertical="center"/>
    </xf>
    <xf numFmtId="164" fontId="16" fillId="2" borderId="42" xfId="0" applyFont="1" applyFill="1" applyBorder="1" applyAlignment="1">
      <alignment horizontal="center" vertical="center" wrapText="1"/>
    </xf>
    <xf numFmtId="164" fontId="16" fillId="2" borderId="25" xfId="0" applyFont="1" applyFill="1" applyBorder="1" applyAlignment="1">
      <alignment horizontal="center" vertical="center"/>
    </xf>
    <xf numFmtId="164" fontId="16" fillId="0" borderId="39" xfId="0" applyFont="1" applyBorder="1" applyAlignment="1">
      <alignment horizontal="center" vertical="center" wrapText="1"/>
    </xf>
    <xf numFmtId="165" fontId="17" fillId="0" borderId="21" xfId="0" applyNumberFormat="1" applyFont="1" applyBorder="1" applyAlignment="1">
      <alignment/>
    </xf>
    <xf numFmtId="165" fontId="17" fillId="0" borderId="21" xfId="0" applyNumberFormat="1" applyFont="1" applyBorder="1" applyAlignment="1">
      <alignment vertical="center"/>
    </xf>
    <xf numFmtId="166" fontId="17" fillId="0" borderId="21" xfId="0" applyNumberFormat="1" applyFont="1" applyBorder="1" applyAlignment="1">
      <alignment horizontal="center" vertical="center"/>
    </xf>
    <xf numFmtId="164" fontId="17" fillId="0" borderId="21" xfId="0" applyFont="1" applyFill="1" applyBorder="1" applyAlignment="1">
      <alignment horizontal="center" vertical="center"/>
    </xf>
    <xf numFmtId="164" fontId="17" fillId="0" borderId="21" xfId="0" applyFont="1" applyBorder="1" applyAlignment="1">
      <alignment horizontal="center" vertical="center"/>
    </xf>
    <xf numFmtId="167" fontId="17" fillId="0" borderId="21" xfId="0" applyNumberFormat="1" applyFont="1" applyBorder="1" applyAlignment="1">
      <alignment horizontal="center" vertical="center"/>
    </xf>
    <xf numFmtId="164" fontId="17" fillId="0" borderId="23" xfId="0" applyNumberFormat="1" applyFont="1" applyBorder="1" applyAlignment="1">
      <alignment horizontal="center" vertical="center" wrapText="1"/>
    </xf>
    <xf numFmtId="164" fontId="17" fillId="0" borderId="21" xfId="0" applyFont="1" applyBorder="1" applyAlignment="1">
      <alignment horizontal="center" vertical="center" wrapText="1"/>
    </xf>
    <xf numFmtId="165" fontId="17" fillId="0" borderId="11" xfId="0" applyNumberFormat="1" applyFont="1" applyBorder="1" applyAlignment="1">
      <alignment/>
    </xf>
    <xf numFmtId="165" fontId="17" fillId="0" borderId="8" xfId="0" applyNumberFormat="1" applyFont="1" applyBorder="1" applyAlignment="1">
      <alignment/>
    </xf>
    <xf numFmtId="165" fontId="17" fillId="0" borderId="17" xfId="0" applyNumberFormat="1" applyFont="1" applyBorder="1" applyAlignment="1">
      <alignment/>
    </xf>
    <xf numFmtId="165" fontId="16" fillId="3" borderId="25" xfId="0" applyNumberFormat="1" applyFont="1" applyFill="1" applyBorder="1" applyAlignment="1">
      <alignment/>
    </xf>
    <xf numFmtId="164" fontId="16" fillId="0" borderId="39" xfId="0" applyFont="1" applyBorder="1" applyAlignment="1">
      <alignment vertical="center"/>
    </xf>
    <xf numFmtId="165" fontId="17" fillId="0" borderId="17" xfId="0" applyNumberFormat="1" applyFont="1" applyBorder="1" applyAlignment="1">
      <alignment vertical="center"/>
    </xf>
    <xf numFmtId="166" fontId="17" fillId="0" borderId="17" xfId="0" applyNumberFormat="1" applyFont="1" applyBorder="1" applyAlignment="1">
      <alignment horizontal="center" vertical="center"/>
    </xf>
    <xf numFmtId="164" fontId="17" fillId="0" borderId="17" xfId="0" applyFont="1" applyBorder="1" applyAlignment="1">
      <alignment horizontal="center" vertical="center"/>
    </xf>
    <xf numFmtId="167" fontId="17" fillId="0" borderId="17" xfId="0" applyNumberFormat="1" applyFont="1" applyBorder="1" applyAlignment="1">
      <alignment horizontal="center" vertical="center"/>
    </xf>
    <xf numFmtId="167" fontId="17" fillId="0" borderId="24" xfId="0" applyNumberFormat="1" applyFont="1" applyBorder="1" applyAlignment="1">
      <alignment horizontal="center" vertical="center"/>
    </xf>
    <xf numFmtId="165" fontId="17" fillId="0" borderId="12" xfId="0" applyNumberFormat="1" applyFont="1" applyBorder="1" applyAlignment="1">
      <alignment vertical="center"/>
    </xf>
    <xf numFmtId="165" fontId="17" fillId="0" borderId="8" xfId="0" applyNumberFormat="1" applyFont="1" applyBorder="1" applyAlignment="1">
      <alignment vertical="center"/>
    </xf>
    <xf numFmtId="164" fontId="17" fillId="0" borderId="12" xfId="0" applyFont="1" applyBorder="1" applyAlignment="1">
      <alignment vertical="center"/>
    </xf>
    <xf numFmtId="164" fontId="17" fillId="0" borderId="0" xfId="0" applyFont="1" applyAlignment="1">
      <alignment vertical="center"/>
    </xf>
    <xf numFmtId="164" fontId="17" fillId="0" borderId="11" xfId="0" applyFont="1" applyFill="1" applyBorder="1" applyAlignment="1">
      <alignment horizontal="center" vertical="center"/>
    </xf>
    <xf numFmtId="166" fontId="17" fillId="0" borderId="8" xfId="0" applyNumberFormat="1" applyFont="1" applyBorder="1" applyAlignment="1">
      <alignment horizontal="center" vertical="center"/>
    </xf>
    <xf numFmtId="164" fontId="17" fillId="0" borderId="11" xfId="0" applyFont="1" applyBorder="1" applyAlignment="1">
      <alignment horizontal="center" vertical="center" wrapText="1"/>
    </xf>
    <xf numFmtId="164" fontId="17" fillId="0" borderId="8" xfId="0" applyFont="1" applyBorder="1" applyAlignment="1">
      <alignment horizontal="center" vertical="center"/>
    </xf>
    <xf numFmtId="167" fontId="17" fillId="0" borderId="8" xfId="0" applyNumberFormat="1" applyFont="1" applyBorder="1" applyAlignment="1">
      <alignment horizontal="center" vertical="center"/>
    </xf>
    <xf numFmtId="165" fontId="16" fillId="3" borderId="11" xfId="0" applyNumberFormat="1" applyFont="1" applyFill="1" applyBorder="1" applyAlignment="1">
      <alignment/>
    </xf>
    <xf numFmtId="165" fontId="17" fillId="0" borderId="21" xfId="0" applyNumberFormat="1" applyFont="1" applyFill="1" applyBorder="1" applyAlignment="1">
      <alignment/>
    </xf>
    <xf numFmtId="165" fontId="17" fillId="0" borderId="17" xfId="0" applyNumberFormat="1" applyFont="1" applyFill="1" applyBorder="1" applyAlignment="1">
      <alignment/>
    </xf>
    <xf numFmtId="165" fontId="8" fillId="5" borderId="25" xfId="0" applyNumberFormat="1" applyFont="1" applyFill="1" applyBorder="1" applyAlignment="1">
      <alignment/>
    </xf>
    <xf numFmtId="164" fontId="8" fillId="5" borderId="31" xfId="0" applyFont="1" applyFill="1" applyBorder="1" applyAlignment="1">
      <alignment/>
    </xf>
    <xf numFmtId="164" fontId="8" fillId="5" borderId="21" xfId="0" applyFont="1" applyFill="1" applyBorder="1" applyAlignment="1">
      <alignment/>
    </xf>
    <xf numFmtId="165" fontId="18" fillId="0" borderId="0" xfId="0" applyNumberFormat="1" applyFont="1" applyBorder="1" applyAlignment="1">
      <alignment/>
    </xf>
    <xf numFmtId="164" fontId="13" fillId="0" borderId="0" xfId="0" applyFont="1" applyBorder="1" applyAlignment="1">
      <alignment horizontal="center" vertical="center"/>
    </xf>
    <xf numFmtId="164" fontId="17" fillId="0" borderId="4" xfId="0" applyFont="1" applyBorder="1" applyAlignment="1">
      <alignment horizontal="center" vertical="center"/>
    </xf>
    <xf numFmtId="165" fontId="17" fillId="0" borderId="4" xfId="0" applyNumberFormat="1" applyFont="1" applyBorder="1" applyAlignment="1">
      <alignment horizontal="center" vertical="center"/>
    </xf>
    <xf numFmtId="166" fontId="17" fillId="0" borderId="4" xfId="0" applyNumberFormat="1" applyFont="1" applyBorder="1" applyAlignment="1">
      <alignment horizontal="center" vertical="center"/>
    </xf>
    <xf numFmtId="166" fontId="17" fillId="0" borderId="18" xfId="0" applyNumberFormat="1" applyFont="1" applyBorder="1" applyAlignment="1">
      <alignment horizontal="center" vertical="center"/>
    </xf>
    <xf numFmtId="164" fontId="17" fillId="0" borderId="34" xfId="0" applyFont="1" applyFill="1" applyBorder="1" applyAlignment="1">
      <alignment horizontal="center"/>
    </xf>
    <xf numFmtId="164" fontId="17" fillId="0" borderId="34" xfId="0" applyFont="1" applyBorder="1" applyAlignment="1">
      <alignment horizontal="center"/>
    </xf>
    <xf numFmtId="165" fontId="17" fillId="0" borderId="3" xfId="0" applyNumberFormat="1" applyFont="1" applyBorder="1" applyAlignment="1">
      <alignment/>
    </xf>
    <xf numFmtId="165" fontId="17" fillId="0" borderId="12" xfId="0" applyNumberFormat="1" applyFont="1" applyBorder="1" applyAlignment="1">
      <alignment/>
    </xf>
    <xf numFmtId="167" fontId="17" fillId="0" borderId="46" xfId="0" applyNumberFormat="1" applyFont="1" applyBorder="1" applyAlignment="1">
      <alignment horizontal="center" vertical="center"/>
    </xf>
    <xf numFmtId="167" fontId="17" fillId="0" borderId="4" xfId="0" applyNumberFormat="1" applyFont="1" applyBorder="1" applyAlignment="1">
      <alignment horizontal="center" vertical="center"/>
    </xf>
    <xf numFmtId="164" fontId="16" fillId="0" borderId="39" xfId="0" applyFont="1" applyBorder="1" applyAlignment="1">
      <alignment horizontal="center" vertical="center"/>
    </xf>
    <xf numFmtId="165" fontId="8" fillId="0" borderId="0" xfId="0" applyNumberFormat="1" applyFont="1" applyBorder="1" applyAlignment="1">
      <alignment/>
    </xf>
    <xf numFmtId="164" fontId="16" fillId="0" borderId="1" xfId="0" applyFont="1" applyBorder="1" applyAlignment="1">
      <alignment horizontal="center" vertical="center"/>
    </xf>
    <xf numFmtId="164" fontId="16" fillId="0" borderId="13" xfId="0" applyFont="1" applyBorder="1" applyAlignment="1">
      <alignment horizontal="center" vertical="center"/>
    </xf>
    <xf numFmtId="164" fontId="20" fillId="0" borderId="8" xfId="0" applyFont="1" applyBorder="1" applyAlignment="1">
      <alignment horizontal="center" vertical="center" wrapText="1"/>
    </xf>
    <xf numFmtId="167" fontId="17" fillId="0" borderId="21" xfId="0" applyNumberFormat="1" applyFont="1" applyBorder="1" applyAlignment="1">
      <alignment horizontal="center" vertical="center" wrapText="1"/>
    </xf>
    <xf numFmtId="166" fontId="17" fillId="0" borderId="21" xfId="0" applyNumberFormat="1" applyFont="1" applyBorder="1" applyAlignment="1">
      <alignment horizontal="center" vertical="center" wrapText="1"/>
    </xf>
    <xf numFmtId="164" fontId="16" fillId="0" borderId="1" xfId="0" applyFont="1" applyBorder="1" applyAlignment="1">
      <alignment horizontal="center" vertical="center" wrapText="1"/>
    </xf>
    <xf numFmtId="167" fontId="17" fillId="0" borderId="28" xfId="0" applyNumberFormat="1" applyFont="1" applyBorder="1" applyAlignment="1">
      <alignment horizontal="center" vertical="center"/>
    </xf>
    <xf numFmtId="164" fontId="16" fillId="0" borderId="7" xfId="0" applyFont="1" applyBorder="1" applyAlignment="1">
      <alignment horizontal="right"/>
    </xf>
    <xf numFmtId="164" fontId="8" fillId="5" borderId="39" xfId="0" applyFont="1" applyFill="1" applyBorder="1" applyAlignment="1">
      <alignment horizontal="center"/>
    </xf>
    <xf numFmtId="165" fontId="8" fillId="5" borderId="40" xfId="0" applyNumberFormat="1" applyFont="1" applyFill="1" applyBorder="1" applyAlignment="1">
      <alignment/>
    </xf>
    <xf numFmtId="165" fontId="8" fillId="5" borderId="40" xfId="0" applyNumberFormat="1" applyFont="1" applyFill="1" applyBorder="1" applyAlignment="1">
      <alignment/>
    </xf>
    <xf numFmtId="164" fontId="8" fillId="5" borderId="41" xfId="0" applyFont="1" applyFill="1" applyBorder="1" applyAlignment="1">
      <alignment/>
    </xf>
    <xf numFmtId="164" fontId="8" fillId="5" borderId="42" xfId="0" applyFont="1" applyFill="1" applyBorder="1" applyAlignment="1">
      <alignment/>
    </xf>
    <xf numFmtId="167" fontId="17" fillId="0" borderId="22" xfId="0" applyNumberFormat="1" applyFont="1" applyBorder="1" applyAlignment="1">
      <alignment horizontal="center" vertical="center" wrapText="1"/>
    </xf>
    <xf numFmtId="166" fontId="17" fillId="0" borderId="22" xfId="0" applyNumberFormat="1" applyFont="1" applyBorder="1" applyAlignment="1">
      <alignment horizontal="center" vertical="center" wrapText="1"/>
    </xf>
    <xf numFmtId="164" fontId="8" fillId="5" borderId="27" xfId="0" applyFont="1" applyFill="1" applyBorder="1" applyAlignment="1">
      <alignment/>
    </xf>
    <xf numFmtId="164" fontId="0" fillId="0" borderId="8" xfId="0" applyFont="1" applyBorder="1" applyAlignment="1">
      <alignment horizontal="center" vertical="center"/>
    </xf>
    <xf numFmtId="164" fontId="17" fillId="0" borderId="47" xfId="0" applyFont="1" applyBorder="1" applyAlignment="1">
      <alignment horizontal="center" wrapText="1"/>
    </xf>
    <xf numFmtId="165" fontId="17" fillId="0" borderId="11" xfId="0" applyNumberFormat="1" applyFont="1" applyBorder="1" applyAlignment="1">
      <alignment vertical="center"/>
    </xf>
    <xf numFmtId="166" fontId="17" fillId="0" borderId="11" xfId="0" applyNumberFormat="1" applyFont="1" applyBorder="1" applyAlignment="1">
      <alignment horizontal="center" vertical="center"/>
    </xf>
    <xf numFmtId="164" fontId="17" fillId="0" borderId="11" xfId="0" applyFont="1" applyBorder="1" applyAlignment="1">
      <alignment horizontal="center" vertical="center"/>
    </xf>
    <xf numFmtId="167" fontId="17" fillId="0" borderId="11" xfId="0" applyNumberFormat="1" applyFont="1" applyBorder="1" applyAlignment="1">
      <alignment horizontal="center" vertical="center"/>
    </xf>
    <xf numFmtId="164" fontId="17" fillId="0" borderId="21" xfId="0" applyNumberFormat="1" applyFont="1" applyBorder="1" applyAlignment="1">
      <alignment horizontal="center" vertical="center" wrapText="1"/>
    </xf>
    <xf numFmtId="164" fontId="20" fillId="0" borderId="21" xfId="0" applyFont="1" applyBorder="1" applyAlignment="1">
      <alignment horizontal="center" vertical="center" wrapText="1"/>
    </xf>
    <xf numFmtId="164" fontId="17" fillId="0" borderId="47" xfId="0" applyFont="1" applyBorder="1" applyAlignment="1">
      <alignment horizontal="center" vertical="center" wrapText="1"/>
    </xf>
    <xf numFmtId="168" fontId="17" fillId="0" borderId="11" xfId="0" applyNumberFormat="1" applyFont="1" applyBorder="1" applyAlignment="1">
      <alignment horizontal="center" vertical="center"/>
    </xf>
    <xf numFmtId="164" fontId="2" fillId="0" borderId="13" xfId="0" applyFont="1" applyBorder="1" applyAlignment="1">
      <alignment horizontal="center" vertical="center"/>
    </xf>
    <xf numFmtId="164" fontId="2" fillId="0" borderId="39" xfId="0" applyFont="1" applyBorder="1" applyAlignment="1">
      <alignment horizontal="center" vertical="center"/>
    </xf>
    <xf numFmtId="168" fontId="17" fillId="0" borderId="11" xfId="0" applyNumberFormat="1" applyFont="1" applyBorder="1" applyAlignment="1">
      <alignment horizontal="center" vertical="center" wrapText="1"/>
    </xf>
    <xf numFmtId="164" fontId="21" fillId="0" borderId="39" xfId="0" applyFont="1" applyBorder="1" applyAlignment="1">
      <alignment horizontal="center" vertical="center"/>
    </xf>
    <xf numFmtId="171" fontId="17" fillId="0" borderId="21" xfId="15" applyNumberFormat="1" applyFont="1" applyFill="1" applyBorder="1" applyAlignment="1" applyProtection="1">
      <alignment horizontal="center" vertical="center"/>
      <protection/>
    </xf>
    <xf numFmtId="164" fontId="17" fillId="0" borderId="20" xfId="0" applyFont="1" applyBorder="1" applyAlignment="1">
      <alignment horizontal="center" vertical="center" wrapText="1"/>
    </xf>
    <xf numFmtId="164" fontId="16" fillId="0" borderId="13" xfId="0" applyFont="1" applyBorder="1" applyAlignment="1">
      <alignment horizontal="center" vertical="center" wrapText="1"/>
    </xf>
    <xf numFmtId="172" fontId="17" fillId="0" borderId="21" xfId="0" applyNumberFormat="1" applyFont="1" applyBorder="1" applyAlignment="1">
      <alignment horizontal="center" vertical="center" wrapText="1"/>
    </xf>
    <xf numFmtId="165" fontId="17" fillId="0" borderId="11" xfId="0" applyNumberFormat="1" applyFont="1" applyBorder="1" applyAlignment="1">
      <alignment horizontal="center" vertical="center" wrapText="1"/>
    </xf>
    <xf numFmtId="172" fontId="17" fillId="0" borderId="11" xfId="0" applyNumberFormat="1" applyFont="1" applyBorder="1" applyAlignment="1">
      <alignment horizontal="center" vertical="center" wrapText="1"/>
    </xf>
    <xf numFmtId="164" fontId="22" fillId="0" borderId="17" xfId="0" applyFont="1" applyBorder="1" applyAlignment="1">
      <alignment horizontal="center" vertical="center" wrapText="1"/>
    </xf>
    <xf numFmtId="164" fontId="0" fillId="0" borderId="17" xfId="0" applyBorder="1" applyAlignment="1">
      <alignment horizontal="center" vertical="center" wrapText="1"/>
    </xf>
    <xf numFmtId="173" fontId="22" fillId="0" borderId="17" xfId="0" applyNumberFormat="1" applyFont="1" applyBorder="1" applyAlignment="1">
      <alignment horizontal="center" vertical="center" wrapText="1"/>
    </xf>
    <xf numFmtId="164" fontId="16" fillId="0" borderId="46" xfId="0" applyFont="1" applyBorder="1" applyAlignment="1">
      <alignment horizontal="center" vertical="center" wrapText="1"/>
    </xf>
    <xf numFmtId="164" fontId="21" fillId="0" borderId="21" xfId="0" applyFont="1" applyBorder="1" applyAlignment="1">
      <alignment horizontal="center" vertical="center"/>
    </xf>
    <xf numFmtId="171" fontId="17" fillId="0" borderId="8" xfId="15" applyNumberFormat="1" applyFont="1" applyFill="1" applyBorder="1" applyAlignment="1" applyProtection="1">
      <alignment horizontal="center" vertical="center"/>
      <protection/>
    </xf>
    <xf numFmtId="164" fontId="17" fillId="5" borderId="48" xfId="0" applyFont="1" applyFill="1" applyBorder="1" applyAlignment="1">
      <alignment horizontal="center"/>
    </xf>
    <xf numFmtId="165" fontId="17" fillId="5" borderId="30" xfId="0" applyNumberFormat="1" applyFont="1" applyFill="1" applyBorder="1" applyAlignment="1">
      <alignment horizontal="center"/>
    </xf>
    <xf numFmtId="166" fontId="16" fillId="5" borderId="21" xfId="0" applyNumberFormat="1" applyFont="1" applyFill="1" applyBorder="1" applyAlignment="1">
      <alignment horizontal="center"/>
    </xf>
    <xf numFmtId="166" fontId="17" fillId="5" borderId="21" xfId="0" applyNumberFormat="1" applyFont="1" applyFill="1" applyBorder="1" applyAlignment="1">
      <alignment horizontal="center"/>
    </xf>
    <xf numFmtId="164" fontId="17" fillId="5" borderId="21" xfId="0" applyFont="1" applyFill="1" applyBorder="1" applyAlignment="1">
      <alignment horizontal="center"/>
    </xf>
    <xf numFmtId="165" fontId="17" fillId="5" borderId="21" xfId="0" applyNumberFormat="1" applyFont="1" applyFill="1" applyBorder="1" applyAlignment="1">
      <alignment/>
    </xf>
    <xf numFmtId="167" fontId="17" fillId="5" borderId="21" xfId="0" applyNumberFormat="1" applyFont="1" applyFill="1" applyBorder="1" applyAlignment="1">
      <alignment horizontal="center" vertical="center"/>
    </xf>
    <xf numFmtId="164" fontId="16" fillId="5" borderId="1" xfId="0" applyFont="1" applyFill="1" applyBorder="1" applyAlignment="1">
      <alignment/>
    </xf>
    <xf numFmtId="164" fontId="17" fillId="5" borderId="29" xfId="0" applyFont="1" applyFill="1" applyBorder="1" applyAlignment="1">
      <alignment horizontal="center"/>
    </xf>
    <xf numFmtId="165" fontId="17" fillId="5" borderId="17" xfId="0" applyNumberFormat="1" applyFont="1" applyFill="1" applyBorder="1" applyAlignment="1">
      <alignment/>
    </xf>
    <xf numFmtId="165" fontId="17" fillId="5" borderId="17" xfId="0" applyNumberFormat="1" applyFont="1" applyFill="1" applyBorder="1" applyAlignment="1">
      <alignment horizontal="center"/>
    </xf>
    <xf numFmtId="166" fontId="17" fillId="5" borderId="17" xfId="0" applyNumberFormat="1" applyFont="1" applyFill="1" applyBorder="1" applyAlignment="1">
      <alignment horizontal="center"/>
    </xf>
    <xf numFmtId="164" fontId="17" fillId="5" borderId="17" xfId="0" applyFont="1" applyFill="1" applyBorder="1" applyAlignment="1">
      <alignment horizontal="center"/>
    </xf>
    <xf numFmtId="164" fontId="17" fillId="0" borderId="49" xfId="0" applyFont="1" applyBorder="1" applyAlignment="1">
      <alignment/>
    </xf>
    <xf numFmtId="164" fontId="8" fillId="0" borderId="0" xfId="0" applyFont="1" applyFill="1" applyBorder="1" applyAlignment="1">
      <alignment horizontal="center"/>
    </xf>
    <xf numFmtId="173" fontId="8" fillId="0" borderId="0" xfId="0" applyNumberFormat="1" applyFon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16" fillId="2" borderId="1" xfId="0" applyFont="1" applyFill="1" applyBorder="1" applyAlignment="1">
      <alignment horizontal="center" vertical="center"/>
    </xf>
    <xf numFmtId="164" fontId="16" fillId="0" borderId="21" xfId="0" applyFont="1" applyBorder="1" applyAlignment="1">
      <alignment horizontal="center" vertical="center" wrapText="1"/>
    </xf>
    <xf numFmtId="165" fontId="17" fillId="3" borderId="11" xfId="0" applyNumberFormat="1" applyFont="1" applyFill="1" applyBorder="1" applyAlignment="1">
      <alignment horizontal="center"/>
    </xf>
    <xf numFmtId="164" fontId="8" fillId="3" borderId="21" xfId="0" applyFont="1" applyFill="1" applyBorder="1" applyAlignment="1">
      <alignment horizontal="right"/>
    </xf>
    <xf numFmtId="165" fontId="16" fillId="3" borderId="21" xfId="0" applyNumberFormat="1" applyFont="1" applyFill="1" applyBorder="1" applyAlignment="1">
      <alignment/>
    </xf>
    <xf numFmtId="165" fontId="16" fillId="3" borderId="21" xfId="0" applyNumberFormat="1" applyFont="1" applyFill="1" applyBorder="1" applyAlignment="1">
      <alignment horizontal="center"/>
    </xf>
    <xf numFmtId="164" fontId="0" fillId="0" borderId="21" xfId="0" applyFont="1" applyBorder="1" applyAlignment="1">
      <alignment horizontal="center" vertical="center" wrapText="1"/>
    </xf>
    <xf numFmtId="168" fontId="17" fillId="0" borderId="21" xfId="0" applyNumberFormat="1" applyFont="1" applyBorder="1" applyAlignment="1">
      <alignment horizontal="center" vertical="center"/>
    </xf>
    <xf numFmtId="164" fontId="17" fillId="5" borderId="50" xfId="0" applyFont="1" applyFill="1" applyBorder="1" applyAlignment="1">
      <alignment horizontal="center"/>
    </xf>
    <xf numFmtId="164" fontId="16" fillId="5" borderId="7" xfId="0" applyFont="1" applyFill="1" applyBorder="1" applyAlignment="1">
      <alignment/>
    </xf>
    <xf numFmtId="165" fontId="17" fillId="0" borderId="21" xfId="0" applyNumberFormat="1" applyFont="1" applyBorder="1" applyAlignment="1">
      <alignment horizontal="center" vertical="center"/>
    </xf>
    <xf numFmtId="168" fontId="17" fillId="0" borderId="21" xfId="0" applyNumberFormat="1" applyFont="1" applyBorder="1" applyAlignment="1">
      <alignment horizontal="center" vertical="center" wrapText="1"/>
    </xf>
    <xf numFmtId="164" fontId="0" fillId="0" borderId="0" xfId="0" applyAlignment="1">
      <alignment vertical="center"/>
    </xf>
    <xf numFmtId="164" fontId="0" fillId="0" borderId="7" xfId="0" applyBorder="1" applyAlignment="1">
      <alignment horizontal="center" vertical="center"/>
    </xf>
    <xf numFmtId="164" fontId="0" fillId="0" borderId="8" xfId="0" applyBorder="1" applyAlignment="1">
      <alignment horizontal="center" vertical="center" wrapText="1"/>
    </xf>
    <xf numFmtId="164" fontId="0" fillId="0" borderId="13" xfId="0" applyBorder="1" applyAlignment="1">
      <alignment horizontal="center" vertical="center"/>
    </xf>
    <xf numFmtId="164" fontId="0" fillId="0" borderId="15" xfId="0" applyBorder="1" applyAlignment="1">
      <alignment horizontal="center" vertical="center" wrapText="1"/>
    </xf>
    <xf numFmtId="164" fontId="16" fillId="0" borderId="7" xfId="0" applyFont="1" applyBorder="1" applyAlignment="1">
      <alignment horizontal="center" vertical="center" wrapText="1"/>
    </xf>
    <xf numFmtId="165" fontId="17" fillId="0" borderId="17" xfId="0" applyNumberFormat="1" applyFont="1" applyBorder="1" applyAlignment="1">
      <alignment horizontal="center" vertical="center"/>
    </xf>
    <xf numFmtId="164" fontId="13" fillId="0" borderId="0" xfId="0" applyFont="1" applyAlignment="1">
      <alignment/>
    </xf>
    <xf numFmtId="164" fontId="23" fillId="0" borderId="0" xfId="0" applyFont="1" applyBorder="1" applyAlignment="1">
      <alignment horizontal="center" vertical="center"/>
    </xf>
    <xf numFmtId="164" fontId="14" fillId="0" borderId="0" xfId="0" applyFont="1" applyAlignment="1">
      <alignment horizontal="right"/>
    </xf>
    <xf numFmtId="164" fontId="24" fillId="2" borderId="40" xfId="0" applyFont="1" applyFill="1" applyBorder="1" applyAlignment="1">
      <alignment horizontal="center" vertical="center" wrapText="1"/>
    </xf>
    <xf numFmtId="164" fontId="24" fillId="0" borderId="4" xfId="0" applyFont="1" applyBorder="1" applyAlignment="1">
      <alignment horizontal="center" vertical="center"/>
    </xf>
    <xf numFmtId="164" fontId="24" fillId="2" borderId="42" xfId="0" applyFont="1" applyFill="1" applyBorder="1" applyAlignment="1">
      <alignment horizontal="center" vertical="center" wrapText="1"/>
    </xf>
    <xf numFmtId="164" fontId="24" fillId="0" borderId="6" xfId="0" applyFont="1" applyBorder="1" applyAlignment="1">
      <alignment horizontal="center"/>
    </xf>
    <xf numFmtId="164" fontId="24" fillId="0" borderId="0" xfId="0" applyFont="1" applyAlignment="1">
      <alignment horizontal="center"/>
    </xf>
    <xf numFmtId="164" fontId="24" fillId="2" borderId="10" xfId="0" applyFont="1" applyFill="1" applyBorder="1" applyAlignment="1">
      <alignment horizontal="center"/>
    </xf>
    <xf numFmtId="164" fontId="24" fillId="2" borderId="25" xfId="0" applyFont="1" applyFill="1" applyBorder="1" applyAlignment="1">
      <alignment horizontal="center" vertical="center"/>
    </xf>
    <xf numFmtId="164" fontId="24" fillId="0" borderId="11" xfId="0" applyFont="1" applyBorder="1" applyAlignment="1">
      <alignment horizontal="center"/>
    </xf>
    <xf numFmtId="164" fontId="24" fillId="0" borderId="12" xfId="0" applyFont="1" applyBorder="1" applyAlignment="1">
      <alignment horizontal="center"/>
    </xf>
    <xf numFmtId="164" fontId="25" fillId="2" borderId="10" xfId="0" applyFont="1" applyFill="1" applyBorder="1" applyAlignment="1">
      <alignment horizontal="center"/>
    </xf>
    <xf numFmtId="164" fontId="25" fillId="2" borderId="17" xfId="0" applyFont="1" applyFill="1" applyBorder="1" applyAlignment="1">
      <alignment horizontal="center"/>
    </xf>
    <xf numFmtId="164" fontId="25" fillId="0" borderId="0" xfId="0" applyFont="1" applyAlignment="1">
      <alignment horizontal="center"/>
    </xf>
    <xf numFmtId="164" fontId="26" fillId="0" borderId="47" xfId="0" applyFont="1" applyBorder="1" applyAlignment="1">
      <alignment horizontal="center" vertical="center" wrapText="1"/>
    </xf>
    <xf numFmtId="165" fontId="26" fillId="0" borderId="11" xfId="0" applyNumberFormat="1" applyFont="1" applyBorder="1" applyAlignment="1">
      <alignment vertical="center"/>
    </xf>
    <xf numFmtId="166" fontId="26" fillId="0" borderId="11" xfId="0" applyNumberFormat="1" applyFont="1" applyBorder="1" applyAlignment="1">
      <alignment horizontal="center" vertical="center"/>
    </xf>
    <xf numFmtId="164" fontId="26" fillId="0" borderId="11" xfId="0" applyFont="1" applyFill="1" applyBorder="1" applyAlignment="1">
      <alignment horizontal="center" vertical="center"/>
    </xf>
    <xf numFmtId="164" fontId="26" fillId="0" borderId="11" xfId="0" applyFont="1" applyBorder="1" applyAlignment="1">
      <alignment horizontal="center" vertical="center"/>
    </xf>
    <xf numFmtId="164" fontId="26" fillId="0" borderId="23" xfId="0" applyNumberFormat="1" applyFont="1" applyBorder="1" applyAlignment="1">
      <alignment horizontal="center" vertical="center" wrapText="1"/>
    </xf>
    <xf numFmtId="165" fontId="26" fillId="0" borderId="12" xfId="0" applyNumberFormat="1" applyFont="1" applyBorder="1" applyAlignment="1">
      <alignment horizontal="center"/>
    </xf>
    <xf numFmtId="165" fontId="26" fillId="0" borderId="8" xfId="0" applyNumberFormat="1" applyFont="1" applyBorder="1" applyAlignment="1">
      <alignment horizontal="center"/>
    </xf>
    <xf numFmtId="164" fontId="26" fillId="0" borderId="12" xfId="0" applyFont="1" applyBorder="1" applyAlignment="1">
      <alignment/>
    </xf>
    <xf numFmtId="164" fontId="26" fillId="0" borderId="0" xfId="0" applyFont="1" applyAlignment="1">
      <alignment/>
    </xf>
    <xf numFmtId="164" fontId="26" fillId="0" borderId="47" xfId="0" applyFont="1" applyBorder="1" applyAlignment="1">
      <alignment horizontal="center" wrapText="1"/>
    </xf>
    <xf numFmtId="164" fontId="25" fillId="3" borderId="25" xfId="0" applyFont="1" applyFill="1" applyBorder="1" applyAlignment="1">
      <alignment horizontal="right" vertical="center"/>
    </xf>
    <xf numFmtId="165" fontId="24" fillId="3" borderId="25" xfId="0" applyNumberFormat="1" applyFont="1" applyFill="1" applyBorder="1" applyAlignment="1">
      <alignment vertical="center"/>
    </xf>
    <xf numFmtId="165" fontId="26" fillId="3" borderId="25" xfId="0" applyNumberFormat="1" applyFont="1" applyFill="1" applyBorder="1" applyAlignment="1">
      <alignment horizontal="center" vertical="center"/>
    </xf>
    <xf numFmtId="165" fontId="24" fillId="3" borderId="25" xfId="0" applyNumberFormat="1" applyFont="1" applyFill="1" applyBorder="1" applyAlignment="1">
      <alignment horizontal="center" vertical="center"/>
    </xf>
    <xf numFmtId="165" fontId="24" fillId="3" borderId="27" xfId="0" applyNumberFormat="1" applyFont="1" applyFill="1" applyBorder="1" applyAlignment="1">
      <alignment horizontal="center" vertical="center"/>
    </xf>
    <xf numFmtId="165" fontId="24" fillId="0" borderId="10" xfId="0" applyNumberFormat="1" applyFont="1" applyBorder="1" applyAlignment="1">
      <alignment horizontal="center" vertical="center"/>
    </xf>
    <xf numFmtId="165" fontId="24" fillId="0" borderId="17" xfId="0" applyNumberFormat="1" applyFont="1" applyBorder="1" applyAlignment="1">
      <alignment horizontal="center" vertical="center"/>
    </xf>
    <xf numFmtId="164" fontId="24" fillId="0" borderId="10" xfId="0" applyFont="1" applyBorder="1" applyAlignment="1">
      <alignment vertical="center"/>
    </xf>
    <xf numFmtId="164" fontId="24" fillId="0" borderId="0" xfId="0" applyFont="1" applyAlignment="1">
      <alignment vertical="center"/>
    </xf>
    <xf numFmtId="165" fontId="25" fillId="0" borderId="2" xfId="0" applyNumberFormat="1" applyFont="1" applyBorder="1" applyAlignment="1">
      <alignment horizontal="right"/>
    </xf>
    <xf numFmtId="165" fontId="25" fillId="0" borderId="0" xfId="0" applyNumberFormat="1" applyFont="1" applyBorder="1" applyAlignment="1">
      <alignment/>
    </xf>
    <xf numFmtId="164" fontId="24" fillId="0" borderId="0" xfId="0" applyFont="1" applyBorder="1" applyAlignment="1">
      <alignment/>
    </xf>
    <xf numFmtId="164" fontId="26" fillId="0" borderId="0" xfId="0" applyFont="1" applyBorder="1" applyAlignment="1">
      <alignment/>
    </xf>
    <xf numFmtId="164" fontId="25" fillId="0" borderId="0" xfId="0" applyFont="1" applyBorder="1" applyAlignment="1">
      <alignment horizontal="right"/>
    </xf>
    <xf numFmtId="165" fontId="25" fillId="0" borderId="0" xfId="0" applyNumberFormat="1" applyFont="1" applyBorder="1" applyAlignment="1">
      <alignment horizontal="right"/>
    </xf>
    <xf numFmtId="164" fontId="27" fillId="0" borderId="0" xfId="0" applyFont="1" applyBorder="1" applyAlignment="1">
      <alignment horizontal="center"/>
    </xf>
    <xf numFmtId="164" fontId="28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tabSelected="1" workbookViewId="0" topLeftCell="A1">
      <selection activeCell="A58" sqref="A58"/>
    </sheetView>
  </sheetViews>
  <sheetFormatPr defaultColWidth="9.00390625" defaultRowHeight="12.75" outlineLevelCol="1"/>
  <cols>
    <col min="1" max="1" width="29.875" style="1" customWidth="1"/>
    <col min="2" max="2" width="24.625" style="0" customWidth="1"/>
    <col min="3" max="3" width="18.375" style="0" customWidth="1"/>
    <col min="4" max="4" width="0" style="0" hidden="1" customWidth="1" outlineLevel="1"/>
    <col min="5" max="5" width="21.125" style="2" customWidth="1"/>
    <col min="6" max="6" width="14.875" style="0" customWidth="1"/>
    <col min="7" max="7" width="44.25390625" style="0" customWidth="1"/>
    <col min="8" max="8" width="11.25390625" style="0" customWidth="1"/>
    <col min="9" max="9" width="17.875" style="0" customWidth="1"/>
    <col min="10" max="10" width="19.625" style="0" customWidth="1"/>
    <col min="11" max="11" width="11.875" style="0" customWidth="1"/>
    <col min="12" max="13" width="0" style="0" hidden="1" customWidth="1"/>
    <col min="14" max="14" width="14.375" style="0" customWidth="1"/>
    <col min="15" max="17" width="0" style="0" hidden="1" customWidth="1"/>
    <col min="18" max="18" width="22.00390625" style="0" customWidth="1"/>
  </cols>
  <sheetData>
    <row r="1" spans="1:17" s="9" customFormat="1" ht="12.75">
      <c r="A1" s="3" t="s">
        <v>0</v>
      </c>
      <c r="B1" s="4" t="s">
        <v>0</v>
      </c>
      <c r="C1" s="5" t="s">
        <v>1</v>
      </c>
      <c r="D1" s="5" t="s">
        <v>1</v>
      </c>
      <c r="E1" s="5" t="s">
        <v>2</v>
      </c>
      <c r="F1" s="5" t="s">
        <v>3</v>
      </c>
      <c r="G1" s="6" t="s">
        <v>4</v>
      </c>
      <c r="H1" s="6"/>
      <c r="I1" s="5" t="s">
        <v>5</v>
      </c>
      <c r="J1" s="5" t="s">
        <v>6</v>
      </c>
      <c r="K1" s="5" t="s">
        <v>7</v>
      </c>
      <c r="L1" s="5" t="s">
        <v>8</v>
      </c>
      <c r="M1" s="5" t="s">
        <v>8</v>
      </c>
      <c r="N1" s="7" t="s">
        <v>9</v>
      </c>
      <c r="O1" s="8" t="s">
        <v>10</v>
      </c>
      <c r="P1" s="8"/>
      <c r="Q1" s="8"/>
    </row>
    <row r="2" spans="1:17" s="9" customFormat="1" ht="12.75">
      <c r="A2" s="10" t="s">
        <v>11</v>
      </c>
      <c r="B2" s="11" t="s">
        <v>12</v>
      </c>
      <c r="C2" s="12" t="s">
        <v>13</v>
      </c>
      <c r="D2" s="12" t="s">
        <v>13</v>
      </c>
      <c r="E2" s="12" t="s">
        <v>14</v>
      </c>
      <c r="F2" s="12" t="s">
        <v>15</v>
      </c>
      <c r="G2" s="6"/>
      <c r="H2" s="6"/>
      <c r="I2" s="12" t="s">
        <v>16</v>
      </c>
      <c r="J2" s="12" t="s">
        <v>17</v>
      </c>
      <c r="K2" s="12" t="s">
        <v>18</v>
      </c>
      <c r="L2" s="12" t="s">
        <v>19</v>
      </c>
      <c r="M2" s="12" t="s">
        <v>19</v>
      </c>
      <c r="N2" s="13" t="s">
        <v>20</v>
      </c>
      <c r="O2" s="14" t="s">
        <v>21</v>
      </c>
      <c r="P2" s="14"/>
      <c r="Q2" s="14"/>
    </row>
    <row r="3" spans="1:17" s="9" customFormat="1" ht="12.75">
      <c r="A3" s="10"/>
      <c r="B3" s="11" t="s">
        <v>22</v>
      </c>
      <c r="C3" s="12" t="s">
        <v>23</v>
      </c>
      <c r="D3" s="12" t="s">
        <v>24</v>
      </c>
      <c r="E3" s="12"/>
      <c r="F3" s="12" t="s">
        <v>25</v>
      </c>
      <c r="G3" s="12" t="s">
        <v>26</v>
      </c>
      <c r="H3" s="12" t="s">
        <v>27</v>
      </c>
      <c r="I3" s="12" t="s">
        <v>23</v>
      </c>
      <c r="J3" s="12" t="s">
        <v>28</v>
      </c>
      <c r="K3" s="12"/>
      <c r="L3" s="12" t="s">
        <v>29</v>
      </c>
      <c r="M3" s="12" t="s">
        <v>30</v>
      </c>
      <c r="N3" s="13"/>
      <c r="O3" s="15" t="s">
        <v>31</v>
      </c>
      <c r="P3" s="16" t="s">
        <v>32</v>
      </c>
      <c r="Q3" s="17" t="s">
        <v>33</v>
      </c>
    </row>
    <row r="4" spans="1:17" s="25" customFormat="1" ht="12.75">
      <c r="A4" s="18"/>
      <c r="B4" s="19"/>
      <c r="C4" s="20"/>
      <c r="D4" s="20"/>
      <c r="E4" s="20"/>
      <c r="F4" s="21" t="s">
        <v>34</v>
      </c>
      <c r="G4" s="20"/>
      <c r="H4" s="20" t="s">
        <v>35</v>
      </c>
      <c r="I4" s="20"/>
      <c r="J4" s="20"/>
      <c r="K4" s="20"/>
      <c r="L4" s="20"/>
      <c r="M4" s="20"/>
      <c r="N4" s="22"/>
      <c r="O4" s="23"/>
      <c r="P4" s="24"/>
      <c r="Q4" s="23"/>
    </row>
    <row r="5" spans="1:17" ht="12.75" customHeight="1" hidden="1">
      <c r="A5" s="26"/>
      <c r="B5" s="27"/>
      <c r="C5" s="28"/>
      <c r="D5" s="28"/>
      <c r="E5" s="29"/>
      <c r="F5" s="30"/>
      <c r="G5" s="31"/>
      <c r="H5" s="31"/>
      <c r="I5" s="28"/>
      <c r="J5" s="28"/>
      <c r="K5" s="32"/>
      <c r="L5" s="28"/>
      <c r="M5" s="28"/>
      <c r="N5" s="33"/>
      <c r="O5" s="34"/>
      <c r="P5" s="35"/>
      <c r="Q5" s="36"/>
    </row>
    <row r="6" spans="1:17" ht="13.5">
      <c r="A6" s="37" t="s">
        <v>36</v>
      </c>
      <c r="B6" s="38" t="s">
        <v>36</v>
      </c>
      <c r="C6" s="39">
        <v>56000000</v>
      </c>
      <c r="D6" s="39"/>
      <c r="E6" s="40">
        <v>38370</v>
      </c>
      <c r="F6" s="41">
        <v>38098</v>
      </c>
      <c r="G6" s="42" t="s">
        <v>36</v>
      </c>
      <c r="H6" s="43"/>
      <c r="I6" s="39">
        <v>125090000</v>
      </c>
      <c r="J6" s="39">
        <v>74930000</v>
      </c>
      <c r="K6" s="44">
        <v>0.15</v>
      </c>
      <c r="L6" s="39"/>
      <c r="M6" s="39"/>
      <c r="N6" s="45" t="s">
        <v>37</v>
      </c>
      <c r="O6" s="34"/>
      <c r="P6" s="35"/>
      <c r="Q6" s="36"/>
    </row>
    <row r="7" spans="1:17" ht="13.5">
      <c r="A7" s="37" t="s">
        <v>36</v>
      </c>
      <c r="B7" s="46" t="s">
        <v>38</v>
      </c>
      <c r="C7" s="39">
        <f>35000000-3414538</f>
        <v>31585462</v>
      </c>
      <c r="D7" s="39"/>
      <c r="E7" s="40">
        <v>38526</v>
      </c>
      <c r="F7" s="41">
        <v>37981</v>
      </c>
      <c r="G7" s="42" t="s">
        <v>38</v>
      </c>
      <c r="H7" s="43"/>
      <c r="I7" s="39">
        <v>83613157</v>
      </c>
      <c r="J7" s="39">
        <v>48347712</v>
      </c>
      <c r="K7" s="47">
        <v>0.195</v>
      </c>
      <c r="L7" s="39"/>
      <c r="M7" s="39"/>
      <c r="N7" s="48" t="s">
        <v>39</v>
      </c>
      <c r="O7" s="34"/>
      <c r="P7" s="35"/>
      <c r="Q7" s="36"/>
    </row>
    <row r="8" spans="1:17" ht="12.75">
      <c r="A8" s="37"/>
      <c r="B8" s="49" t="s">
        <v>38</v>
      </c>
      <c r="C8" s="50">
        <v>400000</v>
      </c>
      <c r="D8" s="50"/>
      <c r="E8" s="51"/>
      <c r="F8" s="52"/>
      <c r="G8" s="53" t="s">
        <v>38</v>
      </c>
      <c r="H8" s="54"/>
      <c r="I8" s="50"/>
      <c r="J8" s="50"/>
      <c r="K8" s="55"/>
      <c r="L8" s="54"/>
      <c r="M8" s="54"/>
      <c r="N8" s="56"/>
      <c r="O8" s="57"/>
      <c r="P8" s="58"/>
      <c r="Q8" s="36"/>
    </row>
    <row r="9" spans="1:17" ht="12.75">
      <c r="A9" s="37"/>
      <c r="B9" s="38" t="s">
        <v>38</v>
      </c>
      <c r="C9" s="59">
        <v>25000000</v>
      </c>
      <c r="D9" s="59"/>
      <c r="E9" s="60">
        <v>38513</v>
      </c>
      <c r="F9" s="61">
        <v>38135</v>
      </c>
      <c r="G9" s="42" t="s">
        <v>40</v>
      </c>
      <c r="H9" s="62"/>
      <c r="I9" s="59">
        <v>30099571.54</v>
      </c>
      <c r="J9" s="59"/>
      <c r="K9" s="63">
        <v>0.18</v>
      </c>
      <c r="L9" s="59"/>
      <c r="M9" s="59"/>
      <c r="N9" s="48" t="s">
        <v>39</v>
      </c>
      <c r="O9" s="34"/>
      <c r="P9" s="35"/>
      <c r="Q9" s="36"/>
    </row>
    <row r="10" spans="1:17" s="71" customFormat="1" ht="12.75">
      <c r="A10" s="64"/>
      <c r="B10" s="65" t="s">
        <v>41</v>
      </c>
      <c r="C10" s="66">
        <f>SUM(C5:C9)</f>
        <v>112985462</v>
      </c>
      <c r="D10" s="66">
        <f>SUM(D5:D7)</f>
        <v>0</v>
      </c>
      <c r="E10" s="66"/>
      <c r="F10" s="66"/>
      <c r="G10" s="66"/>
      <c r="H10" s="66"/>
      <c r="I10" s="66">
        <f>SUM(I5:I7)</f>
        <v>208703157</v>
      </c>
      <c r="J10" s="66">
        <f>SUM(J5:J7)</f>
        <v>123277712</v>
      </c>
      <c r="K10" s="66"/>
      <c r="L10" s="66">
        <f>SUM(L5:L7)</f>
        <v>0</v>
      </c>
      <c r="M10" s="66">
        <f>SUM(M5:M7)</f>
        <v>0</v>
      </c>
      <c r="N10" s="67"/>
      <c r="O10" s="68">
        <f>SUM(O6:O7)</f>
        <v>0</v>
      </c>
      <c r="P10" s="69">
        <f>SUM(P6:P7)</f>
        <v>0</v>
      </c>
      <c r="Q10" s="70" t="s">
        <v>42</v>
      </c>
    </row>
    <row r="11" spans="1:17" ht="12.75">
      <c r="A11" s="37"/>
      <c r="B11" s="72" t="s">
        <v>36</v>
      </c>
      <c r="C11" s="28">
        <v>30000000</v>
      </c>
      <c r="D11" s="28"/>
      <c r="E11" s="73">
        <v>38381</v>
      </c>
      <c r="F11" s="30">
        <v>38197</v>
      </c>
      <c r="G11" s="31" t="s">
        <v>43</v>
      </c>
      <c r="H11" s="31">
        <v>173</v>
      </c>
      <c r="I11" s="28">
        <v>60049914</v>
      </c>
      <c r="J11" s="28"/>
      <c r="K11" s="74">
        <v>0.15</v>
      </c>
      <c r="L11" s="31"/>
      <c r="M11" s="31"/>
      <c r="N11" s="75" t="s">
        <v>37</v>
      </c>
      <c r="O11" s="57"/>
      <c r="P11" s="58"/>
      <c r="Q11" s="36"/>
    </row>
    <row r="12" spans="1:17" ht="12.75">
      <c r="A12" s="37"/>
      <c r="B12" s="49" t="s">
        <v>44</v>
      </c>
      <c r="C12" s="50">
        <v>23000000</v>
      </c>
      <c r="D12" s="50"/>
      <c r="E12" s="51">
        <v>38372</v>
      </c>
      <c r="F12" s="52">
        <v>38341</v>
      </c>
      <c r="G12" s="53" t="s">
        <v>36</v>
      </c>
      <c r="H12" s="54"/>
      <c r="I12" s="50">
        <v>25500</v>
      </c>
      <c r="J12" s="50"/>
      <c r="K12" s="55">
        <v>0.22</v>
      </c>
      <c r="L12" s="54"/>
      <c r="M12" s="54"/>
      <c r="N12" s="76" t="s">
        <v>37</v>
      </c>
      <c r="O12" s="57"/>
      <c r="P12" s="58"/>
      <c r="Q12" s="36"/>
    </row>
    <row r="13" spans="1:17" ht="13.5">
      <c r="A13" s="37" t="s">
        <v>36</v>
      </c>
      <c r="B13" s="42" t="s">
        <v>36</v>
      </c>
      <c r="C13" s="50">
        <v>9900500</v>
      </c>
      <c r="D13" s="50"/>
      <c r="E13" s="51">
        <v>38414</v>
      </c>
      <c r="F13" s="52"/>
      <c r="G13" s="53" t="s">
        <v>45</v>
      </c>
      <c r="H13" s="54">
        <v>3</v>
      </c>
      <c r="I13" s="50"/>
      <c r="J13" s="50"/>
      <c r="K13" s="55"/>
      <c r="L13" s="54"/>
      <c r="M13" s="54"/>
      <c r="N13" s="56"/>
      <c r="O13" s="57"/>
      <c r="P13" s="58"/>
      <c r="Q13" s="36"/>
    </row>
    <row r="14" spans="1:17" ht="12.75">
      <c r="A14" s="37"/>
      <c r="B14" s="42" t="s">
        <v>38</v>
      </c>
      <c r="C14" s="50">
        <v>5000000</v>
      </c>
      <c r="D14" s="50"/>
      <c r="E14" s="51">
        <v>38506</v>
      </c>
      <c r="F14" s="52"/>
      <c r="G14" s="53" t="s">
        <v>46</v>
      </c>
      <c r="H14" s="54">
        <v>1</v>
      </c>
      <c r="I14" s="50">
        <v>5460000</v>
      </c>
      <c r="J14" s="50"/>
      <c r="K14" s="55"/>
      <c r="L14" s="54"/>
      <c r="M14" s="54"/>
      <c r="N14" s="56"/>
      <c r="O14" s="57"/>
      <c r="P14" s="58"/>
      <c r="Q14" s="36"/>
    </row>
    <row r="15" spans="1:17" ht="12.75">
      <c r="A15" s="37"/>
      <c r="B15" s="42" t="s">
        <v>36</v>
      </c>
      <c r="C15" s="39">
        <v>20000000</v>
      </c>
      <c r="D15" s="39"/>
      <c r="E15" s="40">
        <v>38440</v>
      </c>
      <c r="F15" s="41">
        <v>38082</v>
      </c>
      <c r="G15" s="53" t="s">
        <v>47</v>
      </c>
      <c r="H15" s="43">
        <v>1</v>
      </c>
      <c r="I15" s="39">
        <v>35000000</v>
      </c>
      <c r="J15" s="39">
        <v>35000000</v>
      </c>
      <c r="K15" s="76">
        <v>0.17</v>
      </c>
      <c r="L15" s="43"/>
      <c r="M15" s="43"/>
      <c r="N15" s="45" t="s">
        <v>37</v>
      </c>
      <c r="O15" s="57"/>
      <c r="P15" s="58"/>
      <c r="Q15" s="36"/>
    </row>
    <row r="16" spans="1:17" ht="12.75">
      <c r="A16" s="64"/>
      <c r="B16" s="77" t="s">
        <v>41</v>
      </c>
      <c r="C16" s="78">
        <f>SUM(C11:C15)</f>
        <v>87900500</v>
      </c>
      <c r="D16" s="78">
        <f>SUM(D11:D15)</f>
        <v>0</v>
      </c>
      <c r="E16" s="78"/>
      <c r="F16" s="78"/>
      <c r="G16" s="78"/>
      <c r="H16" s="78"/>
      <c r="I16" s="78">
        <f>SUM(I11:I15)</f>
        <v>100535414</v>
      </c>
      <c r="J16" s="78">
        <f>SUM(J11:J15)</f>
        <v>35000000</v>
      </c>
      <c r="K16" s="66"/>
      <c r="L16" s="66">
        <f>SUM(L11:L11)</f>
        <v>0</v>
      </c>
      <c r="M16" s="66">
        <f>SUM(M11:M11)</f>
        <v>0</v>
      </c>
      <c r="N16" s="79"/>
      <c r="O16" s="68" t="e">
        <f>SUM(#REF!)</f>
        <v>#REF!</v>
      </c>
      <c r="P16" s="69" t="e">
        <f>SUM(#REF!)</f>
        <v>#REF!</v>
      </c>
      <c r="Q16" s="70" t="s">
        <v>42</v>
      </c>
    </row>
    <row r="17" spans="1:17" s="90" customFormat="1" ht="12.75" hidden="1">
      <c r="A17" s="80" t="s">
        <v>48</v>
      </c>
      <c r="B17" s="42"/>
      <c r="C17" s="81"/>
      <c r="D17" s="81"/>
      <c r="E17" s="82"/>
      <c r="F17" s="83"/>
      <c r="G17" s="42"/>
      <c r="H17" s="42"/>
      <c r="I17" s="81"/>
      <c r="J17" s="81"/>
      <c r="K17" s="84"/>
      <c r="L17" s="85"/>
      <c r="M17" s="84"/>
      <c r="N17" s="86"/>
      <c r="O17" s="87">
        <f>C17*K17/365*L17</f>
        <v>0</v>
      </c>
      <c r="P17" s="88">
        <v>1272986</v>
      </c>
      <c r="Q17" s="89"/>
    </row>
    <row r="18" spans="1:17" s="90" customFormat="1" ht="12.75" hidden="1">
      <c r="A18" s="91"/>
      <c r="B18" s="92"/>
      <c r="C18" s="93"/>
      <c r="D18" s="93"/>
      <c r="E18" s="93"/>
      <c r="F18" s="94"/>
      <c r="G18" s="49"/>
      <c r="H18" s="49"/>
      <c r="I18" s="93"/>
      <c r="J18" s="93"/>
      <c r="K18" s="84"/>
      <c r="L18" s="95"/>
      <c r="M18" s="96"/>
      <c r="N18" s="86"/>
      <c r="O18" s="97"/>
      <c r="P18" s="98"/>
      <c r="Q18" s="89"/>
    </row>
    <row r="19" spans="1:17" s="90" customFormat="1" ht="12.75" hidden="1">
      <c r="A19" s="91"/>
      <c r="B19" s="99"/>
      <c r="C19" s="81"/>
      <c r="D19" s="81"/>
      <c r="E19" s="82"/>
      <c r="F19" s="83"/>
      <c r="G19" s="42"/>
      <c r="H19" s="42"/>
      <c r="I19" s="81"/>
      <c r="J19" s="81"/>
      <c r="K19" s="100"/>
      <c r="L19" s="81"/>
      <c r="M19" s="100"/>
      <c r="N19" s="86"/>
      <c r="O19" s="87">
        <f>C19*K19/365*L19</f>
        <v>0</v>
      </c>
      <c r="P19" s="98">
        <v>0</v>
      </c>
      <c r="Q19" s="89"/>
    </row>
    <row r="20" spans="1:17" ht="12.75" hidden="1">
      <c r="A20" s="64"/>
      <c r="B20" s="65" t="s">
        <v>41</v>
      </c>
      <c r="C20" s="66">
        <f>SUM(C17:C19)</f>
        <v>0</v>
      </c>
      <c r="D20" s="66">
        <f>SUM(D17:D19)</f>
        <v>0</v>
      </c>
      <c r="E20" s="66"/>
      <c r="F20" s="66"/>
      <c r="G20" s="66"/>
      <c r="H20" s="66"/>
      <c r="I20" s="66">
        <f>SUM(I17:I19)</f>
        <v>0</v>
      </c>
      <c r="J20" s="66">
        <f>SUM(J17:J19)</f>
        <v>0</v>
      </c>
      <c r="K20" s="66"/>
      <c r="L20" s="66">
        <f>SUM(L17:L19)</f>
        <v>0</v>
      </c>
      <c r="M20" s="66">
        <f>SUM(M17:M19)</f>
        <v>0</v>
      </c>
      <c r="N20" s="79"/>
      <c r="O20" s="68">
        <f>SUM(O17:O19)</f>
        <v>0</v>
      </c>
      <c r="P20" s="69">
        <f>SUM(P17:P19)</f>
        <v>1272986</v>
      </c>
      <c r="Q20" s="70" t="s">
        <v>42</v>
      </c>
    </row>
    <row r="21" spans="1:17" s="90" customFormat="1" ht="13.5">
      <c r="A21" s="101" t="s">
        <v>36</v>
      </c>
      <c r="B21" s="102" t="s">
        <v>38</v>
      </c>
      <c r="C21" s="81">
        <v>500000</v>
      </c>
      <c r="D21" s="81"/>
      <c r="E21" s="82"/>
      <c r="F21" s="103"/>
      <c r="G21" s="104"/>
      <c r="H21" s="42"/>
      <c r="I21" s="81"/>
      <c r="J21" s="81"/>
      <c r="K21" s="100"/>
      <c r="L21" s="81"/>
      <c r="M21" s="100"/>
      <c r="N21" s="105"/>
      <c r="O21" s="87"/>
      <c r="P21" s="88"/>
      <c r="Q21" s="89"/>
    </row>
    <row r="22" spans="1:17" s="90" customFormat="1" ht="13.5">
      <c r="A22" s="106" t="s">
        <v>36</v>
      </c>
      <c r="B22" s="65" t="s">
        <v>41</v>
      </c>
      <c r="C22" s="66">
        <f>SUM(C21:C21)</f>
        <v>500000</v>
      </c>
      <c r="D22" s="66"/>
      <c r="E22" s="66"/>
      <c r="F22" s="66"/>
      <c r="G22" s="66"/>
      <c r="H22" s="66"/>
      <c r="I22" s="66">
        <f>SUM(I21:I21)</f>
        <v>0</v>
      </c>
      <c r="J22" s="66">
        <f>SUM(J21:J21)</f>
        <v>0</v>
      </c>
      <c r="K22" s="107"/>
      <c r="L22" s="108"/>
      <c r="M22" s="108"/>
      <c r="N22" s="109"/>
      <c r="O22" s="110" t="e">
        <f>#REF!+#REF!+#REF!</f>
        <v>#REF!</v>
      </c>
      <c r="P22" s="111" t="e">
        <f>#REF!+#REF!+#REF!</f>
        <v>#REF!</v>
      </c>
      <c r="Q22" s="112" t="s">
        <v>42</v>
      </c>
    </row>
    <row r="23" spans="1:17" ht="23.25">
      <c r="A23" s="26" t="s">
        <v>49</v>
      </c>
      <c r="B23" s="113" t="s">
        <v>36</v>
      </c>
      <c r="C23" s="114">
        <v>2000000</v>
      </c>
      <c r="D23" s="115"/>
      <c r="E23" s="116">
        <v>38376</v>
      </c>
      <c r="F23" s="117">
        <v>38191</v>
      </c>
      <c r="G23" s="118" t="s">
        <v>36</v>
      </c>
      <c r="H23" s="119" t="s">
        <v>50</v>
      </c>
      <c r="I23" s="115">
        <v>4606508</v>
      </c>
      <c r="J23" s="115">
        <v>2300000</v>
      </c>
      <c r="K23" s="120">
        <v>0.25</v>
      </c>
      <c r="L23" s="115">
        <f>26+30</f>
        <v>56</v>
      </c>
      <c r="M23" s="120"/>
      <c r="N23" s="121" t="s">
        <v>51</v>
      </c>
      <c r="O23" s="34">
        <f>C23*K23/365*L23</f>
        <v>76712.32876712328</v>
      </c>
      <c r="P23" s="35">
        <v>29151</v>
      </c>
      <c r="Q23" s="122" t="s">
        <v>42</v>
      </c>
    </row>
    <row r="24" spans="1:17" ht="12.75">
      <c r="A24" s="37"/>
      <c r="B24" s="123"/>
      <c r="C24" s="35"/>
      <c r="D24" s="35"/>
      <c r="E24" s="124"/>
      <c r="F24" s="125"/>
      <c r="G24" s="126" t="s">
        <v>46</v>
      </c>
      <c r="H24" s="127">
        <v>1</v>
      </c>
      <c r="I24" s="35"/>
      <c r="J24" s="35"/>
      <c r="K24" s="128"/>
      <c r="L24" s="35"/>
      <c r="M24" s="128"/>
      <c r="N24" s="129"/>
      <c r="O24" s="34"/>
      <c r="P24" s="35"/>
      <c r="Q24" s="36"/>
    </row>
    <row r="25" spans="1:17" ht="12.75">
      <c r="A25" s="37"/>
      <c r="B25" s="123"/>
      <c r="C25" s="35"/>
      <c r="D25" s="35"/>
      <c r="E25" s="124"/>
      <c r="F25" s="125"/>
      <c r="G25" s="126" t="s">
        <v>45</v>
      </c>
      <c r="H25" s="127">
        <v>2</v>
      </c>
      <c r="I25" s="35"/>
      <c r="J25" s="35"/>
      <c r="K25" s="128"/>
      <c r="L25" s="35"/>
      <c r="M25" s="128"/>
      <c r="N25" s="129"/>
      <c r="O25" s="34"/>
      <c r="P25" s="35"/>
      <c r="Q25" s="36"/>
    </row>
    <row r="26" spans="1:19" ht="12.75">
      <c r="A26" s="37"/>
      <c r="B26" s="130"/>
      <c r="C26" s="35"/>
      <c r="D26" s="35"/>
      <c r="E26" s="124"/>
      <c r="F26" s="125"/>
      <c r="G26" s="126" t="s">
        <v>47</v>
      </c>
      <c r="H26" s="127">
        <v>1</v>
      </c>
      <c r="I26" s="35"/>
      <c r="J26" s="35"/>
      <c r="K26" s="128"/>
      <c r="L26" s="35"/>
      <c r="M26" s="128"/>
      <c r="N26" s="129"/>
      <c r="O26" s="34"/>
      <c r="P26" s="35"/>
      <c r="Q26" s="36"/>
      <c r="R26" s="131"/>
      <c r="S26" s="132"/>
    </row>
    <row r="27" spans="1:19" ht="12.75">
      <c r="A27" s="37"/>
      <c r="B27" s="123"/>
      <c r="C27" s="133"/>
      <c r="D27" s="35"/>
      <c r="E27" s="124"/>
      <c r="F27" s="125"/>
      <c r="G27" s="126" t="s">
        <v>38</v>
      </c>
      <c r="H27" s="127">
        <v>3</v>
      </c>
      <c r="I27" s="35"/>
      <c r="J27" s="35"/>
      <c r="K27" s="128"/>
      <c r="L27" s="35"/>
      <c r="M27" s="128"/>
      <c r="N27" s="134"/>
      <c r="O27" s="34">
        <f>C27*K27/365*L27</f>
        <v>0</v>
      </c>
      <c r="P27" s="35">
        <v>29151</v>
      </c>
      <c r="Q27" s="122" t="s">
        <v>42</v>
      </c>
      <c r="R27" s="131"/>
      <c r="S27" s="132"/>
    </row>
    <row r="28" spans="1:19" ht="12.75">
      <c r="A28" s="37"/>
      <c r="B28" s="123"/>
      <c r="C28" s="35"/>
      <c r="D28" s="35"/>
      <c r="E28" s="124"/>
      <c r="F28" s="125"/>
      <c r="G28" s="126" t="s">
        <v>36</v>
      </c>
      <c r="H28" s="127">
        <v>1</v>
      </c>
      <c r="I28" s="35"/>
      <c r="J28" s="35"/>
      <c r="K28" s="128"/>
      <c r="L28" s="35"/>
      <c r="M28" s="128"/>
      <c r="N28" s="129"/>
      <c r="O28" s="34"/>
      <c r="P28" s="35"/>
      <c r="Q28" s="36"/>
      <c r="R28" s="131"/>
      <c r="S28" s="132"/>
    </row>
    <row r="29" spans="1:19" ht="12.75">
      <c r="A29" s="37"/>
      <c r="B29" s="123"/>
      <c r="C29" s="35"/>
      <c r="D29" s="35"/>
      <c r="E29" s="124"/>
      <c r="F29" s="125"/>
      <c r="G29" s="126" t="s">
        <v>36</v>
      </c>
      <c r="H29" s="127">
        <v>1</v>
      </c>
      <c r="I29" s="35"/>
      <c r="J29" s="35"/>
      <c r="K29" s="128"/>
      <c r="L29" s="35"/>
      <c r="M29" s="128"/>
      <c r="N29" s="129"/>
      <c r="O29" s="34"/>
      <c r="P29" s="35"/>
      <c r="Q29" s="36"/>
      <c r="R29" s="131"/>
      <c r="S29" s="132"/>
    </row>
    <row r="30" spans="1:19" ht="15.75" customHeight="1">
      <c r="A30" s="135"/>
      <c r="B30" s="136" t="s">
        <v>41</v>
      </c>
      <c r="C30" s="137">
        <f>SUM(C23:C29)</f>
        <v>2000000</v>
      </c>
      <c r="D30" s="138"/>
      <c r="E30" s="139"/>
      <c r="F30" s="139"/>
      <c r="G30" s="140"/>
      <c r="H30" s="141"/>
      <c r="I30" s="137">
        <f>I23</f>
        <v>4606508</v>
      </c>
      <c r="J30" s="137">
        <f>J23</f>
        <v>2300000</v>
      </c>
      <c r="K30" s="142"/>
      <c r="L30" s="139"/>
      <c r="M30" s="139"/>
      <c r="N30" s="143"/>
      <c r="O30" s="68" t="e">
        <f>#REF!+#REF!</f>
        <v>#REF!</v>
      </c>
      <c r="P30" s="69" t="e">
        <f>#REF!+#REF!</f>
        <v>#REF!</v>
      </c>
      <c r="Q30" s="144"/>
      <c r="R30" s="131"/>
      <c r="S30" s="132"/>
    </row>
    <row r="31" spans="1:17" s="132" customFormat="1" ht="12.75" hidden="1">
      <c r="A31" s="145" t="s">
        <v>52</v>
      </c>
      <c r="B31" s="146"/>
      <c r="C31" s="147"/>
      <c r="D31" s="147"/>
      <c r="E31" s="148"/>
      <c r="F31" s="127"/>
      <c r="G31" s="127"/>
      <c r="H31" s="127"/>
      <c r="I31" s="147"/>
      <c r="J31" s="147"/>
      <c r="K31" s="127"/>
      <c r="L31" s="127"/>
      <c r="M31" s="127"/>
      <c r="N31" s="149"/>
      <c r="O31" s="57"/>
      <c r="P31" s="58"/>
      <c r="Q31" s="36"/>
    </row>
    <row r="32" spans="1:17" s="132" customFormat="1" ht="12.75" hidden="1">
      <c r="A32" s="145"/>
      <c r="B32" s="146"/>
      <c r="C32" s="147"/>
      <c r="D32" s="147"/>
      <c r="E32" s="148"/>
      <c r="F32" s="127"/>
      <c r="G32" s="127"/>
      <c r="H32" s="127"/>
      <c r="I32" s="147"/>
      <c r="J32" s="147"/>
      <c r="K32" s="127"/>
      <c r="L32" s="127"/>
      <c r="M32" s="127"/>
      <c r="N32" s="149"/>
      <c r="O32" s="57"/>
      <c r="P32" s="58"/>
      <c r="Q32" s="36"/>
    </row>
    <row r="33" spans="1:17" s="132" customFormat="1" ht="12.75" hidden="1">
      <c r="A33" s="150"/>
      <c r="B33" s="151" t="s">
        <v>41</v>
      </c>
      <c r="C33" s="69">
        <f>C31+C32</f>
        <v>0</v>
      </c>
      <c r="D33" s="69"/>
      <c r="E33" s="152"/>
      <c r="F33" s="54"/>
      <c r="G33" s="54"/>
      <c r="H33" s="54"/>
      <c r="I33" s="69"/>
      <c r="J33" s="69"/>
      <c r="K33" s="54"/>
      <c r="L33" s="54"/>
      <c r="M33" s="54"/>
      <c r="N33" s="153"/>
      <c r="O33" s="154"/>
      <c r="P33" s="155"/>
      <c r="Q33" s="156"/>
    </row>
    <row r="34" spans="1:17" s="170" customFormat="1" ht="12.75" hidden="1">
      <c r="A34" s="157" t="s">
        <v>53</v>
      </c>
      <c r="B34" s="158" t="s">
        <v>54</v>
      </c>
      <c r="C34" s="159">
        <v>1000000</v>
      </c>
      <c r="D34" s="160"/>
      <c r="E34" s="161" t="s">
        <v>55</v>
      </c>
      <c r="F34" s="162">
        <v>37735</v>
      </c>
      <c r="G34" s="163" t="s">
        <v>56</v>
      </c>
      <c r="H34" s="163"/>
      <c r="I34" s="164">
        <v>2400000</v>
      </c>
      <c r="J34" s="164">
        <v>1100000</v>
      </c>
      <c r="K34" s="165">
        <v>0.25</v>
      </c>
      <c r="L34" s="165"/>
      <c r="M34" s="165"/>
      <c r="N34" s="166"/>
      <c r="O34" s="167"/>
      <c r="P34" s="168"/>
      <c r="Q34" s="169"/>
    </row>
    <row r="35" spans="1:17" s="170" customFormat="1" ht="12.75" hidden="1">
      <c r="A35" s="157"/>
      <c r="B35" s="163"/>
      <c r="C35" s="163"/>
      <c r="D35" s="163"/>
      <c r="E35" s="171"/>
      <c r="F35" s="162"/>
      <c r="G35" s="163"/>
      <c r="H35" s="163"/>
      <c r="I35" s="164"/>
      <c r="J35" s="164"/>
      <c r="K35" s="165"/>
      <c r="L35" s="165"/>
      <c r="M35" s="165"/>
      <c r="N35" s="166"/>
      <c r="O35" s="167"/>
      <c r="P35" s="168"/>
      <c r="Q35" s="169"/>
    </row>
    <row r="36" spans="1:17" s="170" customFormat="1" ht="12.75" hidden="1">
      <c r="A36" s="172"/>
      <c r="B36" s="173" t="s">
        <v>41</v>
      </c>
      <c r="C36" s="69">
        <f>SUM(C34:C35)</f>
        <v>1000000</v>
      </c>
      <c r="D36" s="174"/>
      <c r="E36" s="175"/>
      <c r="F36" s="176"/>
      <c r="G36" s="174"/>
      <c r="H36" s="174"/>
      <c r="I36" s="177"/>
      <c r="J36" s="177"/>
      <c r="K36" s="178"/>
      <c r="L36" s="178"/>
      <c r="M36" s="178"/>
      <c r="N36" s="179"/>
      <c r="O36" s="180"/>
      <c r="P36" s="181"/>
      <c r="Q36" s="182"/>
    </row>
    <row r="37" spans="1:17" s="132" customFormat="1" ht="12.75" hidden="1">
      <c r="A37" s="145" t="s">
        <v>57</v>
      </c>
      <c r="B37" s="146"/>
      <c r="C37" s="147"/>
      <c r="D37" s="147"/>
      <c r="E37" s="148"/>
      <c r="F37" s="127"/>
      <c r="G37" s="127"/>
      <c r="H37" s="127"/>
      <c r="I37" s="147"/>
      <c r="J37" s="147"/>
      <c r="K37" s="127"/>
      <c r="L37" s="127"/>
      <c r="M37" s="127"/>
      <c r="N37" s="149"/>
      <c r="O37" s="57"/>
      <c r="P37" s="58"/>
      <c r="Q37" s="36"/>
    </row>
    <row r="38" spans="1:17" s="132" customFormat="1" ht="12.75" hidden="1">
      <c r="A38" s="145"/>
      <c r="B38" s="146"/>
      <c r="C38" s="147"/>
      <c r="D38" s="147"/>
      <c r="E38" s="148"/>
      <c r="F38" s="127"/>
      <c r="G38" s="127"/>
      <c r="H38" s="127"/>
      <c r="I38" s="147"/>
      <c r="J38" s="147"/>
      <c r="K38" s="127"/>
      <c r="L38" s="127"/>
      <c r="M38" s="127"/>
      <c r="N38" s="149"/>
      <c r="O38" s="57"/>
      <c r="P38" s="58"/>
      <c r="Q38" s="36"/>
    </row>
    <row r="39" spans="1:17" s="132" customFormat="1" ht="12.75" hidden="1">
      <c r="A39" s="150"/>
      <c r="B39" s="151" t="s">
        <v>41</v>
      </c>
      <c r="C39" s="69">
        <f>C37+C38</f>
        <v>0</v>
      </c>
      <c r="D39" s="69"/>
      <c r="E39" s="152"/>
      <c r="F39" s="54"/>
      <c r="G39" s="54"/>
      <c r="H39" s="54"/>
      <c r="I39" s="69"/>
      <c r="J39" s="69"/>
      <c r="K39" s="54"/>
      <c r="L39" s="54"/>
      <c r="M39" s="54"/>
      <c r="N39" s="153"/>
      <c r="O39" s="154"/>
      <c r="P39" s="155"/>
      <c r="Q39" s="156"/>
    </row>
    <row r="40" spans="1:17" s="132" customFormat="1" ht="12.75" hidden="1">
      <c r="A40" s="145" t="s">
        <v>58</v>
      </c>
      <c r="B40" s="146"/>
      <c r="C40" s="147"/>
      <c r="D40" s="147"/>
      <c r="E40" s="148"/>
      <c r="F40" s="127"/>
      <c r="G40" s="127"/>
      <c r="H40" s="127"/>
      <c r="I40" s="147"/>
      <c r="J40" s="147"/>
      <c r="K40" s="127"/>
      <c r="L40" s="127"/>
      <c r="M40" s="127"/>
      <c r="N40" s="149"/>
      <c r="O40" s="57"/>
      <c r="P40" s="58"/>
      <c r="Q40" s="36"/>
    </row>
    <row r="41" spans="1:17" s="132" customFormat="1" ht="12.75" hidden="1">
      <c r="A41" s="145"/>
      <c r="B41" s="146"/>
      <c r="C41" s="147"/>
      <c r="D41" s="147"/>
      <c r="E41" s="148"/>
      <c r="F41" s="127"/>
      <c r="G41" s="127"/>
      <c r="H41" s="127"/>
      <c r="I41" s="147"/>
      <c r="J41" s="147"/>
      <c r="K41" s="127"/>
      <c r="L41" s="127"/>
      <c r="M41" s="127"/>
      <c r="N41" s="149"/>
      <c r="O41" s="57"/>
      <c r="P41" s="57"/>
      <c r="Q41" s="36"/>
    </row>
    <row r="42" spans="1:17" s="132" customFormat="1" ht="12.75" hidden="1">
      <c r="A42" s="150"/>
      <c r="B42" s="151" t="s">
        <v>41</v>
      </c>
      <c r="C42" s="69">
        <f>C40+C41</f>
        <v>0</v>
      </c>
      <c r="D42" s="69"/>
      <c r="E42" s="152"/>
      <c r="F42" s="54"/>
      <c r="G42" s="54"/>
      <c r="H42" s="54"/>
      <c r="I42" s="69"/>
      <c r="J42" s="69"/>
      <c r="K42" s="54"/>
      <c r="L42" s="54"/>
      <c r="M42" s="54"/>
      <c r="N42" s="153"/>
      <c r="O42" s="154"/>
      <c r="P42" s="154"/>
      <c r="Q42" s="156"/>
    </row>
    <row r="43" spans="1:17" s="191" customFormat="1" ht="14.25">
      <c r="A43" s="183" t="s">
        <v>59</v>
      </c>
      <c r="B43" s="183"/>
      <c r="C43" s="184">
        <f>C10+C16+C20+C22+C30</f>
        <v>203385962</v>
      </c>
      <c r="D43" s="185"/>
      <c r="E43" s="184"/>
      <c r="F43" s="184"/>
      <c r="G43" s="184"/>
      <c r="H43" s="184"/>
      <c r="I43" s="184">
        <f>I10+I16+I20+I22+I30</f>
        <v>313845079</v>
      </c>
      <c r="J43" s="184">
        <f>J10+J16+J20+J22+J30</f>
        <v>160577712</v>
      </c>
      <c r="K43" s="186"/>
      <c r="L43" s="187"/>
      <c r="M43" s="187"/>
      <c r="N43" s="188"/>
      <c r="O43" s="189" t="e">
        <f>O10+O16+O20+O22+O30</f>
        <v>#REF!</v>
      </c>
      <c r="P43" s="190" t="e">
        <f>P10+P16+P20+P22+P30</f>
        <v>#REF!</v>
      </c>
      <c r="Q43" s="122" t="s">
        <v>42</v>
      </c>
    </row>
    <row r="44" spans="1:14" ht="16.5">
      <c r="A44" s="192"/>
      <c r="B44" s="192"/>
      <c r="C44" s="193"/>
      <c r="D44" s="194"/>
      <c r="E44" s="195"/>
      <c r="F44" s="132"/>
      <c r="G44" s="132"/>
      <c r="H44" s="132"/>
      <c r="I44" s="132"/>
      <c r="J44" s="132"/>
      <c r="K44" s="132"/>
      <c r="L44" s="132"/>
      <c r="M44" s="132"/>
      <c r="N44" s="132"/>
    </row>
    <row r="45" spans="1:14" ht="14.25">
      <c r="A45" s="196"/>
      <c r="B45" s="192"/>
      <c r="C45" s="192"/>
      <c r="D45" s="197"/>
      <c r="E45" s="195"/>
      <c r="F45" s="132"/>
      <c r="G45" s="132"/>
      <c r="H45" s="132"/>
      <c r="I45" s="132"/>
      <c r="J45" s="132"/>
      <c r="K45" s="132"/>
      <c r="L45" s="132"/>
      <c r="M45" s="132"/>
      <c r="N45" s="132"/>
    </row>
    <row r="46" spans="1:14" ht="14.25">
      <c r="A46" s="198"/>
      <c r="B46" s="196" t="s">
        <v>60</v>
      </c>
      <c r="C46" s="199">
        <f>C6+C11+C12+C23</f>
        <v>111000000</v>
      </c>
      <c r="D46" s="132"/>
      <c r="E46" s="195"/>
      <c r="F46" s="132"/>
      <c r="G46" s="132"/>
      <c r="H46" s="132"/>
      <c r="I46" s="132"/>
      <c r="J46" s="132"/>
      <c r="K46" s="132"/>
      <c r="L46" s="132"/>
      <c r="M46" s="132"/>
      <c r="N46" s="132"/>
    </row>
    <row r="47" spans="1:14" ht="12">
      <c r="A47" s="200"/>
      <c r="B47" s="201" t="s">
        <v>38</v>
      </c>
      <c r="C47" s="202">
        <f>C11+C12</f>
        <v>53000000</v>
      </c>
      <c r="D47" s="132"/>
      <c r="E47" s="195"/>
      <c r="F47" s="132"/>
      <c r="G47" s="132"/>
      <c r="H47" s="132"/>
      <c r="I47" s="132"/>
      <c r="J47" s="132"/>
      <c r="K47" s="132"/>
      <c r="L47" s="132"/>
      <c r="M47" s="132"/>
      <c r="N47" s="132"/>
    </row>
    <row r="48" spans="1:14" ht="14.25">
      <c r="A48" s="203"/>
      <c r="B48" s="200" t="s">
        <v>38</v>
      </c>
      <c r="C48" s="202">
        <f>C6</f>
        <v>56000000</v>
      </c>
      <c r="D48" s="132"/>
      <c r="E48" s="203"/>
      <c r="F48" s="132"/>
      <c r="G48" s="132"/>
      <c r="H48" s="132"/>
      <c r="I48" s="132"/>
      <c r="J48" s="132"/>
      <c r="K48" s="132"/>
      <c r="L48" s="132"/>
      <c r="M48" s="132"/>
      <c r="N48" s="132"/>
    </row>
    <row r="49" spans="1:14" ht="12">
      <c r="A49" s="204"/>
      <c r="B49" s="200" t="s">
        <v>36</v>
      </c>
      <c r="C49" s="202">
        <f>C23</f>
        <v>2000000</v>
      </c>
      <c r="D49" s="132"/>
      <c r="E49" s="195"/>
      <c r="F49" s="132"/>
      <c r="G49" s="132"/>
      <c r="H49" s="132"/>
      <c r="I49" s="132"/>
      <c r="J49" s="132"/>
      <c r="K49" s="132"/>
      <c r="L49" s="132"/>
      <c r="M49" s="132"/>
      <c r="N49" s="132"/>
    </row>
    <row r="50" spans="1:14" ht="51" customHeight="1">
      <c r="A50" s="204"/>
      <c r="B50" s="200"/>
      <c r="C50" s="202"/>
      <c r="D50" s="132"/>
      <c r="E50" s="195"/>
      <c r="F50" s="132"/>
      <c r="G50" s="132"/>
      <c r="H50" s="132"/>
      <c r="I50" s="132"/>
      <c r="J50" s="132"/>
      <c r="K50" s="132"/>
      <c r="L50" s="132"/>
      <c r="M50" s="132"/>
      <c r="N50" s="132"/>
    </row>
    <row r="51" spans="1:14" s="207" customFormat="1" ht="16.5">
      <c r="A51" s="205"/>
      <c r="B51" s="205" t="s">
        <v>36</v>
      </c>
      <c r="C51" s="205"/>
      <c r="D51" s="205"/>
      <c r="E51" s="206"/>
      <c r="F51" s="205"/>
      <c r="G51" s="205" t="s">
        <v>36</v>
      </c>
      <c r="H51" s="206"/>
      <c r="I51" s="206"/>
      <c r="J51" s="206"/>
      <c r="K51" s="206"/>
      <c r="L51" s="206"/>
      <c r="M51" s="206"/>
      <c r="N51" s="206"/>
    </row>
    <row r="54" ht="36.75" customHeight="1"/>
    <row r="57" ht="14.25">
      <c r="A57" s="208" t="s">
        <v>61</v>
      </c>
    </row>
    <row r="58" spans="1:2" ht="14.25">
      <c r="A58" s="208" t="s">
        <v>62</v>
      </c>
      <c r="B58" s="208" t="s">
        <v>63</v>
      </c>
    </row>
    <row r="59" ht="14.25">
      <c r="A59" s="208"/>
    </row>
  </sheetData>
  <mergeCells count="7">
    <mergeCell ref="G1:H2"/>
    <mergeCell ref="O1:Q1"/>
    <mergeCell ref="O2:Q2"/>
    <mergeCell ref="K17:K18"/>
    <mergeCell ref="N17:N19"/>
    <mergeCell ref="A43:B43"/>
    <mergeCell ref="A44:B44"/>
  </mergeCells>
  <printOptions horizontalCentered="1"/>
  <pageMargins left="1.0902777777777777" right="0.9701388888888889" top="0.9840277777777777" bottom="0.7097222222222223" header="0.5118055555555555" footer="0.5118055555555555"/>
  <pageSetup cellComments="atEnd" fitToHeight="1" fitToWidth="1" horizontalDpi="300" verticalDpi="300" orientation="landscape" paperSize="9"/>
  <headerFooter alignWithMargins="0">
    <oddHeader>&amp;C&amp;12СПРАВКА
о существующих кредитах предприятий Холдинга по состоянию на &amp;D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workbookViewId="0" topLeftCell="F1">
      <selection activeCell="A2" sqref="A2"/>
    </sheetView>
  </sheetViews>
  <sheetFormatPr defaultColWidth="9.00390625" defaultRowHeight="12.75"/>
  <cols>
    <col min="1" max="1" width="30.875" style="1" customWidth="1"/>
    <col min="2" max="2" width="27.00390625" style="0" customWidth="1"/>
    <col min="3" max="3" width="14.375" style="0" customWidth="1"/>
    <col min="4" max="4" width="13.875" style="2" customWidth="1"/>
    <col min="5" max="5" width="14.875" style="0" customWidth="1"/>
    <col min="6" max="6" width="39.875" style="0" customWidth="1"/>
    <col min="7" max="7" width="8.25390625" style="0" customWidth="1"/>
    <col min="8" max="8" width="15.625" style="0" customWidth="1"/>
    <col min="9" max="9" width="14.625" style="0" customWidth="1"/>
    <col min="10" max="10" width="10.625" style="0" customWidth="1"/>
    <col min="11" max="11" width="31.625" style="0" customWidth="1"/>
    <col min="12" max="14" width="0" style="0" hidden="1" customWidth="1"/>
    <col min="15" max="15" width="22.00390625" style="0" customWidth="1"/>
  </cols>
  <sheetData>
    <row r="1" spans="1:11" ht="16.5">
      <c r="A1" s="409" t="s">
        <v>119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</row>
    <row r="2" spans="1:11" ht="16.5">
      <c r="A2" s="409" t="s">
        <v>154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</row>
    <row r="3" spans="1:11" ht="16.5">
      <c r="A3" s="366"/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11" ht="16.5">
      <c r="A4" s="366"/>
      <c r="B4" s="366"/>
      <c r="C4" s="366"/>
      <c r="D4" s="366"/>
      <c r="E4" s="366"/>
      <c r="F4" s="366"/>
      <c r="G4" s="366"/>
      <c r="H4" s="366"/>
      <c r="I4" s="366"/>
      <c r="J4" s="366"/>
      <c r="K4" s="366"/>
    </row>
    <row r="5" spans="1:11" ht="12">
      <c r="A5" s="367"/>
      <c r="B5" s="367"/>
      <c r="C5" s="367"/>
      <c r="D5" s="367"/>
      <c r="E5" s="367"/>
      <c r="F5" s="367"/>
      <c r="G5" s="367"/>
      <c r="H5" s="367"/>
      <c r="I5" s="367"/>
      <c r="J5" s="367"/>
      <c r="K5" s="367"/>
    </row>
    <row r="6" ht="12">
      <c r="K6" s="368" t="s">
        <v>121</v>
      </c>
    </row>
    <row r="7" spans="1:14" s="255" customFormat="1" ht="15.75" customHeight="1">
      <c r="A7" s="369" t="s">
        <v>122</v>
      </c>
      <c r="B7" s="370" t="s">
        <v>123</v>
      </c>
      <c r="C7" s="370" t="s">
        <v>124</v>
      </c>
      <c r="D7" s="370" t="s">
        <v>125</v>
      </c>
      <c r="E7" s="370" t="s">
        <v>126</v>
      </c>
      <c r="F7" s="371" t="s">
        <v>127</v>
      </c>
      <c r="G7" s="371"/>
      <c r="H7" s="370" t="s">
        <v>128</v>
      </c>
      <c r="I7" s="370" t="s">
        <v>129</v>
      </c>
      <c r="J7" s="370" t="s">
        <v>130</v>
      </c>
      <c r="K7" s="372" t="s">
        <v>131</v>
      </c>
      <c r="L7" s="254" t="s">
        <v>10</v>
      </c>
      <c r="M7" s="254"/>
      <c r="N7" s="254"/>
    </row>
    <row r="8" spans="1:14" s="255" customFormat="1" ht="14.25">
      <c r="A8" s="369"/>
      <c r="B8" s="370"/>
      <c r="C8" s="370"/>
      <c r="D8" s="370"/>
      <c r="E8" s="370"/>
      <c r="F8" s="371"/>
      <c r="G8" s="371"/>
      <c r="H8" s="370"/>
      <c r="I8" s="370"/>
      <c r="J8" s="370"/>
      <c r="K8" s="372"/>
      <c r="L8" s="260" t="s">
        <v>21</v>
      </c>
      <c r="M8" s="260"/>
      <c r="N8" s="260"/>
    </row>
    <row r="9" spans="1:14" s="255" customFormat="1" ht="14.25">
      <c r="A9" s="369"/>
      <c r="B9" s="370"/>
      <c r="C9" s="370"/>
      <c r="D9" s="370"/>
      <c r="E9" s="370"/>
      <c r="F9" s="373" t="s">
        <v>26</v>
      </c>
      <c r="G9" s="373" t="s">
        <v>27</v>
      </c>
      <c r="H9" s="370"/>
      <c r="I9" s="370"/>
      <c r="J9" s="370"/>
      <c r="K9" s="372"/>
      <c r="L9" s="254" t="s">
        <v>31</v>
      </c>
      <c r="M9" s="261" t="s">
        <v>32</v>
      </c>
      <c r="N9" s="262" t="s">
        <v>33</v>
      </c>
    </row>
    <row r="10" spans="1:14" s="270" customFormat="1" ht="14.25">
      <c r="A10" s="369"/>
      <c r="B10" s="370"/>
      <c r="C10" s="370"/>
      <c r="D10" s="370"/>
      <c r="E10" s="370"/>
      <c r="F10" s="373"/>
      <c r="G10" s="373"/>
      <c r="H10" s="370"/>
      <c r="I10" s="370"/>
      <c r="J10" s="370"/>
      <c r="K10" s="372"/>
      <c r="L10" s="268"/>
      <c r="M10" s="269"/>
      <c r="N10" s="268"/>
    </row>
    <row r="11" spans="1:14" s="282" customFormat="1" ht="21" customHeight="1">
      <c r="A11" s="427" t="s">
        <v>155</v>
      </c>
      <c r="B11" s="410" t="s">
        <v>149</v>
      </c>
      <c r="C11" s="411">
        <v>56000000</v>
      </c>
      <c r="D11" s="412">
        <v>38913</v>
      </c>
      <c r="E11" s="412">
        <v>38366</v>
      </c>
      <c r="F11" s="414" t="s">
        <v>36</v>
      </c>
      <c r="G11" s="415">
        <f>25+40+134+52</f>
        <v>251</v>
      </c>
      <c r="H11" s="416">
        <f>2659200+2137000+2800600+2600000</f>
        <v>10196800</v>
      </c>
      <c r="I11" s="417">
        <f>1279998.33+1592780.32+1677474.64+1557321.31</f>
        <v>6107574.6</v>
      </c>
      <c r="J11" s="419">
        <v>0.15</v>
      </c>
      <c r="K11" s="428" t="s">
        <v>82</v>
      </c>
      <c r="L11" s="279"/>
      <c r="M11" s="280"/>
      <c r="N11" s="281"/>
    </row>
    <row r="12" spans="1:14" s="282" customFormat="1" ht="15.75" customHeight="1">
      <c r="A12" s="427"/>
      <c r="B12" s="410"/>
      <c r="C12" s="411"/>
      <c r="D12" s="412"/>
      <c r="E12" s="412"/>
      <c r="F12" s="302" t="s">
        <v>36</v>
      </c>
      <c r="G12" s="303">
        <f>3000+2000+8590+15000</f>
        <v>28590</v>
      </c>
      <c r="H12" s="385">
        <f>2358000+62370000+11733940+25200000</f>
        <v>101661940</v>
      </c>
      <c r="I12" s="385">
        <f>1412370.64+37357742.45+7028274.95+15094037.35</f>
        <v>60892425.39000001</v>
      </c>
      <c r="J12" s="419"/>
      <c r="K12" s="428"/>
      <c r="L12" s="279"/>
      <c r="M12" s="280"/>
      <c r="N12" s="281"/>
    </row>
    <row r="13" spans="1:14" s="282" customFormat="1" ht="14.25">
      <c r="A13" s="427"/>
      <c r="B13" s="272" t="s">
        <v>150</v>
      </c>
      <c r="C13" s="375">
        <v>25000000</v>
      </c>
      <c r="D13" s="274">
        <v>38863</v>
      </c>
      <c r="E13" s="274">
        <v>38135</v>
      </c>
      <c r="F13" s="275" t="s">
        <v>36</v>
      </c>
      <c r="G13" s="276"/>
      <c r="H13" s="375">
        <v>30099571.54</v>
      </c>
      <c r="I13" s="375">
        <v>30099571.54</v>
      </c>
      <c r="J13" s="277">
        <v>0.15</v>
      </c>
      <c r="K13" s="285" t="s">
        <v>39</v>
      </c>
      <c r="L13" s="279"/>
      <c r="M13" s="280"/>
      <c r="N13" s="281" t="s">
        <v>39</v>
      </c>
    </row>
    <row r="14" spans="1:14" s="282" customFormat="1" ht="15.75" customHeight="1">
      <c r="A14" s="427"/>
      <c r="B14" s="283" t="s">
        <v>156</v>
      </c>
      <c r="C14" s="375">
        <f>35000000-3414538-5260000-5260000-5260000</f>
        <v>15805462</v>
      </c>
      <c r="D14" s="274">
        <v>38716</v>
      </c>
      <c r="E14" s="274">
        <v>37981</v>
      </c>
      <c r="F14" s="275" t="s">
        <v>38</v>
      </c>
      <c r="G14" s="276"/>
      <c r="H14" s="375">
        <v>83613157</v>
      </c>
      <c r="I14" s="375">
        <v>48347712</v>
      </c>
      <c r="J14" s="284">
        <v>0.22</v>
      </c>
      <c r="K14" s="285" t="s">
        <v>39</v>
      </c>
      <c r="L14" s="279"/>
      <c r="M14" s="280"/>
      <c r="N14" s="281"/>
    </row>
    <row r="15" spans="1:14" s="282" customFormat="1" ht="31.5" customHeight="1">
      <c r="A15" s="427"/>
      <c r="B15" s="283" t="s">
        <v>157</v>
      </c>
      <c r="C15" s="376">
        <v>100000000</v>
      </c>
      <c r="D15" s="377">
        <v>38786</v>
      </c>
      <c r="E15" s="377">
        <v>38429</v>
      </c>
      <c r="F15" s="378" t="s">
        <v>36</v>
      </c>
      <c r="G15" s="379"/>
      <c r="H15" s="376">
        <v>129136700</v>
      </c>
      <c r="I15" s="376">
        <v>100000000</v>
      </c>
      <c r="J15" s="380">
        <v>0.14</v>
      </c>
      <c r="K15" s="381" t="s">
        <v>133</v>
      </c>
      <c r="L15" s="279"/>
      <c r="M15" s="280"/>
      <c r="N15" s="281"/>
    </row>
    <row r="16" spans="1:14" s="282" customFormat="1" ht="15.75" customHeight="1">
      <c r="A16" s="427"/>
      <c r="B16" s="382" t="s">
        <v>158</v>
      </c>
      <c r="C16" s="383"/>
      <c r="D16" s="288"/>
      <c r="E16" s="288"/>
      <c r="F16" s="289" t="s">
        <v>38</v>
      </c>
      <c r="G16" s="290">
        <v>255</v>
      </c>
      <c r="H16" s="383">
        <v>15045000</v>
      </c>
      <c r="I16" s="383">
        <v>7522500</v>
      </c>
      <c r="J16" s="291"/>
      <c r="K16" s="292"/>
      <c r="L16" s="279"/>
      <c r="M16" s="280"/>
      <c r="N16" s="281"/>
    </row>
    <row r="17" spans="1:14" s="282" customFormat="1" ht="15.75" customHeight="1">
      <c r="A17" s="427"/>
      <c r="B17" s="382"/>
      <c r="C17" s="384">
        <v>15000000</v>
      </c>
      <c r="D17" s="294">
        <v>38704</v>
      </c>
      <c r="E17" s="294">
        <v>38371</v>
      </c>
      <c r="F17" s="295" t="s">
        <v>36</v>
      </c>
      <c r="G17" s="296">
        <v>2192</v>
      </c>
      <c r="H17" s="384">
        <v>68357520</v>
      </c>
      <c r="I17" s="384">
        <v>34178760</v>
      </c>
      <c r="J17" s="297">
        <v>0.18</v>
      </c>
      <c r="K17" s="298" t="s">
        <v>89</v>
      </c>
      <c r="L17" s="279"/>
      <c r="M17" s="280"/>
      <c r="N17" s="281"/>
    </row>
    <row r="18" spans="1:14" s="282" customFormat="1" ht="14.25">
      <c r="A18" s="427"/>
      <c r="B18" s="382"/>
      <c r="C18" s="384">
        <v>15000000</v>
      </c>
      <c r="D18" s="294"/>
      <c r="E18" s="294"/>
      <c r="F18" s="295" t="s">
        <v>36</v>
      </c>
      <c r="G18" s="296">
        <v>119</v>
      </c>
      <c r="H18" s="384">
        <v>7021000</v>
      </c>
      <c r="I18" s="384">
        <v>3510500</v>
      </c>
      <c r="J18" s="297"/>
      <c r="K18" s="298"/>
      <c r="L18" s="279"/>
      <c r="M18" s="280"/>
      <c r="N18" s="281"/>
    </row>
    <row r="19" spans="1:14" s="282" customFormat="1" ht="14.25">
      <c r="A19" s="427"/>
      <c r="B19" s="382"/>
      <c r="C19" s="385">
        <v>15000000</v>
      </c>
      <c r="D19" s="301"/>
      <c r="E19" s="301"/>
      <c r="F19" s="302" t="s">
        <v>36</v>
      </c>
      <c r="G19" s="303"/>
      <c r="H19" s="385"/>
      <c r="I19" s="385"/>
      <c r="J19" s="304"/>
      <c r="K19" s="305"/>
      <c r="L19" s="279"/>
      <c r="M19" s="280"/>
      <c r="N19" s="281"/>
    </row>
    <row r="20" spans="1:14" s="282" customFormat="1" ht="14.25">
      <c r="A20" s="427"/>
      <c r="B20" s="379" t="s">
        <v>150</v>
      </c>
      <c r="C20" s="383"/>
      <c r="D20" s="288"/>
      <c r="E20" s="288"/>
      <c r="F20" s="289" t="s">
        <v>36</v>
      </c>
      <c r="G20" s="290">
        <v>7</v>
      </c>
      <c r="H20" s="287">
        <v>19088000</v>
      </c>
      <c r="I20" s="383">
        <v>11363700</v>
      </c>
      <c r="J20" s="291"/>
      <c r="K20" s="292"/>
      <c r="L20" s="279"/>
      <c r="M20" s="280"/>
      <c r="N20" s="281"/>
    </row>
    <row r="21" spans="1:14" s="282" customFormat="1" ht="14.25">
      <c r="A21" s="427"/>
      <c r="B21" s="379"/>
      <c r="C21" s="384">
        <v>18000000</v>
      </c>
      <c r="D21" s="294">
        <v>38736</v>
      </c>
      <c r="E21" s="294">
        <v>38366</v>
      </c>
      <c r="F21" s="295" t="s">
        <v>36</v>
      </c>
      <c r="G21" s="296">
        <v>21</v>
      </c>
      <c r="H21" s="280">
        <v>5455800</v>
      </c>
      <c r="I21" s="384">
        <v>2727900</v>
      </c>
      <c r="J21" s="297">
        <v>0.15</v>
      </c>
      <c r="K21" s="298" t="s">
        <v>39</v>
      </c>
      <c r="L21" s="279"/>
      <c r="M21" s="280"/>
      <c r="N21" s="281"/>
    </row>
    <row r="22" spans="1:14" s="282" customFormat="1" ht="14.25">
      <c r="A22" s="427"/>
      <c r="B22" s="379"/>
      <c r="C22" s="385"/>
      <c r="D22" s="301"/>
      <c r="E22" s="301"/>
      <c r="F22" s="302" t="s">
        <v>36</v>
      </c>
      <c r="G22" s="303">
        <v>268</v>
      </c>
      <c r="H22" s="300">
        <v>16080000</v>
      </c>
      <c r="I22" s="385">
        <v>7236000</v>
      </c>
      <c r="J22" s="304"/>
      <c r="K22" s="305"/>
      <c r="L22" s="279"/>
      <c r="M22" s="280"/>
      <c r="N22" s="281"/>
    </row>
    <row r="23" spans="1:14" s="338" customFormat="1" ht="12.75" customHeight="1" hidden="1">
      <c r="A23" s="329"/>
      <c r="B23" s="275"/>
      <c r="C23" s="403"/>
      <c r="D23" s="331"/>
      <c r="E23" s="332"/>
      <c r="F23" s="275"/>
      <c r="G23" s="275"/>
      <c r="H23" s="403"/>
      <c r="I23" s="403"/>
      <c r="J23" s="333"/>
      <c r="K23" s="334"/>
      <c r="L23" s="335" t="e">
        <f>C23*J23/365*#REF!</f>
        <v>#REF!</v>
      </c>
      <c r="M23" s="336">
        <v>1272986</v>
      </c>
      <c r="N23" s="337"/>
    </row>
    <row r="24" spans="1:14" s="338" customFormat="1" ht="12.75" customHeight="1" hidden="1">
      <c r="A24" s="339"/>
      <c r="B24" s="340"/>
      <c r="C24" s="404"/>
      <c r="D24" s="341"/>
      <c r="E24" s="342"/>
      <c r="F24" s="302"/>
      <c r="G24" s="302"/>
      <c r="H24" s="404"/>
      <c r="I24" s="404"/>
      <c r="J24" s="333"/>
      <c r="K24" s="334"/>
      <c r="L24" s="343"/>
      <c r="M24" s="344"/>
      <c r="N24" s="337"/>
    </row>
    <row r="25" spans="1:14" s="338" customFormat="1" ht="12.75" customHeight="1" hidden="1">
      <c r="A25" s="339"/>
      <c r="B25" s="345"/>
      <c r="C25" s="403"/>
      <c r="D25" s="331"/>
      <c r="E25" s="332"/>
      <c r="F25" s="275"/>
      <c r="G25" s="275"/>
      <c r="H25" s="403"/>
      <c r="I25" s="403"/>
      <c r="J25" s="346"/>
      <c r="K25" s="334"/>
      <c r="L25" s="335" t="e">
        <f>C25*J25/365*#REF!</f>
        <v>#REF!</v>
      </c>
      <c r="M25" s="344">
        <v>0</v>
      </c>
      <c r="N25" s="337"/>
    </row>
    <row r="26" spans="1:14" s="282" customFormat="1" ht="12.75" customHeight="1" hidden="1">
      <c r="A26" s="429"/>
      <c r="B26" s="326" t="s">
        <v>41</v>
      </c>
      <c r="C26" s="402">
        <f>SUM(C23:C25)</f>
        <v>0</v>
      </c>
      <c r="D26" s="327"/>
      <c r="E26" s="327"/>
      <c r="F26" s="327"/>
      <c r="G26" s="327"/>
      <c r="H26" s="402">
        <f>SUM(H23:H25)</f>
        <v>0</v>
      </c>
      <c r="I26" s="402">
        <f>SUM(I23:I25)</f>
        <v>0</v>
      </c>
      <c r="J26" s="327"/>
      <c r="K26" s="314"/>
      <c r="L26" s="315" t="e">
        <f>SUM(L23:L25)</f>
        <v>#REF!</v>
      </c>
      <c r="M26" s="316">
        <f>SUM(M23:M25)</f>
        <v>1272986</v>
      </c>
      <c r="N26" s="317" t="s">
        <v>42</v>
      </c>
    </row>
    <row r="27" spans="1:14" s="354" customFormat="1" ht="14.25">
      <c r="A27" s="430" t="s">
        <v>59</v>
      </c>
      <c r="B27" s="430"/>
      <c r="C27" s="431">
        <f>SUM(C11:C22)</f>
        <v>259805462</v>
      </c>
      <c r="D27" s="432"/>
      <c r="E27" s="432"/>
      <c r="F27" s="432"/>
      <c r="G27" s="432"/>
      <c r="H27" s="431">
        <f>SUM(H11:H22)</f>
        <v>485755488.53999996</v>
      </c>
      <c r="I27" s="431">
        <f>SUM(I11:I22)</f>
        <v>311986643.53000003</v>
      </c>
      <c r="J27" s="433"/>
      <c r="K27" s="434"/>
      <c r="L27" s="351" t="e">
        <f>#REF!+#REF!+L26+#REF!+#REF!</f>
        <v>#REF!</v>
      </c>
      <c r="M27" s="352" t="e">
        <f>#REF!+#REF!+M26+#REF!+#REF!</f>
        <v>#REF!</v>
      </c>
      <c r="N27" s="353" t="s">
        <v>42</v>
      </c>
    </row>
    <row r="28" spans="1:11" s="282" customFormat="1" ht="14.25">
      <c r="A28" s="355"/>
      <c r="B28" s="355"/>
      <c r="C28" s="356"/>
      <c r="D28" s="357"/>
      <c r="E28" s="358"/>
      <c r="F28" s="358"/>
      <c r="G28" s="358"/>
      <c r="H28" s="358" t="s">
        <v>159</v>
      </c>
      <c r="I28" s="358"/>
      <c r="J28" s="358"/>
      <c r="K28" s="358"/>
    </row>
    <row r="29" spans="1:11" s="282" customFormat="1" ht="14.25">
      <c r="A29" s="196"/>
      <c r="B29" s="355"/>
      <c r="C29" s="355"/>
      <c r="D29" s="357"/>
      <c r="E29" s="358"/>
      <c r="F29" s="358"/>
      <c r="G29" s="358"/>
      <c r="H29" s="358"/>
      <c r="I29" s="358"/>
      <c r="J29" s="358"/>
      <c r="K29" s="358"/>
    </row>
    <row r="30" spans="1:11" ht="14.25">
      <c r="A30" s="203"/>
      <c r="B30" s="360"/>
      <c r="C30" s="361"/>
      <c r="D30" s="203"/>
      <c r="E30" s="132"/>
      <c r="F30" s="132"/>
      <c r="G30" s="132"/>
      <c r="H30" s="132"/>
      <c r="I30" s="132"/>
      <c r="J30" s="132"/>
      <c r="K30" s="132"/>
    </row>
    <row r="31" spans="1:11" ht="14.25">
      <c r="A31" s="203"/>
      <c r="B31" s="360"/>
      <c r="C31" s="361"/>
      <c r="D31" s="203"/>
      <c r="E31" s="132"/>
      <c r="F31" s="132"/>
      <c r="G31" s="132"/>
      <c r="H31" s="132"/>
      <c r="I31" s="132"/>
      <c r="J31" s="132"/>
      <c r="K31" s="132"/>
    </row>
    <row r="32" spans="1:11" ht="51" customHeight="1">
      <c r="A32" s="204"/>
      <c r="B32" s="360"/>
      <c r="C32" s="361"/>
      <c r="D32" s="195"/>
      <c r="E32" s="132"/>
      <c r="F32" s="132"/>
      <c r="G32" s="132"/>
      <c r="H32" s="132"/>
      <c r="I32" s="132"/>
      <c r="J32" s="132"/>
      <c r="K32" s="132"/>
    </row>
    <row r="33" spans="1:11" s="207" customFormat="1" ht="16.5">
      <c r="A33" s="409" t="s">
        <v>80</v>
      </c>
      <c r="B33" s="409"/>
      <c r="C33" s="409"/>
      <c r="D33" s="409"/>
      <c r="E33" s="409"/>
      <c r="F33" s="409"/>
      <c r="G33" s="409"/>
      <c r="H33" s="409"/>
      <c r="I33" s="409"/>
      <c r="J33" s="409"/>
      <c r="K33" s="409"/>
    </row>
    <row r="36" ht="36.75" customHeight="1"/>
    <row r="38" spans="1:2" ht="14.25">
      <c r="A38" s="362" t="s">
        <v>61</v>
      </c>
      <c r="B38" s="363"/>
    </row>
    <row r="39" spans="1:2" ht="14.25">
      <c r="A39" s="362" t="s">
        <v>160</v>
      </c>
      <c r="B39" s="362"/>
    </row>
    <row r="40" ht="14.25">
      <c r="A40" s="208"/>
    </row>
  </sheetData>
  <mergeCells count="31">
    <mergeCell ref="A1:K1"/>
    <mergeCell ref="A2:K2"/>
    <mergeCell ref="A5:K5"/>
    <mergeCell ref="A7:A10"/>
    <mergeCell ref="B7:B10"/>
    <mergeCell ref="C7:C10"/>
    <mergeCell ref="D7:D10"/>
    <mergeCell ref="E7:E10"/>
    <mergeCell ref="F7:G8"/>
    <mergeCell ref="H7:H10"/>
    <mergeCell ref="I7:I10"/>
    <mergeCell ref="J7:J10"/>
    <mergeCell ref="K7:K10"/>
    <mergeCell ref="L7:N7"/>
    <mergeCell ref="L8:N8"/>
    <mergeCell ref="F9:F10"/>
    <mergeCell ref="G9:G10"/>
    <mergeCell ref="A11:A22"/>
    <mergeCell ref="B11:B12"/>
    <mergeCell ref="C11:C12"/>
    <mergeCell ref="D11:D12"/>
    <mergeCell ref="E11:E12"/>
    <mergeCell ref="J11:J12"/>
    <mergeCell ref="K11:K12"/>
    <mergeCell ref="B16:B19"/>
    <mergeCell ref="B20:B22"/>
    <mergeCell ref="J23:J24"/>
    <mergeCell ref="K23:K25"/>
    <mergeCell ref="A27:B27"/>
    <mergeCell ref="A28:B28"/>
    <mergeCell ref="A33:K3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workbookViewId="0" topLeftCell="A1">
      <selection activeCell="B38" sqref="B38"/>
    </sheetView>
  </sheetViews>
  <sheetFormatPr defaultColWidth="9.00390625" defaultRowHeight="12.75"/>
  <cols>
    <col min="1" max="1" width="30.875" style="1" customWidth="1"/>
    <col min="2" max="2" width="27.00390625" style="0" customWidth="1"/>
    <col min="3" max="3" width="14.375" style="0" customWidth="1"/>
    <col min="4" max="4" width="13.875" style="2" customWidth="1"/>
    <col min="5" max="5" width="14.875" style="0" customWidth="1"/>
    <col min="6" max="6" width="39.875" style="0" customWidth="1"/>
    <col min="7" max="7" width="8.25390625" style="0" customWidth="1"/>
    <col min="8" max="8" width="15.625" style="0" customWidth="1"/>
    <col min="9" max="9" width="14.625" style="0" customWidth="1"/>
    <col min="10" max="10" width="10.625" style="0" customWidth="1"/>
    <col min="11" max="11" width="31.625" style="0" customWidth="1"/>
    <col min="12" max="14" width="0" style="0" hidden="1" customWidth="1"/>
    <col min="15" max="15" width="22.00390625" style="0" customWidth="1"/>
  </cols>
  <sheetData>
    <row r="1" spans="1:11" ht="16.5">
      <c r="A1" s="365" t="s">
        <v>119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1" ht="16.5">
      <c r="A2" s="365" t="s">
        <v>80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 ht="16.5">
      <c r="A3" s="366"/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11" ht="16.5">
      <c r="A4" s="366"/>
      <c r="B4" s="366"/>
      <c r="C4" s="366"/>
      <c r="D4" s="366"/>
      <c r="E4" s="366"/>
      <c r="F4" s="366"/>
      <c r="G4" s="366"/>
      <c r="H4" s="366"/>
      <c r="I4" s="366"/>
      <c r="J4" s="366"/>
      <c r="K4" s="366"/>
    </row>
    <row r="5" spans="1:11" ht="12">
      <c r="A5" s="367"/>
      <c r="B5" s="367"/>
      <c r="C5" s="367"/>
      <c r="D5" s="367"/>
      <c r="E5" s="367"/>
      <c r="F5" s="367"/>
      <c r="G5" s="367"/>
      <c r="H5" s="367"/>
      <c r="I5" s="367"/>
      <c r="J5" s="367"/>
      <c r="K5" s="367"/>
    </row>
    <row r="6" ht="12">
      <c r="K6" s="368" t="s">
        <v>121</v>
      </c>
    </row>
    <row r="7" spans="1:14" s="255" customFormat="1" ht="14.25">
      <c r="A7" s="369" t="s">
        <v>122</v>
      </c>
      <c r="B7" s="370" t="s">
        <v>123</v>
      </c>
      <c r="C7" s="370" t="s">
        <v>124</v>
      </c>
      <c r="D7" s="370" t="s">
        <v>125</v>
      </c>
      <c r="E7" s="370" t="s">
        <v>126</v>
      </c>
      <c r="F7" s="371" t="s">
        <v>127</v>
      </c>
      <c r="G7" s="371"/>
      <c r="H7" s="370" t="s">
        <v>128</v>
      </c>
      <c r="I7" s="370" t="s">
        <v>129</v>
      </c>
      <c r="J7" s="370" t="s">
        <v>130</v>
      </c>
      <c r="K7" s="372" t="s">
        <v>131</v>
      </c>
      <c r="L7" s="254" t="s">
        <v>10</v>
      </c>
      <c r="M7" s="254"/>
      <c r="N7" s="254"/>
    </row>
    <row r="8" spans="1:14" s="255" customFormat="1" ht="14.25">
      <c r="A8" s="369"/>
      <c r="B8" s="370"/>
      <c r="C8" s="370"/>
      <c r="D8" s="370"/>
      <c r="E8" s="370"/>
      <c r="F8" s="371"/>
      <c r="G8" s="371"/>
      <c r="H8" s="370"/>
      <c r="I8" s="370"/>
      <c r="J8" s="370"/>
      <c r="K8" s="372"/>
      <c r="L8" s="260" t="s">
        <v>21</v>
      </c>
      <c r="M8" s="260"/>
      <c r="N8" s="260"/>
    </row>
    <row r="9" spans="1:14" s="255" customFormat="1" ht="14.25">
      <c r="A9" s="369"/>
      <c r="B9" s="370"/>
      <c r="C9" s="370"/>
      <c r="D9" s="370"/>
      <c r="E9" s="370"/>
      <c r="F9" s="373" t="s">
        <v>26</v>
      </c>
      <c r="G9" s="373" t="s">
        <v>27</v>
      </c>
      <c r="H9" s="370"/>
      <c r="I9" s="370"/>
      <c r="J9" s="370"/>
      <c r="K9" s="372"/>
      <c r="L9" s="254" t="s">
        <v>31</v>
      </c>
      <c r="M9" s="261" t="s">
        <v>32</v>
      </c>
      <c r="N9" s="262" t="s">
        <v>33</v>
      </c>
    </row>
    <row r="10" spans="1:14" s="270" customFormat="1" ht="14.25">
      <c r="A10" s="369"/>
      <c r="B10" s="370"/>
      <c r="C10" s="370"/>
      <c r="D10" s="370"/>
      <c r="E10" s="370"/>
      <c r="F10" s="373"/>
      <c r="G10" s="373"/>
      <c r="H10" s="370"/>
      <c r="I10" s="370"/>
      <c r="J10" s="370"/>
      <c r="K10" s="372"/>
      <c r="L10" s="268"/>
      <c r="M10" s="269"/>
      <c r="N10" s="268"/>
    </row>
    <row r="11" spans="1:14" s="282" customFormat="1" ht="21" customHeight="1">
      <c r="A11" s="374" t="s">
        <v>80</v>
      </c>
      <c r="B11" s="410" t="s">
        <v>161</v>
      </c>
      <c r="C11" s="411">
        <v>56000000</v>
      </c>
      <c r="D11" s="412">
        <v>38913</v>
      </c>
      <c r="E11" s="413">
        <v>38366</v>
      </c>
      <c r="F11" s="414" t="s">
        <v>36</v>
      </c>
      <c r="G11" s="415">
        <f>25+40+134+52</f>
        <v>251</v>
      </c>
      <c r="H11" s="416">
        <f>2659200+2137000+2800600+2600000</f>
        <v>10196800</v>
      </c>
      <c r="I11" s="417">
        <f>1279998.33+1592780.32+1677474.64+1557321.31</f>
        <v>6107574.6</v>
      </c>
      <c r="J11" s="418">
        <v>0.15</v>
      </c>
      <c r="K11" s="419" t="s">
        <v>82</v>
      </c>
      <c r="L11" s="279"/>
      <c r="M11" s="280"/>
      <c r="N11" s="281"/>
    </row>
    <row r="12" spans="1:14" s="282" customFormat="1" ht="15.75" customHeight="1">
      <c r="A12" s="374"/>
      <c r="B12" s="410"/>
      <c r="C12" s="411"/>
      <c r="D12" s="412"/>
      <c r="E12" s="412"/>
      <c r="F12" s="302" t="s">
        <v>36</v>
      </c>
      <c r="G12" s="303">
        <f>3000+2000+8590+15000</f>
        <v>28590</v>
      </c>
      <c r="H12" s="385">
        <f>2358000+62370000+11733940+25200000</f>
        <v>101661940</v>
      </c>
      <c r="I12" s="385">
        <f>1412370.64+37357742.45+7028274.95+15094037.35</f>
        <v>60892425.39000001</v>
      </c>
      <c r="J12" s="418"/>
      <c r="K12" s="418"/>
      <c r="L12" s="279"/>
      <c r="M12" s="280"/>
      <c r="N12" s="281"/>
    </row>
    <row r="13" spans="1:14" s="282" customFormat="1" ht="14.25">
      <c r="A13" s="374"/>
      <c r="B13" s="272" t="s">
        <v>161</v>
      </c>
      <c r="C13" s="375">
        <v>25000000</v>
      </c>
      <c r="D13" s="274">
        <v>38863</v>
      </c>
      <c r="E13" s="274">
        <v>38135</v>
      </c>
      <c r="F13" s="275" t="s">
        <v>36</v>
      </c>
      <c r="G13" s="276"/>
      <c r="H13" s="375">
        <v>30099571.54</v>
      </c>
      <c r="I13" s="375">
        <v>30099571.54</v>
      </c>
      <c r="J13" s="277">
        <v>0.15</v>
      </c>
      <c r="K13" s="285" t="s">
        <v>39</v>
      </c>
      <c r="L13" s="279"/>
      <c r="M13" s="280"/>
      <c r="N13" s="281" t="s">
        <v>39</v>
      </c>
    </row>
    <row r="14" spans="1:14" s="282" customFormat="1" ht="14.25">
      <c r="A14" s="374"/>
      <c r="B14" s="283" t="s">
        <v>161</v>
      </c>
      <c r="C14" s="375">
        <f>35000000-3414538-5260000-5260000</f>
        <v>21065462</v>
      </c>
      <c r="D14" s="274">
        <v>38716</v>
      </c>
      <c r="E14" s="274">
        <v>37981</v>
      </c>
      <c r="F14" s="275" t="s">
        <v>36</v>
      </c>
      <c r="G14" s="276"/>
      <c r="H14" s="375">
        <v>83613157</v>
      </c>
      <c r="I14" s="375">
        <v>48347712</v>
      </c>
      <c r="J14" s="284">
        <v>0.22</v>
      </c>
      <c r="K14" s="285" t="s">
        <v>39</v>
      </c>
      <c r="L14" s="279"/>
      <c r="M14" s="280"/>
      <c r="N14" s="281"/>
    </row>
    <row r="15" spans="1:14" s="282" customFormat="1" ht="14.25">
      <c r="A15" s="374"/>
      <c r="B15" s="283" t="s">
        <v>161</v>
      </c>
      <c r="C15" s="376">
        <v>100000000</v>
      </c>
      <c r="D15" s="377">
        <v>38786</v>
      </c>
      <c r="E15" s="377">
        <v>38429</v>
      </c>
      <c r="F15" s="378" t="s">
        <v>36</v>
      </c>
      <c r="G15" s="379"/>
      <c r="H15" s="376">
        <v>129136700</v>
      </c>
      <c r="I15" s="376">
        <v>100000000</v>
      </c>
      <c r="J15" s="380">
        <v>0.14</v>
      </c>
      <c r="K15" s="381" t="s">
        <v>133</v>
      </c>
      <c r="L15" s="279"/>
      <c r="M15" s="280"/>
      <c r="N15" s="281"/>
    </row>
    <row r="16" spans="1:14" s="282" customFormat="1" ht="14.25">
      <c r="A16" s="374"/>
      <c r="B16" s="382" t="s">
        <v>161</v>
      </c>
      <c r="C16" s="383"/>
      <c r="D16" s="288"/>
      <c r="E16" s="288"/>
      <c r="F16" s="289" t="s">
        <v>162</v>
      </c>
      <c r="G16" s="290">
        <v>255</v>
      </c>
      <c r="H16" s="383">
        <v>15045000</v>
      </c>
      <c r="I16" s="383">
        <v>7522500</v>
      </c>
      <c r="J16" s="291"/>
      <c r="K16" s="292"/>
      <c r="L16" s="279"/>
      <c r="M16" s="280"/>
      <c r="N16" s="281"/>
    </row>
    <row r="17" spans="1:14" s="282" customFormat="1" ht="14.25">
      <c r="A17" s="374"/>
      <c r="B17" s="382"/>
      <c r="C17" s="384">
        <v>15000000</v>
      </c>
      <c r="D17" s="294">
        <v>38704</v>
      </c>
      <c r="E17" s="294">
        <v>38371</v>
      </c>
      <c r="F17" s="295" t="s">
        <v>163</v>
      </c>
      <c r="G17" s="296">
        <v>2192</v>
      </c>
      <c r="H17" s="384">
        <v>68357520</v>
      </c>
      <c r="I17" s="384">
        <v>34178760</v>
      </c>
      <c r="J17" s="297">
        <v>0.18</v>
      </c>
      <c r="K17" s="298" t="s">
        <v>89</v>
      </c>
      <c r="L17" s="279"/>
      <c r="M17" s="280"/>
      <c r="N17" s="281"/>
    </row>
    <row r="18" spans="1:14" s="282" customFormat="1" ht="14.25">
      <c r="A18" s="374"/>
      <c r="B18" s="382"/>
      <c r="C18" s="384">
        <v>15000000</v>
      </c>
      <c r="D18" s="294"/>
      <c r="E18" s="294"/>
      <c r="F18" s="295" t="s">
        <v>47</v>
      </c>
      <c r="G18" s="296">
        <v>119</v>
      </c>
      <c r="H18" s="384">
        <v>7021000</v>
      </c>
      <c r="I18" s="384">
        <v>3510500</v>
      </c>
      <c r="J18" s="297"/>
      <c r="K18" s="298"/>
      <c r="L18" s="279"/>
      <c r="M18" s="280"/>
      <c r="N18" s="281"/>
    </row>
    <row r="19" spans="1:14" s="282" customFormat="1" ht="14.25">
      <c r="A19" s="374"/>
      <c r="B19" s="382"/>
      <c r="C19" s="385">
        <v>15000000</v>
      </c>
      <c r="D19" s="301"/>
      <c r="E19" s="301"/>
      <c r="F19" s="302"/>
      <c r="G19" s="303"/>
      <c r="H19" s="385"/>
      <c r="I19" s="385"/>
      <c r="J19" s="304"/>
      <c r="K19" s="305"/>
      <c r="L19" s="279"/>
      <c r="M19" s="280"/>
      <c r="N19" s="281"/>
    </row>
    <row r="20" spans="1:14" s="282" customFormat="1" ht="15.75" customHeight="1">
      <c r="A20" s="374"/>
      <c r="B20" s="424" t="s">
        <v>161</v>
      </c>
      <c r="C20" s="384">
        <v>10000000</v>
      </c>
      <c r="D20" s="294">
        <v>38691</v>
      </c>
      <c r="E20" s="294">
        <v>38531</v>
      </c>
      <c r="F20" s="295"/>
      <c r="G20" s="296"/>
      <c r="H20" s="384"/>
      <c r="I20" s="384"/>
      <c r="J20" s="297">
        <v>0.22</v>
      </c>
      <c r="K20" s="298"/>
      <c r="L20" s="279"/>
      <c r="M20" s="280"/>
      <c r="N20" s="281"/>
    </row>
    <row r="21" spans="1:14" s="282" customFormat="1" ht="14.25">
      <c r="A21" s="374"/>
      <c r="B21" s="379" t="s">
        <v>161</v>
      </c>
      <c r="C21" s="383"/>
      <c r="D21" s="288"/>
      <c r="E21" s="288"/>
      <c r="F21" s="289" t="s">
        <v>36</v>
      </c>
      <c r="G21" s="290">
        <v>7</v>
      </c>
      <c r="H21" s="287">
        <v>19088000</v>
      </c>
      <c r="I21" s="383">
        <v>11363700</v>
      </c>
      <c r="J21" s="291"/>
      <c r="K21" s="292"/>
      <c r="L21" s="279"/>
      <c r="M21" s="280"/>
      <c r="N21" s="281"/>
    </row>
    <row r="22" spans="1:14" s="282" customFormat="1" ht="14.25">
      <c r="A22" s="374"/>
      <c r="B22" s="379"/>
      <c r="C22" s="384">
        <v>18000000</v>
      </c>
      <c r="D22" s="294">
        <v>38736</v>
      </c>
      <c r="E22" s="294">
        <v>38366</v>
      </c>
      <c r="F22" s="295" t="s">
        <v>36</v>
      </c>
      <c r="G22" s="296">
        <v>21</v>
      </c>
      <c r="H22" s="280">
        <v>5455800</v>
      </c>
      <c r="I22" s="384">
        <v>2727900</v>
      </c>
      <c r="J22" s="297">
        <v>0.15</v>
      </c>
      <c r="K22" s="298" t="s">
        <v>39</v>
      </c>
      <c r="L22" s="279"/>
      <c r="M22" s="280"/>
      <c r="N22" s="281"/>
    </row>
    <row r="23" spans="1:14" s="282" customFormat="1" ht="14.25">
      <c r="A23" s="374"/>
      <c r="B23" s="379"/>
      <c r="C23" s="385"/>
      <c r="D23" s="301"/>
      <c r="E23" s="301"/>
      <c r="F23" s="302" t="s">
        <v>45</v>
      </c>
      <c r="G23" s="303">
        <v>268</v>
      </c>
      <c r="H23" s="300">
        <v>16080000</v>
      </c>
      <c r="I23" s="385">
        <v>7236000</v>
      </c>
      <c r="J23" s="304"/>
      <c r="K23" s="305"/>
      <c r="L23" s="279"/>
      <c r="M23" s="280"/>
      <c r="N23" s="281"/>
    </row>
    <row r="24" spans="1:14" s="318" customFormat="1" ht="14.25">
      <c r="A24" s="374"/>
      <c r="B24" s="311" t="s">
        <v>41</v>
      </c>
      <c r="C24" s="386">
        <f>SUM(C11:C23)</f>
        <v>275065462</v>
      </c>
      <c r="D24" s="313"/>
      <c r="E24" s="312"/>
      <c r="F24" s="312"/>
      <c r="G24" s="312"/>
      <c r="H24" s="386">
        <f>SUM(H11:H23)</f>
        <v>485755488.53999996</v>
      </c>
      <c r="I24" s="386">
        <f>SUM(I11:I23)</f>
        <v>311986643.53000003</v>
      </c>
      <c r="J24" s="312"/>
      <c r="K24" s="328"/>
      <c r="L24" s="315">
        <f>SUM(L11:L15)</f>
        <v>0</v>
      </c>
      <c r="M24" s="316">
        <f>SUM(M11:M15)</f>
        <v>0</v>
      </c>
      <c r="N24" s="317" t="s">
        <v>42</v>
      </c>
    </row>
    <row r="25" spans="1:14" s="396" customFormat="1" ht="14.25">
      <c r="A25" s="422" t="s">
        <v>80</v>
      </c>
      <c r="B25" s="378" t="s">
        <v>161</v>
      </c>
      <c r="C25" s="388">
        <v>5000000</v>
      </c>
      <c r="D25" s="389">
        <v>38861</v>
      </c>
      <c r="E25" s="389"/>
      <c r="F25" s="382" t="s">
        <v>36</v>
      </c>
      <c r="G25" s="390">
        <v>1</v>
      </c>
      <c r="H25" s="388">
        <v>7100000</v>
      </c>
      <c r="I25" s="388">
        <v>7100000</v>
      </c>
      <c r="J25" s="391"/>
      <c r="K25" s="392"/>
      <c r="L25" s="393"/>
      <c r="M25" s="394"/>
      <c r="N25" s="395"/>
    </row>
    <row r="26" spans="1:14" s="396" customFormat="1" ht="14.25">
      <c r="A26" s="422"/>
      <c r="B26" s="397" t="s">
        <v>161</v>
      </c>
      <c r="C26" s="376">
        <v>30000000</v>
      </c>
      <c r="D26" s="377">
        <v>38806</v>
      </c>
      <c r="E26" s="377">
        <v>38442</v>
      </c>
      <c r="F26" s="382" t="s">
        <v>36</v>
      </c>
      <c r="G26" s="390">
        <v>1</v>
      </c>
      <c r="H26" s="376">
        <v>45000000</v>
      </c>
      <c r="I26" s="376">
        <v>45000000</v>
      </c>
      <c r="J26" s="380">
        <v>0.15</v>
      </c>
      <c r="K26" s="278" t="s">
        <v>82</v>
      </c>
      <c r="L26" s="393"/>
      <c r="M26" s="394"/>
      <c r="N26" s="395"/>
    </row>
    <row r="27" spans="1:14" s="396" customFormat="1" ht="14.25">
      <c r="A27" s="422"/>
      <c r="B27" s="272" t="s">
        <v>153</v>
      </c>
      <c r="C27" s="376">
        <v>37000000</v>
      </c>
      <c r="D27" s="377">
        <v>39018</v>
      </c>
      <c r="E27" s="377">
        <v>38447</v>
      </c>
      <c r="F27" s="382" t="s">
        <v>162</v>
      </c>
      <c r="G27" s="379"/>
      <c r="H27" s="376">
        <f>97466554.88</f>
        <v>97466554.88</v>
      </c>
      <c r="I27" s="376">
        <f>45000000*1.18</f>
        <v>53100000</v>
      </c>
      <c r="J27" s="380">
        <v>0.15</v>
      </c>
      <c r="K27" s="425" t="s">
        <v>142</v>
      </c>
      <c r="L27" s="393"/>
      <c r="M27" s="394"/>
      <c r="N27" s="395"/>
    </row>
    <row r="28" spans="1:14" s="396" customFormat="1" ht="14.25">
      <c r="A28" s="422"/>
      <c r="B28" s="272" t="s">
        <v>161</v>
      </c>
      <c r="C28" s="376">
        <v>24000000</v>
      </c>
      <c r="D28" s="377">
        <v>38607</v>
      </c>
      <c r="E28" s="377">
        <v>38575</v>
      </c>
      <c r="F28" s="382" t="s">
        <v>164</v>
      </c>
      <c r="G28" s="379">
        <v>1700</v>
      </c>
      <c r="H28" s="376">
        <f>41114500</f>
        <v>41114500</v>
      </c>
      <c r="I28" s="376">
        <v>25110000</v>
      </c>
      <c r="J28" s="380">
        <v>0.18</v>
      </c>
      <c r="K28" s="426">
        <v>38607</v>
      </c>
      <c r="L28" s="393"/>
      <c r="M28" s="394"/>
      <c r="N28" s="395"/>
    </row>
    <row r="29" spans="1:14" s="282" customFormat="1" ht="14.25">
      <c r="A29" s="423"/>
      <c r="B29" s="326" t="s">
        <v>41</v>
      </c>
      <c r="C29" s="402">
        <f>SUM(C25:C28)</f>
        <v>96000000</v>
      </c>
      <c r="D29" s="327"/>
      <c r="E29" s="327"/>
      <c r="F29" s="327"/>
      <c r="G29" s="327"/>
      <c r="H29" s="402">
        <f>SUM(H25:H28)</f>
        <v>190681054.88</v>
      </c>
      <c r="I29" s="402">
        <f>SUM(I25:I28)</f>
        <v>130310000</v>
      </c>
      <c r="J29" s="312"/>
      <c r="K29" s="328"/>
      <c r="L29" s="315" t="e">
        <f>SUM(#REF!)</f>
        <v>#REF!</v>
      </c>
      <c r="M29" s="316" t="e">
        <f>SUM(#REF!)</f>
        <v>#REF!</v>
      </c>
      <c r="N29" s="317" t="s">
        <v>42</v>
      </c>
    </row>
    <row r="30" spans="1:14" s="338" customFormat="1" ht="12.75" hidden="1">
      <c r="A30" s="329"/>
      <c r="B30" s="275"/>
      <c r="C30" s="403"/>
      <c r="D30" s="331"/>
      <c r="E30" s="332"/>
      <c r="F30" s="275"/>
      <c r="G30" s="275"/>
      <c r="H30" s="403"/>
      <c r="I30" s="403"/>
      <c r="J30" s="333"/>
      <c r="K30" s="334"/>
      <c r="L30" s="335" t="e">
        <f>C30*J30/365*#REF!</f>
        <v>#REF!</v>
      </c>
      <c r="M30" s="336">
        <v>1272986</v>
      </c>
      <c r="N30" s="337"/>
    </row>
    <row r="31" spans="1:14" s="338" customFormat="1" ht="12.75" hidden="1">
      <c r="A31" s="339"/>
      <c r="B31" s="340"/>
      <c r="C31" s="404"/>
      <c r="D31" s="341"/>
      <c r="E31" s="342"/>
      <c r="F31" s="302"/>
      <c r="G31" s="302"/>
      <c r="H31" s="404"/>
      <c r="I31" s="404"/>
      <c r="J31" s="333"/>
      <c r="K31" s="334"/>
      <c r="L31" s="343"/>
      <c r="M31" s="344"/>
      <c r="N31" s="337"/>
    </row>
    <row r="32" spans="1:14" s="338" customFormat="1" ht="12.75" hidden="1">
      <c r="A32" s="339"/>
      <c r="B32" s="345"/>
      <c r="C32" s="403"/>
      <c r="D32" s="331"/>
      <c r="E32" s="332"/>
      <c r="F32" s="275"/>
      <c r="G32" s="275"/>
      <c r="H32" s="403"/>
      <c r="I32" s="403"/>
      <c r="J32" s="346"/>
      <c r="K32" s="334"/>
      <c r="L32" s="335" t="e">
        <f>C32*J32/365*#REF!</f>
        <v>#REF!</v>
      </c>
      <c r="M32" s="344">
        <v>0</v>
      </c>
      <c r="N32" s="337"/>
    </row>
    <row r="33" spans="1:14" s="282" customFormat="1" ht="12.75" hidden="1">
      <c r="A33" s="310"/>
      <c r="B33" s="311" t="s">
        <v>41</v>
      </c>
      <c r="C33" s="386">
        <f>SUM(C30:C32)</f>
        <v>0</v>
      </c>
      <c r="D33" s="312"/>
      <c r="E33" s="312"/>
      <c r="F33" s="312"/>
      <c r="G33" s="312"/>
      <c r="H33" s="386">
        <f>SUM(H30:H32)</f>
        <v>0</v>
      </c>
      <c r="I33" s="386">
        <f>SUM(I30:I32)</f>
        <v>0</v>
      </c>
      <c r="J33" s="312"/>
      <c r="K33" s="314"/>
      <c r="L33" s="315" t="e">
        <f>SUM(L30:L32)</f>
        <v>#REF!</v>
      </c>
      <c r="M33" s="316">
        <f>SUM(M30:M32)</f>
        <v>1272986</v>
      </c>
      <c r="N33" s="317" t="s">
        <v>42</v>
      </c>
    </row>
    <row r="34" spans="1:14" s="354" customFormat="1" ht="14.25">
      <c r="A34" s="347" t="s">
        <v>59</v>
      </c>
      <c r="B34" s="347"/>
      <c r="C34" s="405">
        <f>C24+C29</f>
        <v>371065462</v>
      </c>
      <c r="D34" s="348"/>
      <c r="E34" s="348"/>
      <c r="F34" s="348"/>
      <c r="G34" s="348"/>
      <c r="H34" s="405">
        <f>H24+H29</f>
        <v>676436543.42</v>
      </c>
      <c r="I34" s="405">
        <f>I24+I29</f>
        <v>442296643.53000003</v>
      </c>
      <c r="J34" s="406"/>
      <c r="K34" s="407"/>
      <c r="L34" s="351" t="e">
        <f>L24+L29+L33+#REF!+#REF!</f>
        <v>#REF!</v>
      </c>
      <c r="M34" s="352" t="e">
        <f>M24+M29+M33+#REF!+#REF!</f>
        <v>#REF!</v>
      </c>
      <c r="N34" s="353" t="s">
        <v>42</v>
      </c>
    </row>
    <row r="35" spans="1:11" s="282" customFormat="1" ht="14.25">
      <c r="A35" s="355"/>
      <c r="B35" s="355"/>
      <c r="C35" s="356"/>
      <c r="D35" s="357"/>
      <c r="E35" s="358"/>
      <c r="F35" s="358"/>
      <c r="G35" s="358"/>
      <c r="H35" s="358"/>
      <c r="I35" s="358"/>
      <c r="J35" s="358"/>
      <c r="K35" s="358"/>
    </row>
    <row r="36" spans="1:11" s="282" customFormat="1" ht="14.25">
      <c r="A36" s="196"/>
      <c r="B36" s="355"/>
      <c r="C36" s="355"/>
      <c r="D36" s="357"/>
      <c r="E36" s="358"/>
      <c r="F36" s="358"/>
      <c r="G36" s="358"/>
      <c r="H36" s="358"/>
      <c r="I36" s="358"/>
      <c r="J36" s="358"/>
      <c r="K36" s="358"/>
    </row>
    <row r="37" spans="1:11" s="282" customFormat="1" ht="14.25">
      <c r="A37" s="359"/>
      <c r="B37" s="196" t="s">
        <v>151</v>
      </c>
      <c r="C37" s="355">
        <f>C38+C39</f>
        <v>39260000</v>
      </c>
      <c r="D37" s="357"/>
      <c r="E37" s="358"/>
      <c r="F37" s="358"/>
      <c r="G37" s="358"/>
      <c r="H37" s="358"/>
      <c r="I37" s="358"/>
      <c r="J37" s="358"/>
      <c r="K37" s="358"/>
    </row>
    <row r="38" spans="1:11" s="282" customFormat="1" ht="14.25">
      <c r="A38" s="359"/>
      <c r="B38" s="196" t="s">
        <v>161</v>
      </c>
      <c r="C38" s="355">
        <f>5260000+10000000</f>
        <v>15260000</v>
      </c>
      <c r="D38" s="358"/>
      <c r="E38" s="358"/>
      <c r="F38" s="358"/>
      <c r="G38" s="358"/>
      <c r="H38" s="358"/>
      <c r="I38" s="358"/>
      <c r="J38" s="358"/>
      <c r="K38" s="358"/>
    </row>
    <row r="39" spans="1:11" s="282" customFormat="1" ht="14.25">
      <c r="A39" s="359"/>
      <c r="B39" s="355" t="s">
        <v>38</v>
      </c>
      <c r="C39" s="421">
        <f>C28</f>
        <v>24000000</v>
      </c>
      <c r="D39" s="364"/>
      <c r="E39" s="358"/>
      <c r="F39" s="358"/>
      <c r="G39" s="358"/>
      <c r="H39" s="358"/>
      <c r="I39" s="358"/>
      <c r="J39" s="358"/>
      <c r="K39" s="358"/>
    </row>
    <row r="40" spans="1:11" ht="14.25">
      <c r="A40" s="203"/>
      <c r="B40" s="360"/>
      <c r="C40" s="361"/>
      <c r="D40" s="203"/>
      <c r="E40" s="132"/>
      <c r="F40" s="132"/>
      <c r="G40" s="132"/>
      <c r="H40" s="132"/>
      <c r="I40" s="132"/>
      <c r="J40" s="132"/>
      <c r="K40" s="132"/>
    </row>
    <row r="41" spans="1:11" ht="14.25">
      <c r="A41" s="203"/>
      <c r="B41" s="360"/>
      <c r="C41" s="361"/>
      <c r="D41" s="203"/>
      <c r="E41" s="132"/>
      <c r="F41" s="132"/>
      <c r="G41" s="132"/>
      <c r="H41" s="132"/>
      <c r="I41" s="132"/>
      <c r="J41" s="132"/>
      <c r="K41" s="132"/>
    </row>
    <row r="42" spans="1:11" ht="51" customHeight="1">
      <c r="A42" s="204"/>
      <c r="B42" s="360"/>
      <c r="C42" s="361"/>
      <c r="D42" s="195"/>
      <c r="E42" s="132"/>
      <c r="F42" s="132"/>
      <c r="G42" s="132"/>
      <c r="H42" s="132"/>
      <c r="I42" s="132"/>
      <c r="J42" s="132"/>
      <c r="K42" s="132"/>
    </row>
    <row r="43" spans="1:11" s="207" customFormat="1" ht="16.5">
      <c r="A43" s="409" t="s">
        <v>165</v>
      </c>
      <c r="B43" s="409"/>
      <c r="C43" s="409"/>
      <c r="D43" s="409"/>
      <c r="E43" s="409"/>
      <c r="F43" s="409"/>
      <c r="G43" s="409"/>
      <c r="H43" s="409"/>
      <c r="I43" s="409"/>
      <c r="J43" s="409"/>
      <c r="K43" s="409"/>
    </row>
    <row r="46" ht="36.75" customHeight="1"/>
    <row r="48" spans="1:2" ht="14.25">
      <c r="A48" s="362" t="s">
        <v>61</v>
      </c>
      <c r="B48" s="363"/>
    </row>
    <row r="49" spans="1:2" ht="14.25">
      <c r="A49" s="362" t="s">
        <v>80</v>
      </c>
      <c r="B49" s="362"/>
    </row>
    <row r="50" ht="13.5">
      <c r="A50" s="208" t="s">
        <v>80</v>
      </c>
    </row>
  </sheetData>
  <mergeCells count="32">
    <mergeCell ref="A1:K1"/>
    <mergeCell ref="A2:K2"/>
    <mergeCell ref="A5:K5"/>
    <mergeCell ref="A7:A10"/>
    <mergeCell ref="B7:B10"/>
    <mergeCell ref="C7:C10"/>
    <mergeCell ref="D7:D10"/>
    <mergeCell ref="E7:E10"/>
    <mergeCell ref="F7:G8"/>
    <mergeCell ref="H7:H10"/>
    <mergeCell ref="I7:I10"/>
    <mergeCell ref="J7:J10"/>
    <mergeCell ref="K7:K10"/>
    <mergeCell ref="L7:N7"/>
    <mergeCell ref="L8:N8"/>
    <mergeCell ref="F9:F10"/>
    <mergeCell ref="G9:G10"/>
    <mergeCell ref="A11:A24"/>
    <mergeCell ref="B11:B12"/>
    <mergeCell ref="C11:C12"/>
    <mergeCell ref="D11:D12"/>
    <mergeCell ref="E11:E12"/>
    <mergeCell ref="J11:J12"/>
    <mergeCell ref="K11:K12"/>
    <mergeCell ref="B16:B19"/>
    <mergeCell ref="B21:B23"/>
    <mergeCell ref="A25:A28"/>
    <mergeCell ref="J30:J31"/>
    <mergeCell ref="K30:K32"/>
    <mergeCell ref="A34:B34"/>
    <mergeCell ref="A35:B35"/>
    <mergeCell ref="A43:K43"/>
  </mergeCells>
  <printOptions horizontalCentered="1" verticalCentered="1"/>
  <pageMargins left="0.1701388888888889" right="0.1701388888888889" top="0.1701388888888889" bottom="0.1701388888888889" header="0.5118055555555555" footer="0.5118055555555555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workbookViewId="0" topLeftCell="A1">
      <selection activeCell="B38" sqref="B38"/>
    </sheetView>
  </sheetViews>
  <sheetFormatPr defaultColWidth="9.00390625" defaultRowHeight="12.75"/>
  <cols>
    <col min="1" max="1" width="30.875" style="1" customWidth="1"/>
    <col min="2" max="2" width="27.00390625" style="0" customWidth="1"/>
    <col min="3" max="3" width="14.375" style="0" customWidth="1"/>
    <col min="4" max="4" width="13.875" style="2" customWidth="1"/>
    <col min="5" max="5" width="14.875" style="0" customWidth="1"/>
    <col min="6" max="6" width="39.875" style="0" customWidth="1"/>
    <col min="7" max="7" width="8.25390625" style="0" customWidth="1"/>
    <col min="8" max="8" width="15.625" style="0" customWidth="1"/>
    <col min="9" max="9" width="14.625" style="0" customWidth="1"/>
    <col min="10" max="10" width="10.625" style="0" customWidth="1"/>
    <col min="11" max="11" width="31.625" style="0" customWidth="1"/>
    <col min="12" max="14" width="0" style="0" hidden="1" customWidth="1"/>
    <col min="15" max="15" width="22.00390625" style="0" customWidth="1"/>
  </cols>
  <sheetData>
    <row r="1" spans="1:11" ht="16.5">
      <c r="A1" s="365" t="s">
        <v>119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1" ht="16.5">
      <c r="A2" s="365" t="s">
        <v>36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 ht="16.5">
      <c r="A3" s="366"/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11" ht="16.5">
      <c r="A4" s="366"/>
      <c r="B4" s="366"/>
      <c r="C4" s="366"/>
      <c r="D4" s="366"/>
      <c r="E4" s="366"/>
      <c r="F4" s="366"/>
      <c r="G4" s="366"/>
      <c r="H4" s="366"/>
      <c r="I4" s="366"/>
      <c r="J4" s="366"/>
      <c r="K4" s="366"/>
    </row>
    <row r="5" spans="1:11" ht="12">
      <c r="A5" s="367"/>
      <c r="B5" s="367"/>
      <c r="C5" s="367"/>
      <c r="D5" s="367"/>
      <c r="E5" s="367"/>
      <c r="F5" s="367"/>
      <c r="G5" s="367"/>
      <c r="H5" s="367"/>
      <c r="I5" s="367"/>
      <c r="J5" s="367"/>
      <c r="K5" s="367"/>
    </row>
    <row r="6" ht="12">
      <c r="K6" s="368" t="s">
        <v>121</v>
      </c>
    </row>
    <row r="7" spans="1:14" s="255" customFormat="1" ht="14.25">
      <c r="A7" s="369" t="s">
        <v>122</v>
      </c>
      <c r="B7" s="370" t="s">
        <v>123</v>
      </c>
      <c r="C7" s="370" t="s">
        <v>124</v>
      </c>
      <c r="D7" s="370" t="s">
        <v>125</v>
      </c>
      <c r="E7" s="370" t="s">
        <v>126</v>
      </c>
      <c r="F7" s="371" t="s">
        <v>127</v>
      </c>
      <c r="G7" s="371"/>
      <c r="H7" s="370" t="s">
        <v>128</v>
      </c>
      <c r="I7" s="370" t="s">
        <v>129</v>
      </c>
      <c r="J7" s="370" t="s">
        <v>130</v>
      </c>
      <c r="K7" s="372" t="s">
        <v>131</v>
      </c>
      <c r="L7" s="254" t="s">
        <v>10</v>
      </c>
      <c r="M7" s="254"/>
      <c r="N7" s="254"/>
    </row>
    <row r="8" spans="1:14" s="255" customFormat="1" ht="14.25">
      <c r="A8" s="369"/>
      <c r="B8" s="370"/>
      <c r="C8" s="370"/>
      <c r="D8" s="370"/>
      <c r="E8" s="370"/>
      <c r="F8" s="371"/>
      <c r="G8" s="371"/>
      <c r="H8" s="370"/>
      <c r="I8" s="370"/>
      <c r="J8" s="370"/>
      <c r="K8" s="372"/>
      <c r="L8" s="260" t="s">
        <v>21</v>
      </c>
      <c r="M8" s="260"/>
      <c r="N8" s="260"/>
    </row>
    <row r="9" spans="1:14" s="255" customFormat="1" ht="14.25">
      <c r="A9" s="369"/>
      <c r="B9" s="370"/>
      <c r="C9" s="370"/>
      <c r="D9" s="370"/>
      <c r="E9" s="370"/>
      <c r="F9" s="373" t="s">
        <v>26</v>
      </c>
      <c r="G9" s="373" t="s">
        <v>27</v>
      </c>
      <c r="H9" s="370"/>
      <c r="I9" s="370"/>
      <c r="J9" s="370"/>
      <c r="K9" s="372"/>
      <c r="L9" s="254" t="s">
        <v>31</v>
      </c>
      <c r="M9" s="261" t="s">
        <v>32</v>
      </c>
      <c r="N9" s="262" t="s">
        <v>33</v>
      </c>
    </row>
    <row r="10" spans="1:14" s="270" customFormat="1" ht="14.25">
      <c r="A10" s="369"/>
      <c r="B10" s="370"/>
      <c r="C10" s="370"/>
      <c r="D10" s="370"/>
      <c r="E10" s="370"/>
      <c r="F10" s="373"/>
      <c r="G10" s="373"/>
      <c r="H10" s="370"/>
      <c r="I10" s="370"/>
      <c r="J10" s="370"/>
      <c r="K10" s="372"/>
      <c r="L10" s="268"/>
      <c r="M10" s="269"/>
      <c r="N10" s="268"/>
    </row>
    <row r="11" spans="1:14" s="282" customFormat="1" ht="21" customHeight="1">
      <c r="A11" s="374" t="s">
        <v>36</v>
      </c>
      <c r="B11" s="410" t="s">
        <v>36</v>
      </c>
      <c r="C11" s="411">
        <v>56000000</v>
      </c>
      <c r="D11" s="412">
        <v>38913</v>
      </c>
      <c r="E11" s="413">
        <v>38366</v>
      </c>
      <c r="F11" s="414" t="s">
        <v>36</v>
      </c>
      <c r="G11" s="415">
        <f>25+40+134+52</f>
        <v>251</v>
      </c>
      <c r="H11" s="416">
        <f>2659200+2137000+2800600+2600000</f>
        <v>10196800</v>
      </c>
      <c r="I11" s="417">
        <f>1279998.33+1592780.32+1677474.64+1557321.31</f>
        <v>6107574.6</v>
      </c>
      <c r="J11" s="418">
        <v>0.15</v>
      </c>
      <c r="K11" s="428" t="s">
        <v>82</v>
      </c>
      <c r="L11" s="279"/>
      <c r="M11" s="280"/>
      <c r="N11" s="281"/>
    </row>
    <row r="12" spans="1:14" s="282" customFormat="1" ht="15.75" customHeight="1">
      <c r="A12" s="374"/>
      <c r="B12" s="410"/>
      <c r="C12" s="411"/>
      <c r="D12" s="412"/>
      <c r="E12" s="412"/>
      <c r="F12" s="302" t="s">
        <v>36</v>
      </c>
      <c r="G12" s="303">
        <f>3000+2000+8590+15000</f>
        <v>28590</v>
      </c>
      <c r="H12" s="385">
        <f>2358000+62370000+11733940+25200000</f>
        <v>101661940</v>
      </c>
      <c r="I12" s="385">
        <f>1412370.64+37357742.45+7028274.95+15094037.35</f>
        <v>60892425.39000001</v>
      </c>
      <c r="J12" s="418"/>
      <c r="K12" s="428"/>
      <c r="L12" s="279"/>
      <c r="M12" s="280"/>
      <c r="N12" s="281"/>
    </row>
    <row r="13" spans="1:14" s="282" customFormat="1" ht="14.25">
      <c r="A13" s="374"/>
      <c r="B13" s="272" t="s">
        <v>36</v>
      </c>
      <c r="C13" s="375">
        <v>25000000</v>
      </c>
      <c r="D13" s="274">
        <v>38863</v>
      </c>
      <c r="E13" s="274">
        <v>38135</v>
      </c>
      <c r="F13" s="275" t="s">
        <v>38</v>
      </c>
      <c r="G13" s="276"/>
      <c r="H13" s="375">
        <v>30099571.54</v>
      </c>
      <c r="I13" s="375">
        <v>30099571.54</v>
      </c>
      <c r="J13" s="277">
        <v>0.15</v>
      </c>
      <c r="K13" s="285" t="s">
        <v>39</v>
      </c>
      <c r="L13" s="279"/>
      <c r="M13" s="280"/>
      <c r="N13" s="281" t="s">
        <v>39</v>
      </c>
    </row>
    <row r="14" spans="1:14" s="282" customFormat="1" ht="14.25">
      <c r="A14" s="374"/>
      <c r="B14" s="283" t="s">
        <v>36</v>
      </c>
      <c r="C14" s="375">
        <f>35000000-3414538-5260000-5260000-5260000</f>
        <v>15805462</v>
      </c>
      <c r="D14" s="274">
        <v>38716</v>
      </c>
      <c r="E14" s="274">
        <v>37981</v>
      </c>
      <c r="F14" s="275" t="s">
        <v>36</v>
      </c>
      <c r="G14" s="276"/>
      <c r="H14" s="375">
        <v>83613157</v>
      </c>
      <c r="I14" s="375">
        <v>48347712</v>
      </c>
      <c r="J14" s="284">
        <v>0.22</v>
      </c>
      <c r="K14" s="285" t="s">
        <v>39</v>
      </c>
      <c r="L14" s="279"/>
      <c r="M14" s="280"/>
      <c r="N14" s="281"/>
    </row>
    <row r="15" spans="1:14" s="282" customFormat="1" ht="14.25">
      <c r="A15" s="374"/>
      <c r="B15" s="283" t="s">
        <v>166</v>
      </c>
      <c r="C15" s="376">
        <v>100000000</v>
      </c>
      <c r="D15" s="377">
        <v>38786</v>
      </c>
      <c r="E15" s="377">
        <v>38429</v>
      </c>
      <c r="F15" s="378" t="s">
        <v>38</v>
      </c>
      <c r="G15" s="379"/>
      <c r="H15" s="376">
        <v>129136700</v>
      </c>
      <c r="I15" s="376">
        <v>100000000</v>
      </c>
      <c r="J15" s="380">
        <v>0.14</v>
      </c>
      <c r="K15" s="381" t="s">
        <v>133</v>
      </c>
      <c r="L15" s="279"/>
      <c r="M15" s="280"/>
      <c r="N15" s="281"/>
    </row>
    <row r="16" spans="1:14" s="282" customFormat="1" ht="14.25">
      <c r="A16" s="374"/>
      <c r="B16" s="382" t="s">
        <v>36</v>
      </c>
      <c r="C16" s="383"/>
      <c r="D16" s="288"/>
      <c r="E16" s="288"/>
      <c r="F16" s="289" t="s">
        <v>38</v>
      </c>
      <c r="G16" s="290">
        <v>255</v>
      </c>
      <c r="H16" s="383">
        <v>15045000</v>
      </c>
      <c r="I16" s="383">
        <v>7522500</v>
      </c>
      <c r="J16" s="291"/>
      <c r="K16" s="292"/>
      <c r="L16" s="279"/>
      <c r="M16" s="280"/>
      <c r="N16" s="281"/>
    </row>
    <row r="17" spans="1:14" s="282" customFormat="1" ht="14.25">
      <c r="A17" s="374"/>
      <c r="B17" s="382"/>
      <c r="C17" s="384">
        <v>15000000</v>
      </c>
      <c r="D17" s="294">
        <v>38704</v>
      </c>
      <c r="E17" s="294">
        <v>38371</v>
      </c>
      <c r="F17" s="295" t="s">
        <v>45</v>
      </c>
      <c r="G17" s="296">
        <v>2192</v>
      </c>
      <c r="H17" s="384">
        <v>68357520</v>
      </c>
      <c r="I17" s="384">
        <v>34178760</v>
      </c>
      <c r="J17" s="297">
        <v>0.18</v>
      </c>
      <c r="K17" s="298" t="s">
        <v>89</v>
      </c>
      <c r="L17" s="279"/>
      <c r="M17" s="280"/>
      <c r="N17" s="281"/>
    </row>
    <row r="18" spans="1:14" s="282" customFormat="1" ht="14.25">
      <c r="A18" s="374"/>
      <c r="B18" s="382"/>
      <c r="C18" s="384">
        <v>15000000</v>
      </c>
      <c r="D18" s="294"/>
      <c r="E18" s="294"/>
      <c r="F18" s="295" t="s">
        <v>167</v>
      </c>
      <c r="G18" s="296">
        <v>119</v>
      </c>
      <c r="H18" s="384">
        <v>7021000</v>
      </c>
      <c r="I18" s="384">
        <v>3510500</v>
      </c>
      <c r="J18" s="297"/>
      <c r="K18" s="298"/>
      <c r="L18" s="279"/>
      <c r="M18" s="280"/>
      <c r="N18" s="281"/>
    </row>
    <row r="19" spans="1:14" s="282" customFormat="1" ht="14.25">
      <c r="A19" s="374"/>
      <c r="B19" s="382"/>
      <c r="C19" s="385">
        <v>15000000</v>
      </c>
      <c r="D19" s="301"/>
      <c r="E19" s="301"/>
      <c r="F19" s="302" t="s">
        <v>153</v>
      </c>
      <c r="G19" s="303"/>
      <c r="H19" s="385"/>
      <c r="I19" s="385"/>
      <c r="J19" s="304"/>
      <c r="K19" s="305"/>
      <c r="L19" s="279"/>
      <c r="M19" s="280"/>
      <c r="N19" s="281"/>
    </row>
    <row r="20" spans="1:14" s="282" customFormat="1" ht="15.75" customHeight="1">
      <c r="A20" s="374"/>
      <c r="B20" s="424" t="s">
        <v>36</v>
      </c>
      <c r="C20" s="384">
        <v>6500000</v>
      </c>
      <c r="D20" s="294">
        <v>38691</v>
      </c>
      <c r="E20" s="294">
        <v>38531</v>
      </c>
      <c r="F20" s="295"/>
      <c r="G20" s="296"/>
      <c r="H20" s="384"/>
      <c r="I20" s="384"/>
      <c r="J20" s="297">
        <v>0.22</v>
      </c>
      <c r="K20" s="298"/>
      <c r="L20" s="279"/>
      <c r="M20" s="280"/>
      <c r="N20" s="281"/>
    </row>
    <row r="21" spans="1:14" s="282" customFormat="1" ht="14.25">
      <c r="A21" s="374"/>
      <c r="B21" s="379" t="s">
        <v>36</v>
      </c>
      <c r="C21" s="383"/>
      <c r="D21" s="288"/>
      <c r="E21" s="288"/>
      <c r="F21" s="289" t="s">
        <v>153</v>
      </c>
      <c r="G21" s="290">
        <v>7</v>
      </c>
      <c r="H21" s="287">
        <v>19088000</v>
      </c>
      <c r="I21" s="383">
        <v>11363700</v>
      </c>
      <c r="J21" s="291"/>
      <c r="K21" s="292"/>
      <c r="L21" s="279"/>
      <c r="M21" s="280"/>
      <c r="N21" s="281"/>
    </row>
    <row r="22" spans="1:14" s="282" customFormat="1" ht="14.25">
      <c r="A22" s="374"/>
      <c r="B22" s="379"/>
      <c r="C22" s="384">
        <v>18000000</v>
      </c>
      <c r="D22" s="294">
        <v>38736</v>
      </c>
      <c r="E22" s="294">
        <v>38366</v>
      </c>
      <c r="F22" s="295" t="s">
        <v>36</v>
      </c>
      <c r="G22" s="296">
        <v>21</v>
      </c>
      <c r="H22" s="280">
        <v>5455800</v>
      </c>
      <c r="I22" s="384">
        <v>2727900</v>
      </c>
      <c r="J22" s="297">
        <v>0.15</v>
      </c>
      <c r="K22" s="298" t="s">
        <v>39</v>
      </c>
      <c r="L22" s="279"/>
      <c r="M22" s="280"/>
      <c r="N22" s="281"/>
    </row>
    <row r="23" spans="1:14" s="282" customFormat="1" ht="14.25">
      <c r="A23" s="374"/>
      <c r="B23" s="379"/>
      <c r="C23" s="385"/>
      <c r="D23" s="301"/>
      <c r="E23" s="301"/>
      <c r="F23" s="302" t="s">
        <v>167</v>
      </c>
      <c r="G23" s="303">
        <v>268</v>
      </c>
      <c r="H23" s="300">
        <v>16080000</v>
      </c>
      <c r="I23" s="385">
        <v>7236000</v>
      </c>
      <c r="J23" s="304"/>
      <c r="K23" s="305"/>
      <c r="L23" s="279"/>
      <c r="M23" s="280"/>
      <c r="N23" s="281"/>
    </row>
    <row r="24" spans="1:14" s="318" customFormat="1" ht="14.25">
      <c r="A24" s="374"/>
      <c r="B24" s="311" t="s">
        <v>41</v>
      </c>
      <c r="C24" s="386">
        <f>SUM(C11:C23)</f>
        <v>266305462</v>
      </c>
      <c r="D24" s="313"/>
      <c r="E24" s="312"/>
      <c r="F24" s="312"/>
      <c r="G24" s="312"/>
      <c r="H24" s="386">
        <f>SUM(H11:H23)</f>
        <v>485755488.53999996</v>
      </c>
      <c r="I24" s="386">
        <f>SUM(I11:I23)</f>
        <v>311986643.53000003</v>
      </c>
      <c r="J24" s="312"/>
      <c r="K24" s="328"/>
      <c r="L24" s="315">
        <f>SUM(L11:L15)</f>
        <v>0</v>
      </c>
      <c r="M24" s="316">
        <f>SUM(M11:M15)</f>
        <v>0</v>
      </c>
      <c r="N24" s="317" t="s">
        <v>42</v>
      </c>
    </row>
    <row r="25" spans="1:14" s="396" customFormat="1" ht="14.25">
      <c r="A25" s="422" t="s">
        <v>36</v>
      </c>
      <c r="B25" s="378" t="s">
        <v>36</v>
      </c>
      <c r="C25" s="388">
        <v>5000000</v>
      </c>
      <c r="D25" s="389">
        <v>38861</v>
      </c>
      <c r="E25" s="389"/>
      <c r="F25" s="382" t="s">
        <v>36</v>
      </c>
      <c r="G25" s="390">
        <v>1</v>
      </c>
      <c r="H25" s="388">
        <v>7100000</v>
      </c>
      <c r="I25" s="388">
        <v>7100000</v>
      </c>
      <c r="J25" s="391"/>
      <c r="K25" s="392"/>
      <c r="L25" s="393"/>
      <c r="M25" s="394"/>
      <c r="N25" s="395"/>
    </row>
    <row r="26" spans="1:14" s="396" customFormat="1" ht="14.25">
      <c r="A26" s="422"/>
      <c r="B26" s="397" t="s">
        <v>36</v>
      </c>
      <c r="C26" s="376">
        <v>30000000</v>
      </c>
      <c r="D26" s="377">
        <v>38806</v>
      </c>
      <c r="E26" s="377">
        <v>38442</v>
      </c>
      <c r="F26" s="382" t="s">
        <v>36</v>
      </c>
      <c r="G26" s="390">
        <v>1</v>
      </c>
      <c r="H26" s="376">
        <v>45000000</v>
      </c>
      <c r="I26" s="376">
        <v>45000000</v>
      </c>
      <c r="J26" s="380">
        <v>0.15</v>
      </c>
      <c r="K26" s="278" t="s">
        <v>82</v>
      </c>
      <c r="L26" s="393"/>
      <c r="M26" s="394"/>
      <c r="N26" s="395"/>
    </row>
    <row r="27" spans="1:14" s="396" customFormat="1" ht="14.25">
      <c r="A27" s="422"/>
      <c r="B27" s="272" t="s">
        <v>36</v>
      </c>
      <c r="C27" s="376">
        <v>37000000</v>
      </c>
      <c r="D27" s="377">
        <v>39018</v>
      </c>
      <c r="E27" s="377">
        <v>38447</v>
      </c>
      <c r="F27" s="382" t="s">
        <v>38</v>
      </c>
      <c r="G27" s="379"/>
      <c r="H27" s="376">
        <f>97466554.88</f>
        <v>97466554.88</v>
      </c>
      <c r="I27" s="376">
        <f>45000000*1.18</f>
        <v>53100000</v>
      </c>
      <c r="J27" s="380">
        <v>0.15</v>
      </c>
      <c r="K27" s="435" t="s">
        <v>142</v>
      </c>
      <c r="L27" s="393"/>
      <c r="M27" s="394"/>
      <c r="N27" s="395"/>
    </row>
    <row r="28" spans="1:14" s="396" customFormat="1" ht="14.25">
      <c r="A28" s="422"/>
      <c r="B28" s="272" t="s">
        <v>153</v>
      </c>
      <c r="C28" s="376">
        <v>25000000</v>
      </c>
      <c r="D28" s="377">
        <v>38638</v>
      </c>
      <c r="E28" s="377">
        <v>38608</v>
      </c>
      <c r="F28" s="382" t="s">
        <v>36</v>
      </c>
      <c r="G28" s="379">
        <v>1700</v>
      </c>
      <c r="H28" s="376">
        <f>41114500</f>
        <v>41114500</v>
      </c>
      <c r="I28" s="376">
        <v>25110000</v>
      </c>
      <c r="J28" s="380">
        <v>0.18</v>
      </c>
      <c r="K28" s="436">
        <v>38607</v>
      </c>
      <c r="L28" s="393"/>
      <c r="M28" s="394"/>
      <c r="N28" s="395"/>
    </row>
    <row r="29" spans="1:14" s="282" customFormat="1" ht="14.25">
      <c r="A29" s="423"/>
      <c r="B29" s="326" t="s">
        <v>41</v>
      </c>
      <c r="C29" s="402">
        <f>SUM(C25:C28)</f>
        <v>97000000</v>
      </c>
      <c r="D29" s="327"/>
      <c r="E29" s="327"/>
      <c r="F29" s="327"/>
      <c r="G29" s="327"/>
      <c r="H29" s="402">
        <f>SUM(H25:H28)</f>
        <v>190681054.88</v>
      </c>
      <c r="I29" s="402">
        <f>SUM(I25:I28)</f>
        <v>130310000</v>
      </c>
      <c r="J29" s="312"/>
      <c r="K29" s="328"/>
      <c r="L29" s="315" t="e">
        <f>SUM(#REF!)</f>
        <v>#REF!</v>
      </c>
      <c r="M29" s="316" t="e">
        <f>SUM(#REF!)</f>
        <v>#REF!</v>
      </c>
      <c r="N29" s="317" t="s">
        <v>42</v>
      </c>
    </row>
    <row r="30" spans="1:14" s="338" customFormat="1" ht="12.75" hidden="1">
      <c r="A30" s="329"/>
      <c r="B30" s="275"/>
      <c r="C30" s="403"/>
      <c r="D30" s="331"/>
      <c r="E30" s="332"/>
      <c r="F30" s="275"/>
      <c r="G30" s="275"/>
      <c r="H30" s="403"/>
      <c r="I30" s="403"/>
      <c r="J30" s="333"/>
      <c r="K30" s="334"/>
      <c r="L30" s="335" t="e">
        <f>C30*J30/365*#REF!</f>
        <v>#REF!</v>
      </c>
      <c r="M30" s="336">
        <v>1272986</v>
      </c>
      <c r="N30" s="337"/>
    </row>
    <row r="31" spans="1:14" s="338" customFormat="1" ht="12.75" hidden="1">
      <c r="A31" s="339"/>
      <c r="B31" s="340"/>
      <c r="C31" s="404"/>
      <c r="D31" s="341"/>
      <c r="E31" s="342"/>
      <c r="F31" s="302"/>
      <c r="G31" s="302"/>
      <c r="H31" s="404"/>
      <c r="I31" s="404"/>
      <c r="J31" s="333"/>
      <c r="K31" s="334"/>
      <c r="L31" s="343"/>
      <c r="M31" s="344"/>
      <c r="N31" s="337"/>
    </row>
    <row r="32" spans="1:14" s="338" customFormat="1" ht="12.75" hidden="1">
      <c r="A32" s="339"/>
      <c r="B32" s="345"/>
      <c r="C32" s="403"/>
      <c r="D32" s="331"/>
      <c r="E32" s="332"/>
      <c r="F32" s="275"/>
      <c r="G32" s="275"/>
      <c r="H32" s="403"/>
      <c r="I32" s="403"/>
      <c r="J32" s="346"/>
      <c r="K32" s="334"/>
      <c r="L32" s="335" t="e">
        <f>C32*J32/365*#REF!</f>
        <v>#REF!</v>
      </c>
      <c r="M32" s="344">
        <v>0</v>
      </c>
      <c r="N32" s="337"/>
    </row>
    <row r="33" spans="1:14" s="282" customFormat="1" ht="12.75" hidden="1">
      <c r="A33" s="310"/>
      <c r="B33" s="311" t="s">
        <v>41</v>
      </c>
      <c r="C33" s="386">
        <f>SUM(C30:C32)</f>
        <v>0</v>
      </c>
      <c r="D33" s="312"/>
      <c r="E33" s="312"/>
      <c r="F33" s="312"/>
      <c r="G33" s="312"/>
      <c r="H33" s="386">
        <f>SUM(H30:H32)</f>
        <v>0</v>
      </c>
      <c r="I33" s="386">
        <f>SUM(I30:I32)</f>
        <v>0</v>
      </c>
      <c r="J33" s="312"/>
      <c r="K33" s="314"/>
      <c r="L33" s="315" t="e">
        <f>SUM(L30:L32)</f>
        <v>#REF!</v>
      </c>
      <c r="M33" s="316">
        <f>SUM(M30:M32)</f>
        <v>1272986</v>
      </c>
      <c r="N33" s="317" t="s">
        <v>42</v>
      </c>
    </row>
    <row r="34" spans="1:14" s="354" customFormat="1" ht="14.25">
      <c r="A34" s="347" t="s">
        <v>59</v>
      </c>
      <c r="B34" s="347"/>
      <c r="C34" s="405">
        <f>C24+C29</f>
        <v>363305462</v>
      </c>
      <c r="D34" s="348"/>
      <c r="E34" s="348"/>
      <c r="F34" s="348"/>
      <c r="G34" s="348"/>
      <c r="H34" s="405">
        <f>H24+H29</f>
        <v>676436543.42</v>
      </c>
      <c r="I34" s="405">
        <f>I24+I29</f>
        <v>442296643.53000003</v>
      </c>
      <c r="J34" s="406"/>
      <c r="K34" s="437"/>
      <c r="L34" s="351" t="e">
        <f>L24+L29+L33+#REF!+#REF!</f>
        <v>#REF!</v>
      </c>
      <c r="M34" s="352" t="e">
        <f>M24+M29+M33+#REF!+#REF!</f>
        <v>#REF!</v>
      </c>
      <c r="N34" s="353" t="s">
        <v>42</v>
      </c>
    </row>
    <row r="35" spans="1:11" s="282" customFormat="1" ht="14.25">
      <c r="A35" s="355"/>
      <c r="B35" s="355"/>
      <c r="C35" s="356"/>
      <c r="D35" s="357"/>
      <c r="E35" s="358"/>
      <c r="F35" s="358"/>
      <c r="G35" s="358"/>
      <c r="H35" s="358"/>
      <c r="I35" s="358"/>
      <c r="J35" s="358"/>
      <c r="K35" s="358"/>
    </row>
    <row r="36" spans="1:11" s="282" customFormat="1" ht="14.25">
      <c r="A36" s="196"/>
      <c r="B36" s="355"/>
      <c r="C36" s="355"/>
      <c r="D36" s="357"/>
      <c r="E36" s="358"/>
      <c r="F36" s="358"/>
      <c r="G36" s="358"/>
      <c r="H36" s="358"/>
      <c r="I36" s="358"/>
      <c r="J36" s="358"/>
      <c r="K36" s="358"/>
    </row>
    <row r="37" spans="1:11" s="282" customFormat="1" ht="14.25">
      <c r="A37" s="359"/>
      <c r="B37" s="196" t="s">
        <v>168</v>
      </c>
      <c r="C37" s="355">
        <f>C38+C39</f>
        <v>36760000</v>
      </c>
      <c r="D37" s="357"/>
      <c r="E37" s="358"/>
      <c r="F37" s="358"/>
      <c r="G37" s="358"/>
      <c r="H37" s="358"/>
      <c r="I37" s="358"/>
      <c r="J37" s="358"/>
      <c r="K37" s="358"/>
    </row>
    <row r="38" spans="1:11" s="282" customFormat="1" ht="14.25">
      <c r="A38" s="359"/>
      <c r="B38" s="196" t="s">
        <v>169</v>
      </c>
      <c r="C38" s="355">
        <f>5260000+6500000</f>
        <v>11760000</v>
      </c>
      <c r="D38" s="358"/>
      <c r="E38" s="358"/>
      <c r="F38" s="358"/>
      <c r="G38" s="358"/>
      <c r="H38" s="358"/>
      <c r="I38" s="358"/>
      <c r="J38" s="358"/>
      <c r="K38" s="358"/>
    </row>
    <row r="39" spans="1:11" s="282" customFormat="1" ht="14.25">
      <c r="A39" s="359"/>
      <c r="B39" s="355" t="s">
        <v>170</v>
      </c>
      <c r="C39" s="421">
        <f>C28</f>
        <v>25000000</v>
      </c>
      <c r="D39" s="364"/>
      <c r="E39" s="358"/>
      <c r="F39" s="358"/>
      <c r="G39" s="358"/>
      <c r="H39" s="358"/>
      <c r="I39" s="358"/>
      <c r="J39" s="358"/>
      <c r="K39" s="358"/>
    </row>
    <row r="40" spans="1:11" ht="14.25">
      <c r="A40" s="203"/>
      <c r="B40" s="360"/>
      <c r="C40" s="361"/>
      <c r="D40" s="203"/>
      <c r="E40" s="132"/>
      <c r="F40" s="132"/>
      <c r="G40" s="132"/>
      <c r="H40" s="132"/>
      <c r="I40" s="132"/>
      <c r="J40" s="132"/>
      <c r="K40" s="132"/>
    </row>
    <row r="41" spans="1:11" ht="14.25">
      <c r="A41" s="203"/>
      <c r="B41" s="360"/>
      <c r="C41" s="361"/>
      <c r="D41" s="203"/>
      <c r="E41" s="132"/>
      <c r="F41" s="132"/>
      <c r="G41" s="132"/>
      <c r="H41" s="132"/>
      <c r="I41" s="132"/>
      <c r="J41" s="132"/>
      <c r="K41" s="132"/>
    </row>
    <row r="42" spans="1:11" ht="51" customHeight="1">
      <c r="A42" s="204"/>
      <c r="B42" s="360"/>
      <c r="C42" s="361"/>
      <c r="D42" s="195"/>
      <c r="E42" s="132"/>
      <c r="F42" s="132"/>
      <c r="G42" s="132"/>
      <c r="H42" s="132"/>
      <c r="I42" s="132"/>
      <c r="J42" s="132"/>
      <c r="K42" s="132"/>
    </row>
    <row r="43" spans="1:11" s="207" customFormat="1" ht="16.5">
      <c r="A43" s="409" t="s">
        <v>36</v>
      </c>
      <c r="B43" s="409"/>
      <c r="C43" s="409"/>
      <c r="D43" s="409"/>
      <c r="E43" s="409"/>
      <c r="F43" s="409"/>
      <c r="G43" s="409"/>
      <c r="H43" s="409"/>
      <c r="I43" s="409"/>
      <c r="J43" s="409"/>
      <c r="K43" s="409"/>
    </row>
    <row r="46" ht="36.75" customHeight="1"/>
    <row r="48" spans="1:2" ht="14.25">
      <c r="A48" s="362" t="s">
        <v>61</v>
      </c>
      <c r="B48" s="363"/>
    </row>
    <row r="49" spans="1:2" ht="14.25">
      <c r="A49" s="362" t="s">
        <v>36</v>
      </c>
      <c r="B49" s="362"/>
    </row>
    <row r="50" ht="14.25">
      <c r="A50" s="208"/>
    </row>
  </sheetData>
  <mergeCells count="32">
    <mergeCell ref="A1:K1"/>
    <mergeCell ref="A2:K2"/>
    <mergeCell ref="A5:K5"/>
    <mergeCell ref="A7:A10"/>
    <mergeCell ref="B7:B10"/>
    <mergeCell ref="C7:C10"/>
    <mergeCell ref="D7:D10"/>
    <mergeCell ref="E7:E10"/>
    <mergeCell ref="F7:G8"/>
    <mergeCell ref="H7:H10"/>
    <mergeCell ref="I7:I10"/>
    <mergeCell ref="J7:J10"/>
    <mergeCell ref="K7:K10"/>
    <mergeCell ref="L7:N7"/>
    <mergeCell ref="L8:N8"/>
    <mergeCell ref="F9:F10"/>
    <mergeCell ref="G9:G10"/>
    <mergeCell ref="A11:A24"/>
    <mergeCell ref="B11:B12"/>
    <mergeCell ref="C11:C12"/>
    <mergeCell ref="D11:D12"/>
    <mergeCell ref="E11:E12"/>
    <mergeCell ref="J11:J12"/>
    <mergeCell ref="K11:K12"/>
    <mergeCell ref="B16:B19"/>
    <mergeCell ref="B21:B23"/>
    <mergeCell ref="A25:A28"/>
    <mergeCell ref="J30:J31"/>
    <mergeCell ref="K30:K32"/>
    <mergeCell ref="A34:B34"/>
    <mergeCell ref="A35:B35"/>
    <mergeCell ref="A43:K43"/>
  </mergeCells>
  <printOptions horizontalCentered="1"/>
  <pageMargins left="0.55" right="0.45" top="0.5201388888888889" bottom="0.6097222222222223" header="0.5118055555555555" footer="0.5118055555555555"/>
  <pageSetup fitToHeight="1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workbookViewId="0" topLeftCell="A1">
      <selection activeCell="B40" sqref="B40"/>
    </sheetView>
  </sheetViews>
  <sheetFormatPr defaultColWidth="9.00390625" defaultRowHeight="12.75"/>
  <cols>
    <col min="1" max="1" width="30.875" style="1" customWidth="1"/>
    <col min="2" max="2" width="27.00390625" style="0" customWidth="1"/>
    <col min="3" max="3" width="14.375" style="0" customWidth="1"/>
    <col min="4" max="4" width="13.875" style="2" customWidth="1"/>
    <col min="5" max="5" width="14.875" style="0" customWidth="1"/>
    <col min="6" max="6" width="39.875" style="0" customWidth="1"/>
    <col min="7" max="7" width="8.25390625" style="0" customWidth="1"/>
    <col min="8" max="8" width="15.625" style="0" customWidth="1"/>
    <col min="9" max="9" width="14.625" style="0" customWidth="1"/>
    <col min="10" max="10" width="10.625" style="0" customWidth="1"/>
    <col min="11" max="11" width="31.625" style="0" customWidth="1"/>
    <col min="12" max="14" width="0" style="0" hidden="1" customWidth="1"/>
    <col min="15" max="15" width="22.00390625" style="0" customWidth="1"/>
  </cols>
  <sheetData>
    <row r="1" spans="1:11" ht="16.5">
      <c r="A1" s="365" t="s">
        <v>119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1" ht="16.5">
      <c r="A2" s="365" t="s">
        <v>154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 ht="16.5">
      <c r="A3" s="366"/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11" ht="16.5">
      <c r="A4" s="366"/>
      <c r="B4" s="366"/>
      <c r="C4" s="366"/>
      <c r="D4" s="366"/>
      <c r="E4" s="366"/>
      <c r="F4" s="366"/>
      <c r="G4" s="366"/>
      <c r="H4" s="366"/>
      <c r="I4" s="366"/>
      <c r="J4" s="366"/>
      <c r="K4" s="366"/>
    </row>
    <row r="5" spans="1:11" ht="12">
      <c r="A5" s="367"/>
      <c r="B5" s="367"/>
      <c r="C5" s="367"/>
      <c r="D5" s="367"/>
      <c r="E5" s="367"/>
      <c r="F5" s="367"/>
      <c r="G5" s="367"/>
      <c r="H5" s="367"/>
      <c r="I5" s="367"/>
      <c r="J5" s="367"/>
      <c r="K5" s="367"/>
    </row>
    <row r="6" ht="12">
      <c r="K6" s="368" t="s">
        <v>121</v>
      </c>
    </row>
    <row r="7" spans="1:14" s="255" customFormat="1" ht="14.25">
      <c r="A7" s="369" t="s">
        <v>122</v>
      </c>
      <c r="B7" s="370" t="s">
        <v>123</v>
      </c>
      <c r="C7" s="370" t="s">
        <v>124</v>
      </c>
      <c r="D7" s="370" t="s">
        <v>125</v>
      </c>
      <c r="E7" s="370" t="s">
        <v>126</v>
      </c>
      <c r="F7" s="371" t="s">
        <v>127</v>
      </c>
      <c r="G7" s="371"/>
      <c r="H7" s="370" t="s">
        <v>128</v>
      </c>
      <c r="I7" s="370" t="s">
        <v>129</v>
      </c>
      <c r="J7" s="370" t="s">
        <v>130</v>
      </c>
      <c r="K7" s="372" t="s">
        <v>131</v>
      </c>
      <c r="L7" s="254" t="s">
        <v>10</v>
      </c>
      <c r="M7" s="254"/>
      <c r="N7" s="254"/>
    </row>
    <row r="8" spans="1:14" s="255" customFormat="1" ht="14.25">
      <c r="A8" s="369"/>
      <c r="B8" s="370"/>
      <c r="C8" s="370"/>
      <c r="D8" s="370"/>
      <c r="E8" s="370"/>
      <c r="F8" s="371"/>
      <c r="G8" s="371"/>
      <c r="H8" s="370"/>
      <c r="I8" s="370"/>
      <c r="J8" s="370"/>
      <c r="K8" s="372"/>
      <c r="L8" s="260" t="s">
        <v>21</v>
      </c>
      <c r="M8" s="260"/>
      <c r="N8" s="260"/>
    </row>
    <row r="9" spans="1:14" s="255" customFormat="1" ht="14.25">
      <c r="A9" s="369"/>
      <c r="B9" s="370"/>
      <c r="C9" s="370"/>
      <c r="D9" s="370"/>
      <c r="E9" s="370"/>
      <c r="F9" s="373" t="s">
        <v>26</v>
      </c>
      <c r="G9" s="373" t="s">
        <v>27</v>
      </c>
      <c r="H9" s="370"/>
      <c r="I9" s="370"/>
      <c r="J9" s="370"/>
      <c r="K9" s="372"/>
      <c r="L9" s="254" t="s">
        <v>31</v>
      </c>
      <c r="M9" s="261" t="s">
        <v>32</v>
      </c>
      <c r="N9" s="262" t="s">
        <v>33</v>
      </c>
    </row>
    <row r="10" spans="1:14" s="270" customFormat="1" ht="14.25">
      <c r="A10" s="369"/>
      <c r="B10" s="370"/>
      <c r="C10" s="370"/>
      <c r="D10" s="370"/>
      <c r="E10" s="370"/>
      <c r="F10" s="373"/>
      <c r="G10" s="373"/>
      <c r="H10" s="370"/>
      <c r="I10" s="370"/>
      <c r="J10" s="370"/>
      <c r="K10" s="372"/>
      <c r="L10" s="268"/>
      <c r="M10" s="269"/>
      <c r="N10" s="268"/>
    </row>
    <row r="11" spans="1:14" s="282" customFormat="1" ht="21" customHeight="1">
      <c r="A11" s="374" t="s">
        <v>154</v>
      </c>
      <c r="B11" s="410" t="s">
        <v>36</v>
      </c>
      <c r="C11" s="411">
        <v>56000000</v>
      </c>
      <c r="D11" s="412">
        <v>38913</v>
      </c>
      <c r="E11" s="413">
        <v>38366</v>
      </c>
      <c r="F11" s="414" t="s">
        <v>171</v>
      </c>
      <c r="G11" s="415">
        <f>25+40+134+52</f>
        <v>251</v>
      </c>
      <c r="H11" s="416">
        <f>2659200+2137000+2800600+2600000</f>
        <v>10196800</v>
      </c>
      <c r="I11" s="417">
        <f>1279998.33+1592780.32+1677474.64+1557321.31</f>
        <v>6107574.6</v>
      </c>
      <c r="J11" s="418">
        <v>0.15</v>
      </c>
      <c r="K11" s="428" t="s">
        <v>82</v>
      </c>
      <c r="L11" s="279"/>
      <c r="M11" s="280"/>
      <c r="N11" s="281"/>
    </row>
    <row r="12" spans="1:14" s="282" customFormat="1" ht="15.75" customHeight="1">
      <c r="A12" s="374"/>
      <c r="B12" s="410"/>
      <c r="C12" s="411"/>
      <c r="D12" s="412"/>
      <c r="E12" s="412"/>
      <c r="F12" s="302" t="s">
        <v>163</v>
      </c>
      <c r="G12" s="303">
        <f>3000+2000+8590+15000</f>
        <v>28590</v>
      </c>
      <c r="H12" s="385">
        <f>2358000+62370000+11733940+25200000</f>
        <v>101661940</v>
      </c>
      <c r="I12" s="385">
        <f>1412370.64+37357742.45+7028274.95+15094037.35</f>
        <v>60892425.39000001</v>
      </c>
      <c r="J12" s="418"/>
      <c r="K12" s="428"/>
      <c r="L12" s="279"/>
      <c r="M12" s="280"/>
      <c r="N12" s="281"/>
    </row>
    <row r="13" spans="1:14" s="282" customFormat="1" ht="14.25">
      <c r="A13" s="374"/>
      <c r="B13" s="272" t="s">
        <v>36</v>
      </c>
      <c r="C13" s="375">
        <v>25000000</v>
      </c>
      <c r="D13" s="274">
        <v>38863</v>
      </c>
      <c r="E13" s="274">
        <v>38135</v>
      </c>
      <c r="F13" s="275" t="s">
        <v>38</v>
      </c>
      <c r="G13" s="276"/>
      <c r="H13" s="375">
        <v>30099571.54</v>
      </c>
      <c r="I13" s="375">
        <v>30099571.54</v>
      </c>
      <c r="J13" s="277">
        <v>0.15</v>
      </c>
      <c r="K13" s="285" t="s">
        <v>39</v>
      </c>
      <c r="L13" s="279"/>
      <c r="M13" s="280"/>
      <c r="N13" s="281" t="s">
        <v>39</v>
      </c>
    </row>
    <row r="14" spans="1:14" s="282" customFormat="1" ht="14.25">
      <c r="A14" s="374"/>
      <c r="B14" s="283" t="s">
        <v>36</v>
      </c>
      <c r="C14" s="375">
        <f>35000000-3414538-5260000-5260000-5260000-5260000</f>
        <v>10545462</v>
      </c>
      <c r="D14" s="274">
        <v>38716</v>
      </c>
      <c r="E14" s="274">
        <v>37981</v>
      </c>
      <c r="F14" s="275" t="s">
        <v>172</v>
      </c>
      <c r="G14" s="276"/>
      <c r="H14" s="375">
        <v>83613157</v>
      </c>
      <c r="I14" s="375">
        <v>48347712</v>
      </c>
      <c r="J14" s="284">
        <v>0.22</v>
      </c>
      <c r="K14" s="285" t="s">
        <v>39</v>
      </c>
      <c r="L14" s="279"/>
      <c r="M14" s="280"/>
      <c r="N14" s="281"/>
    </row>
    <row r="15" spans="1:14" s="282" customFormat="1" ht="14.25">
      <c r="A15" s="374"/>
      <c r="B15" s="283" t="s">
        <v>36</v>
      </c>
      <c r="C15" s="376">
        <v>100000000</v>
      </c>
      <c r="D15" s="377">
        <v>38786</v>
      </c>
      <c r="E15" s="377">
        <v>38429</v>
      </c>
      <c r="F15" s="378" t="s">
        <v>38</v>
      </c>
      <c r="G15" s="379"/>
      <c r="H15" s="376">
        <v>129136700</v>
      </c>
      <c r="I15" s="376">
        <v>100000000</v>
      </c>
      <c r="J15" s="380">
        <v>0.14</v>
      </c>
      <c r="K15" s="381" t="s">
        <v>133</v>
      </c>
      <c r="L15" s="279"/>
      <c r="M15" s="280"/>
      <c r="N15" s="281"/>
    </row>
    <row r="16" spans="1:14" s="282" customFormat="1" ht="14.25">
      <c r="A16" s="374"/>
      <c r="B16" s="382" t="s">
        <v>163</v>
      </c>
      <c r="C16" s="383"/>
      <c r="D16" s="288"/>
      <c r="E16" s="288"/>
      <c r="F16" s="289" t="s">
        <v>36</v>
      </c>
      <c r="G16" s="290">
        <v>255</v>
      </c>
      <c r="H16" s="383">
        <v>15045000</v>
      </c>
      <c r="I16" s="383">
        <v>7522500</v>
      </c>
      <c r="J16" s="291"/>
      <c r="K16" s="292"/>
      <c r="L16" s="279"/>
      <c r="M16" s="280"/>
      <c r="N16" s="281"/>
    </row>
    <row r="17" spans="1:14" s="282" customFormat="1" ht="14.25">
      <c r="A17" s="374"/>
      <c r="B17" s="382"/>
      <c r="C17" s="384">
        <v>15000000</v>
      </c>
      <c r="D17" s="294">
        <v>38704</v>
      </c>
      <c r="E17" s="294">
        <v>38371</v>
      </c>
      <c r="F17" s="295" t="s">
        <v>38</v>
      </c>
      <c r="G17" s="296">
        <v>2192</v>
      </c>
      <c r="H17" s="384">
        <v>68357520</v>
      </c>
      <c r="I17" s="384">
        <v>34178760</v>
      </c>
      <c r="J17" s="297">
        <v>0.18</v>
      </c>
      <c r="K17" s="298" t="s">
        <v>89</v>
      </c>
      <c r="L17" s="279"/>
      <c r="M17" s="280"/>
      <c r="N17" s="281"/>
    </row>
    <row r="18" spans="1:14" s="282" customFormat="1" ht="14.25">
      <c r="A18" s="374"/>
      <c r="B18" s="382"/>
      <c r="C18" s="384">
        <v>15000000</v>
      </c>
      <c r="D18" s="294"/>
      <c r="E18" s="294"/>
      <c r="F18" s="295" t="s">
        <v>38</v>
      </c>
      <c r="G18" s="296">
        <v>119</v>
      </c>
      <c r="H18" s="384">
        <v>7021000</v>
      </c>
      <c r="I18" s="384">
        <v>3510500</v>
      </c>
      <c r="J18" s="297"/>
      <c r="K18" s="298"/>
      <c r="L18" s="279"/>
      <c r="M18" s="280"/>
      <c r="N18" s="281"/>
    </row>
    <row r="19" spans="1:14" s="282" customFormat="1" ht="14.25">
      <c r="A19" s="374"/>
      <c r="B19" s="382"/>
      <c r="C19" s="385">
        <v>15000000</v>
      </c>
      <c r="D19" s="301"/>
      <c r="E19" s="301"/>
      <c r="F19" s="302" t="s">
        <v>38</v>
      </c>
      <c r="G19" s="303"/>
      <c r="H19" s="385"/>
      <c r="I19" s="385"/>
      <c r="J19" s="304"/>
      <c r="K19" s="305"/>
      <c r="L19" s="279"/>
      <c r="M19" s="280"/>
      <c r="N19" s="281"/>
    </row>
    <row r="20" spans="1:14" s="282" customFormat="1" ht="15.75" customHeight="1">
      <c r="A20" s="374"/>
      <c r="B20" s="424" t="s">
        <v>171</v>
      </c>
      <c r="C20" s="384">
        <f>6500000-1000000</f>
        <v>5500000</v>
      </c>
      <c r="D20" s="294">
        <v>38691</v>
      </c>
      <c r="E20" s="294">
        <v>38531</v>
      </c>
      <c r="F20" s="295" t="s">
        <v>45</v>
      </c>
      <c r="G20" s="296"/>
      <c r="H20" s="384"/>
      <c r="I20" s="384"/>
      <c r="J20" s="297">
        <v>0.22</v>
      </c>
      <c r="K20" s="298"/>
      <c r="L20" s="279"/>
      <c r="M20" s="280"/>
      <c r="N20" s="281"/>
    </row>
    <row r="21" spans="1:14" s="282" customFormat="1" ht="14.25">
      <c r="A21" s="374"/>
      <c r="B21" s="379" t="s">
        <v>163</v>
      </c>
      <c r="C21" s="383"/>
      <c r="D21" s="288"/>
      <c r="E21" s="288"/>
      <c r="F21" s="289" t="s">
        <v>45</v>
      </c>
      <c r="G21" s="290">
        <v>7</v>
      </c>
      <c r="H21" s="287">
        <v>19088000</v>
      </c>
      <c r="I21" s="383">
        <v>11363700</v>
      </c>
      <c r="J21" s="291"/>
      <c r="K21" s="292"/>
      <c r="L21" s="279"/>
      <c r="M21" s="280"/>
      <c r="N21" s="281"/>
    </row>
    <row r="22" spans="1:14" s="282" customFormat="1" ht="14.25">
      <c r="A22" s="374"/>
      <c r="B22" s="379"/>
      <c r="C22" s="384">
        <v>18000000</v>
      </c>
      <c r="D22" s="294">
        <v>38736</v>
      </c>
      <c r="E22" s="294">
        <v>38366</v>
      </c>
      <c r="F22" s="295" t="s">
        <v>36</v>
      </c>
      <c r="G22" s="296">
        <v>21</v>
      </c>
      <c r="H22" s="280">
        <v>5455800</v>
      </c>
      <c r="I22" s="384">
        <v>2727900</v>
      </c>
      <c r="J22" s="297">
        <v>0.15</v>
      </c>
      <c r="K22" s="298" t="s">
        <v>39</v>
      </c>
      <c r="L22" s="279"/>
      <c r="M22" s="280"/>
      <c r="N22" s="281"/>
    </row>
    <row r="23" spans="1:14" s="282" customFormat="1" ht="14.25">
      <c r="A23" s="374"/>
      <c r="B23" s="379"/>
      <c r="C23" s="385"/>
      <c r="D23" s="301"/>
      <c r="E23" s="301"/>
      <c r="F23" s="302" t="s">
        <v>36</v>
      </c>
      <c r="G23" s="303">
        <v>268</v>
      </c>
      <c r="H23" s="300">
        <v>16080000</v>
      </c>
      <c r="I23" s="385">
        <v>7236000</v>
      </c>
      <c r="J23" s="304"/>
      <c r="K23" s="305"/>
      <c r="L23" s="279"/>
      <c r="M23" s="280"/>
      <c r="N23" s="281"/>
    </row>
    <row r="24" spans="1:14" s="282" customFormat="1" ht="14.25">
      <c r="A24" s="374"/>
      <c r="B24" s="438" t="s">
        <v>171</v>
      </c>
      <c r="C24" s="384">
        <v>10000000</v>
      </c>
      <c r="D24" s="294">
        <v>38679</v>
      </c>
      <c r="E24" s="294">
        <v>38649</v>
      </c>
      <c r="F24" s="295" t="s">
        <v>140</v>
      </c>
      <c r="G24" s="296">
        <v>21</v>
      </c>
      <c r="H24" s="280"/>
      <c r="I24" s="384"/>
      <c r="J24" s="297">
        <v>0.165</v>
      </c>
      <c r="K24" s="298" t="s">
        <v>173</v>
      </c>
      <c r="L24" s="279"/>
      <c r="M24" s="280"/>
      <c r="N24" s="281"/>
    </row>
    <row r="25" spans="1:14" s="318" customFormat="1" ht="14.25">
      <c r="A25" s="374"/>
      <c r="B25" s="311" t="s">
        <v>36</v>
      </c>
      <c r="C25" s="386">
        <f>SUM(C11:C24)</f>
        <v>270045462</v>
      </c>
      <c r="D25" s="313"/>
      <c r="E25" s="312"/>
      <c r="F25" s="312"/>
      <c r="G25" s="312"/>
      <c r="H25" s="386">
        <f>SUM(H11:H23)</f>
        <v>485755488.53999996</v>
      </c>
      <c r="I25" s="386">
        <f>SUM(I11:I23)</f>
        <v>311986643.53000003</v>
      </c>
      <c r="J25" s="312"/>
      <c r="K25" s="328"/>
      <c r="L25" s="315">
        <f>SUM(L11:L15)</f>
        <v>0</v>
      </c>
      <c r="M25" s="316">
        <f>SUM(M11:M15)</f>
        <v>0</v>
      </c>
      <c r="N25" s="317" t="s">
        <v>42</v>
      </c>
    </row>
    <row r="26" spans="1:14" s="396" customFormat="1" ht="14.25">
      <c r="A26" s="422" t="s">
        <v>110</v>
      </c>
      <c r="B26" s="378" t="s">
        <v>36</v>
      </c>
      <c r="C26" s="388">
        <f>5000000-90000</f>
        <v>4910000</v>
      </c>
      <c r="D26" s="389">
        <v>38861</v>
      </c>
      <c r="E26" s="389"/>
      <c r="F26" s="382" t="s">
        <v>153</v>
      </c>
      <c r="G26" s="390">
        <v>1</v>
      </c>
      <c r="H26" s="388">
        <v>7100000</v>
      </c>
      <c r="I26" s="388">
        <v>7100000</v>
      </c>
      <c r="J26" s="391"/>
      <c r="K26" s="392"/>
      <c r="L26" s="393"/>
      <c r="M26" s="394"/>
      <c r="N26" s="395"/>
    </row>
    <row r="27" spans="1:14" s="396" customFormat="1" ht="14.25">
      <c r="A27" s="422"/>
      <c r="B27" s="397" t="s">
        <v>36</v>
      </c>
      <c r="C27" s="376">
        <v>30000000</v>
      </c>
      <c r="D27" s="377">
        <v>38806</v>
      </c>
      <c r="E27" s="377">
        <v>38442</v>
      </c>
      <c r="F27" s="382" t="s">
        <v>153</v>
      </c>
      <c r="G27" s="390">
        <v>1</v>
      </c>
      <c r="H27" s="376">
        <v>45000000</v>
      </c>
      <c r="I27" s="376">
        <v>45000000</v>
      </c>
      <c r="J27" s="380">
        <v>0.15</v>
      </c>
      <c r="K27" s="278" t="s">
        <v>82</v>
      </c>
      <c r="L27" s="393"/>
      <c r="M27" s="394"/>
      <c r="N27" s="395"/>
    </row>
    <row r="28" spans="1:14" s="396" customFormat="1" ht="14.25">
      <c r="A28" s="422"/>
      <c r="B28" s="272" t="s">
        <v>167</v>
      </c>
      <c r="C28" s="376">
        <v>37000000</v>
      </c>
      <c r="D28" s="377">
        <v>39018</v>
      </c>
      <c r="E28" s="377">
        <v>38447</v>
      </c>
      <c r="F28" s="382" t="s">
        <v>38</v>
      </c>
      <c r="G28" s="379"/>
      <c r="H28" s="376">
        <f>97466554.88</f>
        <v>97466554.88</v>
      </c>
      <c r="I28" s="376">
        <f>45000000*1.18</f>
        <v>53100000</v>
      </c>
      <c r="J28" s="380">
        <v>0.15</v>
      </c>
      <c r="K28" s="435" t="s">
        <v>142</v>
      </c>
      <c r="L28" s="393"/>
      <c r="M28" s="394"/>
      <c r="N28" s="395"/>
    </row>
    <row r="29" spans="1:14" s="396" customFormat="1" ht="14.25">
      <c r="A29" s="422"/>
      <c r="B29" s="272" t="s">
        <v>36</v>
      </c>
      <c r="C29" s="376">
        <v>25000000</v>
      </c>
      <c r="D29" s="377">
        <v>38670</v>
      </c>
      <c r="E29" s="377">
        <v>38637</v>
      </c>
      <c r="F29" s="382" t="s">
        <v>36</v>
      </c>
      <c r="G29" s="379">
        <v>1700</v>
      </c>
      <c r="H29" s="376">
        <f>41114500</f>
        <v>41114500</v>
      </c>
      <c r="I29" s="376">
        <v>26120000</v>
      </c>
      <c r="J29" s="380">
        <v>0.18</v>
      </c>
      <c r="K29" s="436">
        <v>38607</v>
      </c>
      <c r="L29" s="393"/>
      <c r="M29" s="394"/>
      <c r="N29" s="395"/>
    </row>
    <row r="30" spans="1:14" s="282" customFormat="1" ht="14.25">
      <c r="A30" s="423"/>
      <c r="B30" s="326" t="s">
        <v>41</v>
      </c>
      <c r="C30" s="402">
        <f>SUM(C26:C29)</f>
        <v>96910000</v>
      </c>
      <c r="D30" s="327"/>
      <c r="E30" s="327"/>
      <c r="F30" s="327"/>
      <c r="G30" s="327"/>
      <c r="H30" s="402">
        <f>SUM(H26:H29)</f>
        <v>190681054.88</v>
      </c>
      <c r="I30" s="402">
        <f>SUM(I26:I29)</f>
        <v>131320000</v>
      </c>
      <c r="J30" s="312"/>
      <c r="K30" s="328"/>
      <c r="L30" s="315" t="e">
        <f>SUM(#REF!)</f>
        <v>#REF!</v>
      </c>
      <c r="M30" s="316" t="e">
        <f>SUM(#REF!)</f>
        <v>#REF!</v>
      </c>
      <c r="N30" s="317" t="s">
        <v>42</v>
      </c>
    </row>
    <row r="31" spans="1:14" s="338" customFormat="1" ht="12.75" hidden="1">
      <c r="A31" s="329"/>
      <c r="B31" s="275"/>
      <c r="C31" s="403"/>
      <c r="D31" s="331"/>
      <c r="E31" s="332"/>
      <c r="F31" s="275"/>
      <c r="G31" s="275"/>
      <c r="H31" s="403"/>
      <c r="I31" s="403"/>
      <c r="J31" s="333"/>
      <c r="K31" s="334"/>
      <c r="L31" s="335" t="e">
        <f>C31*J31/365*#REF!</f>
        <v>#REF!</v>
      </c>
      <c r="M31" s="336">
        <v>1272986</v>
      </c>
      <c r="N31" s="337"/>
    </row>
    <row r="32" spans="1:14" s="338" customFormat="1" ht="12.75" hidden="1">
      <c r="A32" s="339"/>
      <c r="B32" s="340"/>
      <c r="C32" s="404"/>
      <c r="D32" s="341"/>
      <c r="E32" s="342"/>
      <c r="F32" s="302"/>
      <c r="G32" s="302"/>
      <c r="H32" s="404"/>
      <c r="I32" s="404"/>
      <c r="J32" s="333"/>
      <c r="K32" s="334"/>
      <c r="L32" s="343"/>
      <c r="M32" s="344"/>
      <c r="N32" s="337"/>
    </row>
    <row r="33" spans="1:14" s="338" customFormat="1" ht="12.75" hidden="1">
      <c r="A33" s="339"/>
      <c r="B33" s="345"/>
      <c r="C33" s="403"/>
      <c r="D33" s="331"/>
      <c r="E33" s="332"/>
      <c r="F33" s="275"/>
      <c r="G33" s="275"/>
      <c r="H33" s="403"/>
      <c r="I33" s="403"/>
      <c r="J33" s="346"/>
      <c r="K33" s="334"/>
      <c r="L33" s="335" t="e">
        <f>C33*J33/365*#REF!</f>
        <v>#REF!</v>
      </c>
      <c r="M33" s="344">
        <v>0</v>
      </c>
      <c r="N33" s="337"/>
    </row>
    <row r="34" spans="1:14" s="282" customFormat="1" ht="12.75" hidden="1">
      <c r="A34" s="310"/>
      <c r="B34" s="311" t="s">
        <v>41</v>
      </c>
      <c r="C34" s="386">
        <f>SUM(C31:C33)</f>
        <v>0</v>
      </c>
      <c r="D34" s="312"/>
      <c r="E34" s="312"/>
      <c r="F34" s="312"/>
      <c r="G34" s="312"/>
      <c r="H34" s="386">
        <f>SUM(H31:H33)</f>
        <v>0</v>
      </c>
      <c r="I34" s="386">
        <f>SUM(I31:I33)</f>
        <v>0</v>
      </c>
      <c r="J34" s="312"/>
      <c r="K34" s="314"/>
      <c r="L34" s="315" t="e">
        <f>SUM(L31:L33)</f>
        <v>#REF!</v>
      </c>
      <c r="M34" s="316">
        <f>SUM(M31:M33)</f>
        <v>1272986</v>
      </c>
      <c r="N34" s="317" t="s">
        <v>42</v>
      </c>
    </row>
    <row r="35" spans="1:14" s="354" customFormat="1" ht="14.25">
      <c r="A35" s="347" t="s">
        <v>59</v>
      </c>
      <c r="B35" s="347"/>
      <c r="C35" s="405">
        <f>C25+C30</f>
        <v>366955462</v>
      </c>
      <c r="D35" s="348"/>
      <c r="E35" s="348"/>
      <c r="F35" s="348"/>
      <c r="G35" s="348"/>
      <c r="H35" s="405">
        <f>H25+H30</f>
        <v>676436543.42</v>
      </c>
      <c r="I35" s="405">
        <f>I25+I30</f>
        <v>443306643.53000003</v>
      </c>
      <c r="J35" s="406"/>
      <c r="K35" s="437"/>
      <c r="L35" s="351" t="e">
        <f>L25+L30+L34+#REF!+#REF!</f>
        <v>#REF!</v>
      </c>
      <c r="M35" s="352" t="e">
        <f>M25+M30+M34+#REF!+#REF!</f>
        <v>#REF!</v>
      </c>
      <c r="N35" s="353" t="s">
        <v>42</v>
      </c>
    </row>
    <row r="36" spans="1:11" s="282" customFormat="1" ht="14.25">
      <c r="A36" s="355"/>
      <c r="B36" s="355"/>
      <c r="C36" s="356"/>
      <c r="D36" s="357"/>
      <c r="E36" s="358"/>
      <c r="F36" s="358"/>
      <c r="G36" s="358"/>
      <c r="H36" s="358"/>
      <c r="I36" s="358"/>
      <c r="J36" s="358"/>
      <c r="K36" s="358"/>
    </row>
    <row r="37" spans="1:11" s="282" customFormat="1" ht="14.25">
      <c r="A37" s="196"/>
      <c r="B37" s="355"/>
      <c r="C37" s="355"/>
      <c r="D37" s="357"/>
      <c r="E37" s="358"/>
      <c r="F37" s="358"/>
      <c r="G37" s="358"/>
      <c r="H37" s="358"/>
      <c r="I37" s="358"/>
      <c r="J37" s="358"/>
      <c r="K37" s="358"/>
    </row>
    <row r="38" spans="1:11" s="282" customFormat="1" ht="14.25">
      <c r="A38" s="359"/>
      <c r="B38" s="196" t="s">
        <v>168</v>
      </c>
      <c r="C38" s="355">
        <f>C39+C40</f>
        <v>45760000</v>
      </c>
      <c r="D38" s="357"/>
      <c r="E38" s="358"/>
      <c r="F38" s="358"/>
      <c r="G38" s="358"/>
      <c r="H38" s="358"/>
      <c r="I38" s="358"/>
      <c r="J38" s="358"/>
      <c r="K38" s="358"/>
    </row>
    <row r="39" spans="1:11" s="282" customFormat="1" ht="14.25">
      <c r="A39" s="359"/>
      <c r="B39" s="196" t="s">
        <v>174</v>
      </c>
      <c r="C39" s="355">
        <f>5260000+5500000+10000000</f>
        <v>20760000</v>
      </c>
      <c r="D39" s="358"/>
      <c r="E39" s="358"/>
      <c r="F39" s="358"/>
      <c r="G39" s="358"/>
      <c r="H39" s="358"/>
      <c r="I39" s="358"/>
      <c r="J39" s="358"/>
      <c r="K39" s="358"/>
    </row>
    <row r="40" spans="1:11" s="282" customFormat="1" ht="14.25">
      <c r="A40" s="359"/>
      <c r="B40" s="355" t="s">
        <v>175</v>
      </c>
      <c r="C40" s="421">
        <f>C29</f>
        <v>25000000</v>
      </c>
      <c r="D40" s="364"/>
      <c r="E40" s="358"/>
      <c r="F40" s="358"/>
      <c r="G40" s="358"/>
      <c r="H40" s="358"/>
      <c r="I40" s="358"/>
      <c r="J40" s="358"/>
      <c r="K40" s="358"/>
    </row>
    <row r="41" spans="1:11" ht="14.25">
      <c r="A41" s="203"/>
      <c r="B41" s="360"/>
      <c r="C41" s="361"/>
      <c r="D41" s="203"/>
      <c r="E41" s="132"/>
      <c r="F41" s="132"/>
      <c r="G41" s="132"/>
      <c r="H41" s="132"/>
      <c r="I41" s="132"/>
      <c r="J41" s="132"/>
      <c r="K41" s="132"/>
    </row>
    <row r="42" spans="1:11" ht="14.25">
      <c r="A42" s="203"/>
      <c r="B42" s="360"/>
      <c r="C42" s="361"/>
      <c r="D42" s="203"/>
      <c r="E42" s="132"/>
      <c r="F42" s="132"/>
      <c r="G42" s="132"/>
      <c r="H42" s="132"/>
      <c r="I42" s="132"/>
      <c r="J42" s="132"/>
      <c r="K42" s="132"/>
    </row>
    <row r="43" spans="1:11" ht="51" customHeight="1">
      <c r="A43" s="204"/>
      <c r="B43" s="360"/>
      <c r="C43" s="361"/>
      <c r="D43" s="195"/>
      <c r="E43" s="132"/>
      <c r="F43" s="132"/>
      <c r="G43" s="132"/>
      <c r="H43" s="132"/>
      <c r="I43" s="132"/>
      <c r="J43" s="132"/>
      <c r="K43" s="132"/>
    </row>
    <row r="44" spans="1:11" s="207" customFormat="1" ht="16.5">
      <c r="A44" s="409" t="s">
        <v>154</v>
      </c>
      <c r="B44" s="409"/>
      <c r="C44" s="409"/>
      <c r="D44" s="409"/>
      <c r="E44" s="409"/>
      <c r="F44" s="409"/>
      <c r="G44" s="409"/>
      <c r="H44" s="409"/>
      <c r="I44" s="409"/>
      <c r="J44" s="409"/>
      <c r="K44" s="409"/>
    </row>
    <row r="47" ht="36.75" customHeight="1"/>
    <row r="49" spans="1:2" ht="14.25">
      <c r="A49" s="362" t="s">
        <v>61</v>
      </c>
      <c r="B49" s="363"/>
    </row>
    <row r="50" spans="1:2" ht="14.25">
      <c r="A50" s="362" t="s">
        <v>110</v>
      </c>
      <c r="B50" s="362"/>
    </row>
    <row r="51" ht="14.25">
      <c r="A51" s="208"/>
    </row>
  </sheetData>
  <mergeCells count="32">
    <mergeCell ref="A1:K1"/>
    <mergeCell ref="A2:K2"/>
    <mergeCell ref="A5:K5"/>
    <mergeCell ref="A7:A10"/>
    <mergeCell ref="B7:B10"/>
    <mergeCell ref="C7:C10"/>
    <mergeCell ref="D7:D10"/>
    <mergeCell ref="E7:E10"/>
    <mergeCell ref="F7:G8"/>
    <mergeCell ref="H7:H10"/>
    <mergeCell ref="I7:I10"/>
    <mergeCell ref="J7:J10"/>
    <mergeCell ref="K7:K10"/>
    <mergeCell ref="L7:N7"/>
    <mergeCell ref="L8:N8"/>
    <mergeCell ref="F9:F10"/>
    <mergeCell ref="G9:G10"/>
    <mergeCell ref="A11:A25"/>
    <mergeCell ref="B11:B12"/>
    <mergeCell ref="C11:C12"/>
    <mergeCell ref="D11:D12"/>
    <mergeCell ref="E11:E12"/>
    <mergeCell ref="J11:J12"/>
    <mergeCell ref="K11:K12"/>
    <mergeCell ref="B16:B19"/>
    <mergeCell ref="B21:B23"/>
    <mergeCell ref="A26:A29"/>
    <mergeCell ref="J31:J32"/>
    <mergeCell ref="K31:K33"/>
    <mergeCell ref="A35:B35"/>
    <mergeCell ref="A36:B36"/>
    <mergeCell ref="A44:K44"/>
  </mergeCells>
  <printOptions horizontalCentered="1" verticalCentered="1"/>
  <pageMargins left="0.1701388888888889" right="0.1701388888888889" top="0.9840277777777777" bottom="0.1701388888888889" header="0.5118055555555555" footer="0.5118055555555555"/>
  <pageSetup fitToHeight="1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workbookViewId="0" topLeftCell="A1">
      <selection activeCell="A50" sqref="A50"/>
    </sheetView>
  </sheetViews>
  <sheetFormatPr defaultColWidth="9.00390625" defaultRowHeight="12.75"/>
  <cols>
    <col min="1" max="1" width="30.875" style="1" customWidth="1"/>
    <col min="2" max="2" width="27.00390625" style="0" customWidth="1"/>
    <col min="3" max="3" width="14.375" style="0" customWidth="1"/>
    <col min="4" max="4" width="13.875" style="2" customWidth="1"/>
    <col min="5" max="5" width="14.875" style="0" customWidth="1"/>
    <col min="6" max="6" width="38.25390625" style="0" customWidth="1"/>
    <col min="7" max="7" width="8.25390625" style="0" customWidth="1"/>
    <col min="8" max="8" width="15.125" style="0" customWidth="1"/>
    <col min="9" max="9" width="14.625" style="0" customWidth="1"/>
    <col min="10" max="10" width="10.625" style="0" customWidth="1"/>
    <col min="11" max="11" width="31.625" style="0" customWidth="1"/>
    <col min="12" max="14" width="0" style="0" hidden="1" customWidth="1"/>
    <col min="15" max="15" width="22.00390625" style="0" customWidth="1"/>
  </cols>
  <sheetData>
    <row r="1" spans="1:11" ht="16.5">
      <c r="A1" s="365" t="s">
        <v>119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1" ht="16.5">
      <c r="A2" s="365" t="s">
        <v>107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 ht="16.5">
      <c r="A3" s="366"/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11" ht="12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</row>
    <row r="5" ht="12">
      <c r="K5" s="368" t="s">
        <v>121</v>
      </c>
    </row>
    <row r="6" spans="1:14" s="255" customFormat="1" ht="14.25">
      <c r="A6" s="369" t="s">
        <v>122</v>
      </c>
      <c r="B6" s="370" t="s">
        <v>123</v>
      </c>
      <c r="C6" s="370" t="s">
        <v>124</v>
      </c>
      <c r="D6" s="370" t="s">
        <v>125</v>
      </c>
      <c r="E6" s="370" t="s">
        <v>126</v>
      </c>
      <c r="F6" s="371" t="s">
        <v>127</v>
      </c>
      <c r="G6" s="371"/>
      <c r="H6" s="370" t="s">
        <v>128</v>
      </c>
      <c r="I6" s="370" t="s">
        <v>129</v>
      </c>
      <c r="J6" s="370" t="s">
        <v>130</v>
      </c>
      <c r="K6" s="372" t="s">
        <v>131</v>
      </c>
      <c r="L6" s="254" t="s">
        <v>10</v>
      </c>
      <c r="M6" s="254"/>
      <c r="N6" s="254"/>
    </row>
    <row r="7" spans="1:14" s="255" customFormat="1" ht="14.25">
      <c r="A7" s="369"/>
      <c r="B7" s="370"/>
      <c r="C7" s="370"/>
      <c r="D7" s="370"/>
      <c r="E7" s="370"/>
      <c r="F7" s="371"/>
      <c r="G7" s="371"/>
      <c r="H7" s="370"/>
      <c r="I7" s="370"/>
      <c r="J7" s="370"/>
      <c r="K7" s="372"/>
      <c r="L7" s="260" t="s">
        <v>21</v>
      </c>
      <c r="M7" s="260"/>
      <c r="N7" s="260"/>
    </row>
    <row r="8" spans="1:14" s="255" customFormat="1" ht="14.25">
      <c r="A8" s="369"/>
      <c r="B8" s="370"/>
      <c r="C8" s="370"/>
      <c r="D8" s="370"/>
      <c r="E8" s="370"/>
      <c r="F8" s="373" t="s">
        <v>26</v>
      </c>
      <c r="G8" s="373" t="s">
        <v>27</v>
      </c>
      <c r="H8" s="370"/>
      <c r="I8" s="370"/>
      <c r="J8" s="370"/>
      <c r="K8" s="372"/>
      <c r="L8" s="254" t="s">
        <v>31</v>
      </c>
      <c r="M8" s="261" t="s">
        <v>32</v>
      </c>
      <c r="N8" s="262" t="s">
        <v>33</v>
      </c>
    </row>
    <row r="9" spans="1:14" s="270" customFormat="1" ht="14.25">
      <c r="A9" s="369"/>
      <c r="B9" s="370"/>
      <c r="C9" s="370"/>
      <c r="D9" s="370"/>
      <c r="E9" s="370"/>
      <c r="F9" s="373"/>
      <c r="G9" s="373"/>
      <c r="H9" s="370"/>
      <c r="I9" s="370"/>
      <c r="J9" s="370"/>
      <c r="K9" s="372"/>
      <c r="L9" s="268"/>
      <c r="M9" s="269"/>
      <c r="N9" s="268"/>
    </row>
    <row r="10" spans="1:14" s="282" customFormat="1" ht="21" customHeight="1">
      <c r="A10" s="374" t="s">
        <v>176</v>
      </c>
      <c r="B10" s="410" t="s">
        <v>177</v>
      </c>
      <c r="C10" s="411">
        <v>56000000</v>
      </c>
      <c r="D10" s="412">
        <v>38913</v>
      </c>
      <c r="E10" s="413">
        <v>38366</v>
      </c>
      <c r="F10" s="414" t="s">
        <v>177</v>
      </c>
      <c r="G10" s="415">
        <f>25+40+134+52</f>
        <v>251</v>
      </c>
      <c r="H10" s="416">
        <f>2659200+2137000+2800600+2600000</f>
        <v>10196800</v>
      </c>
      <c r="I10" s="417">
        <f>1279998.33+1592780.32+1677474.64+1557321.31</f>
        <v>6107574.6</v>
      </c>
      <c r="J10" s="418">
        <v>0.15</v>
      </c>
      <c r="K10" s="428" t="s">
        <v>82</v>
      </c>
      <c r="L10" s="279"/>
      <c r="M10" s="280"/>
      <c r="N10" s="281"/>
    </row>
    <row r="11" spans="1:14" s="282" customFormat="1" ht="15.75" customHeight="1">
      <c r="A11" s="374"/>
      <c r="B11" s="410"/>
      <c r="C11" s="411"/>
      <c r="D11" s="412"/>
      <c r="E11" s="412"/>
      <c r="F11" s="302" t="s">
        <v>177</v>
      </c>
      <c r="G11" s="303">
        <f>3000+2000+8590+15000</f>
        <v>28590</v>
      </c>
      <c r="H11" s="385">
        <f>2358000+62370000+11733940+25200000</f>
        <v>101661940</v>
      </c>
      <c r="I11" s="385">
        <f>1412370.64+37357742.45+7028274.95+15094037.35</f>
        <v>60892425.39000001</v>
      </c>
      <c r="J11" s="418"/>
      <c r="K11" s="428"/>
      <c r="L11" s="279"/>
      <c r="M11" s="280"/>
      <c r="N11" s="281"/>
    </row>
    <row r="12" spans="1:14" s="282" customFormat="1" ht="14.25">
      <c r="A12" s="374"/>
      <c r="B12" s="272" t="s">
        <v>177</v>
      </c>
      <c r="C12" s="375">
        <v>25000000</v>
      </c>
      <c r="D12" s="274">
        <v>38863</v>
      </c>
      <c r="E12" s="274">
        <v>38135</v>
      </c>
      <c r="F12" s="275" t="s">
        <v>178</v>
      </c>
      <c r="G12" s="276"/>
      <c r="H12" s="375">
        <v>30099571.54</v>
      </c>
      <c r="I12" s="375">
        <v>30099571.54</v>
      </c>
      <c r="J12" s="277">
        <v>0.15</v>
      </c>
      <c r="K12" s="285" t="s">
        <v>39</v>
      </c>
      <c r="L12" s="279"/>
      <c r="M12" s="280"/>
      <c r="N12" s="281" t="s">
        <v>39</v>
      </c>
    </row>
    <row r="13" spans="1:14" s="282" customFormat="1" ht="14.25">
      <c r="A13" s="374"/>
      <c r="B13" s="283" t="s">
        <v>177</v>
      </c>
      <c r="C13" s="375">
        <f>35000000-3414538-5260000-5260000-5260000-5260000-5260000</f>
        <v>5285462</v>
      </c>
      <c r="D13" s="274">
        <v>38716</v>
      </c>
      <c r="E13" s="274">
        <v>37981</v>
      </c>
      <c r="F13" s="275" t="s">
        <v>179</v>
      </c>
      <c r="G13" s="276"/>
      <c r="H13" s="375">
        <v>83613157</v>
      </c>
      <c r="I13" s="375">
        <v>48347712</v>
      </c>
      <c r="J13" s="284">
        <v>0.22</v>
      </c>
      <c r="K13" s="285" t="s">
        <v>39</v>
      </c>
      <c r="L13" s="279"/>
      <c r="M13" s="280"/>
      <c r="N13" s="281"/>
    </row>
    <row r="14" spans="1:14" s="282" customFormat="1" ht="14.25">
      <c r="A14" s="374"/>
      <c r="B14" s="283" t="s">
        <v>180</v>
      </c>
      <c r="C14" s="376">
        <v>100000000</v>
      </c>
      <c r="D14" s="377">
        <v>38786</v>
      </c>
      <c r="E14" s="377">
        <v>38429</v>
      </c>
      <c r="F14" s="378" t="s">
        <v>181</v>
      </c>
      <c r="G14" s="379"/>
      <c r="H14" s="376">
        <v>129136700</v>
      </c>
      <c r="I14" s="376">
        <v>100000000</v>
      </c>
      <c r="J14" s="380">
        <v>0.14</v>
      </c>
      <c r="K14" s="381" t="s">
        <v>133</v>
      </c>
      <c r="L14" s="279"/>
      <c r="M14" s="280"/>
      <c r="N14" s="281"/>
    </row>
    <row r="15" spans="1:14" s="282" customFormat="1" ht="14.25">
      <c r="A15" s="374"/>
      <c r="B15" s="439" t="s">
        <v>180</v>
      </c>
      <c r="C15" s="440">
        <v>100000000</v>
      </c>
      <c r="D15" s="441">
        <v>39045</v>
      </c>
      <c r="E15" s="441">
        <v>38686</v>
      </c>
      <c r="F15" s="397" t="s">
        <v>182</v>
      </c>
      <c r="G15" s="442"/>
      <c r="H15" s="440"/>
      <c r="I15" s="440"/>
      <c r="J15" s="443">
        <v>0.13</v>
      </c>
      <c r="K15" s="381"/>
      <c r="L15" s="279"/>
      <c r="M15" s="280"/>
      <c r="N15" s="281"/>
    </row>
    <row r="16" spans="1:14" s="282" customFormat="1" ht="14.25">
      <c r="A16" s="374"/>
      <c r="B16" s="382" t="s">
        <v>183</v>
      </c>
      <c r="C16" s="383"/>
      <c r="D16" s="288"/>
      <c r="E16" s="288"/>
      <c r="F16" s="289" t="s">
        <v>177</v>
      </c>
      <c r="G16" s="290">
        <v>255</v>
      </c>
      <c r="H16" s="383">
        <v>15045000</v>
      </c>
      <c r="I16" s="383">
        <v>7522500</v>
      </c>
      <c r="J16" s="291"/>
      <c r="K16" s="292"/>
      <c r="L16" s="279"/>
      <c r="M16" s="280"/>
      <c r="N16" s="281"/>
    </row>
    <row r="17" spans="1:14" s="282" customFormat="1" ht="14.25">
      <c r="A17" s="374"/>
      <c r="B17" s="382"/>
      <c r="C17" s="384">
        <v>15000000</v>
      </c>
      <c r="D17" s="294">
        <v>38704</v>
      </c>
      <c r="E17" s="294">
        <v>38371</v>
      </c>
      <c r="F17" s="295" t="s">
        <v>184</v>
      </c>
      <c r="G17" s="296">
        <v>2192</v>
      </c>
      <c r="H17" s="384">
        <v>68357520</v>
      </c>
      <c r="I17" s="384">
        <v>34178760</v>
      </c>
      <c r="J17" s="297">
        <v>0.18</v>
      </c>
      <c r="K17" s="298" t="s">
        <v>89</v>
      </c>
      <c r="L17" s="279"/>
      <c r="M17" s="280"/>
      <c r="N17" s="281"/>
    </row>
    <row r="18" spans="1:14" s="282" customFormat="1" ht="14.25">
      <c r="A18" s="374"/>
      <c r="B18" s="382"/>
      <c r="C18" s="384">
        <v>15000000</v>
      </c>
      <c r="D18" s="294"/>
      <c r="E18" s="294"/>
      <c r="F18" s="295" t="s">
        <v>179</v>
      </c>
      <c r="G18" s="296">
        <v>119</v>
      </c>
      <c r="H18" s="384">
        <v>7021000</v>
      </c>
      <c r="I18" s="384">
        <v>3510500</v>
      </c>
      <c r="J18" s="297"/>
      <c r="K18" s="298"/>
      <c r="L18" s="279"/>
      <c r="M18" s="280"/>
      <c r="N18" s="281"/>
    </row>
    <row r="19" spans="1:14" s="282" customFormat="1" ht="14.25">
      <c r="A19" s="374"/>
      <c r="B19" s="382"/>
      <c r="C19" s="385">
        <v>15000000</v>
      </c>
      <c r="D19" s="301"/>
      <c r="E19" s="301"/>
      <c r="F19" s="302" t="s">
        <v>179</v>
      </c>
      <c r="G19" s="303"/>
      <c r="H19" s="385"/>
      <c r="I19" s="385"/>
      <c r="J19" s="304"/>
      <c r="K19" s="305"/>
      <c r="L19" s="279"/>
      <c r="M19" s="280"/>
      <c r="N19" s="281"/>
    </row>
    <row r="20" spans="1:14" s="282" customFormat="1" ht="15.75" customHeight="1">
      <c r="A20" s="374"/>
      <c r="B20" s="424" t="s">
        <v>177</v>
      </c>
      <c r="C20" s="384">
        <v>3200000</v>
      </c>
      <c r="D20" s="294">
        <v>38691</v>
      </c>
      <c r="E20" s="294">
        <v>38531</v>
      </c>
      <c r="F20" s="295" t="s">
        <v>177</v>
      </c>
      <c r="G20" s="296"/>
      <c r="H20" s="384"/>
      <c r="I20" s="384"/>
      <c r="J20" s="297">
        <v>0.22</v>
      </c>
      <c r="K20" s="298"/>
      <c r="L20" s="279"/>
      <c r="M20" s="280"/>
      <c r="N20" s="281"/>
    </row>
    <row r="21" spans="1:14" s="282" customFormat="1" ht="14.25">
      <c r="A21" s="374"/>
      <c r="B21" s="379" t="s">
        <v>183</v>
      </c>
      <c r="C21" s="383"/>
      <c r="D21" s="288"/>
      <c r="E21" s="288"/>
      <c r="F21" s="289" t="s">
        <v>177</v>
      </c>
      <c r="G21" s="290">
        <v>7</v>
      </c>
      <c r="H21" s="287">
        <v>19088000</v>
      </c>
      <c r="I21" s="383">
        <v>11363700</v>
      </c>
      <c r="J21" s="291"/>
      <c r="K21" s="292"/>
      <c r="L21" s="279"/>
      <c r="M21" s="280"/>
      <c r="N21" s="281"/>
    </row>
    <row r="22" spans="1:14" s="282" customFormat="1" ht="14.25">
      <c r="A22" s="374"/>
      <c r="B22" s="379"/>
      <c r="C22" s="384">
        <v>18000000</v>
      </c>
      <c r="D22" s="294">
        <v>38736</v>
      </c>
      <c r="E22" s="294">
        <v>38366</v>
      </c>
      <c r="F22" s="295" t="s">
        <v>177</v>
      </c>
      <c r="G22" s="296">
        <v>21</v>
      </c>
      <c r="H22" s="280">
        <v>5455800</v>
      </c>
      <c r="I22" s="384">
        <v>2727900</v>
      </c>
      <c r="J22" s="297">
        <v>0.15</v>
      </c>
      <c r="K22" s="298" t="s">
        <v>39</v>
      </c>
      <c r="L22" s="279"/>
      <c r="M22" s="280"/>
      <c r="N22" s="281"/>
    </row>
    <row r="23" spans="1:14" s="282" customFormat="1" ht="14.25">
      <c r="A23" s="374"/>
      <c r="B23" s="379"/>
      <c r="C23" s="385"/>
      <c r="D23" s="301"/>
      <c r="E23" s="301"/>
      <c r="F23" s="302" t="s">
        <v>177</v>
      </c>
      <c r="G23" s="303">
        <v>268</v>
      </c>
      <c r="H23" s="300">
        <v>16080000</v>
      </c>
      <c r="I23" s="385">
        <v>7236000</v>
      </c>
      <c r="J23" s="304"/>
      <c r="K23" s="305"/>
      <c r="L23" s="279"/>
      <c r="M23" s="280"/>
      <c r="N23" s="281"/>
    </row>
    <row r="24" spans="1:14" s="282" customFormat="1" ht="14.25">
      <c r="A24" s="374"/>
      <c r="B24" s="438" t="s">
        <v>177</v>
      </c>
      <c r="C24" s="384">
        <v>10000000</v>
      </c>
      <c r="D24" s="294">
        <v>38709</v>
      </c>
      <c r="E24" s="294">
        <v>38649</v>
      </c>
      <c r="F24" s="295" t="s">
        <v>177</v>
      </c>
      <c r="G24" s="296">
        <v>21</v>
      </c>
      <c r="H24" s="280"/>
      <c r="I24" s="384"/>
      <c r="J24" s="297">
        <v>0.165</v>
      </c>
      <c r="K24" s="298" t="s">
        <v>173</v>
      </c>
      <c r="L24" s="279"/>
      <c r="M24" s="280"/>
      <c r="N24" s="281"/>
    </row>
    <row r="25" spans="1:14" s="318" customFormat="1" ht="14.25">
      <c r="A25" s="374"/>
      <c r="B25" s="311" t="s">
        <v>177</v>
      </c>
      <c r="C25" s="386">
        <f>SUM(C10:C24)</f>
        <v>362485462</v>
      </c>
      <c r="D25" s="313"/>
      <c r="E25" s="312"/>
      <c r="F25" s="312" t="s">
        <v>184</v>
      </c>
      <c r="G25" s="312"/>
      <c r="H25" s="386">
        <f>SUM(H10:H23)</f>
        <v>485755488.53999996</v>
      </c>
      <c r="I25" s="386">
        <f>SUM(I10:I23)</f>
        <v>311986643.53000003</v>
      </c>
      <c r="J25" s="312"/>
      <c r="K25" s="328"/>
      <c r="L25" s="315">
        <f>SUM(L10:L14)</f>
        <v>0</v>
      </c>
      <c r="M25" s="316">
        <f>SUM(M10:M14)</f>
        <v>0</v>
      </c>
      <c r="N25" s="317" t="s">
        <v>42</v>
      </c>
    </row>
    <row r="26" spans="1:14" s="396" customFormat="1" ht="14.25">
      <c r="A26" s="422" t="s">
        <v>185</v>
      </c>
      <c r="B26" s="378" t="s">
        <v>177</v>
      </c>
      <c r="C26" s="388">
        <f>5000000-90000</f>
        <v>4910000</v>
      </c>
      <c r="D26" s="389">
        <v>38861</v>
      </c>
      <c r="E26" s="389"/>
      <c r="F26" s="382" t="s">
        <v>177</v>
      </c>
      <c r="G26" s="390">
        <v>1</v>
      </c>
      <c r="H26" s="388">
        <v>7100000</v>
      </c>
      <c r="I26" s="388">
        <v>7100000</v>
      </c>
      <c r="J26" s="391"/>
      <c r="K26" s="392"/>
      <c r="L26" s="393"/>
      <c r="M26" s="394"/>
      <c r="N26" s="395"/>
    </row>
    <row r="27" spans="1:14" s="396" customFormat="1" ht="14.25">
      <c r="A27" s="422"/>
      <c r="B27" s="397" t="s">
        <v>177</v>
      </c>
      <c r="C27" s="376">
        <v>30000000</v>
      </c>
      <c r="D27" s="377">
        <v>38806</v>
      </c>
      <c r="E27" s="377">
        <v>38442</v>
      </c>
      <c r="F27" s="382" t="s">
        <v>186</v>
      </c>
      <c r="G27" s="390">
        <v>1</v>
      </c>
      <c r="H27" s="376">
        <v>45000000</v>
      </c>
      <c r="I27" s="376">
        <v>45000000</v>
      </c>
      <c r="J27" s="380">
        <v>0.15</v>
      </c>
      <c r="K27" s="278" t="s">
        <v>82</v>
      </c>
      <c r="L27" s="393"/>
      <c r="M27" s="394"/>
      <c r="N27" s="395"/>
    </row>
    <row r="28" spans="1:14" s="396" customFormat="1" ht="14.25">
      <c r="A28" s="422"/>
      <c r="B28" s="272" t="s">
        <v>177</v>
      </c>
      <c r="C28" s="376">
        <v>37000000</v>
      </c>
      <c r="D28" s="377">
        <v>39018</v>
      </c>
      <c r="E28" s="377">
        <v>38447</v>
      </c>
      <c r="F28" s="382" t="s">
        <v>177</v>
      </c>
      <c r="G28" s="379"/>
      <c r="H28" s="376">
        <f>97466554.88</f>
        <v>97466554.88</v>
      </c>
      <c r="I28" s="376">
        <f>45000000*1.18</f>
        <v>53100000</v>
      </c>
      <c r="J28" s="380">
        <v>0.15</v>
      </c>
      <c r="K28" s="435" t="s">
        <v>142</v>
      </c>
      <c r="L28" s="393"/>
      <c r="M28" s="394"/>
      <c r="N28" s="395"/>
    </row>
    <row r="29" spans="1:14" s="396" customFormat="1" ht="14.25">
      <c r="A29" s="422"/>
      <c r="B29" s="272" t="s">
        <v>178</v>
      </c>
      <c r="C29" s="376">
        <v>26000000</v>
      </c>
      <c r="D29" s="377">
        <v>38700</v>
      </c>
      <c r="E29" s="377">
        <v>38670</v>
      </c>
      <c r="F29" s="382" t="s">
        <v>177</v>
      </c>
      <c r="G29" s="379">
        <v>1700</v>
      </c>
      <c r="H29" s="376">
        <f>41114500</f>
        <v>41114500</v>
      </c>
      <c r="I29" s="376">
        <v>26120000</v>
      </c>
      <c r="J29" s="380">
        <v>0.18</v>
      </c>
      <c r="K29" s="436">
        <v>38607</v>
      </c>
      <c r="L29" s="393"/>
      <c r="M29" s="394"/>
      <c r="N29" s="395"/>
    </row>
    <row r="30" spans="1:14" s="282" customFormat="1" ht="14.25">
      <c r="A30" s="423"/>
      <c r="B30" s="326" t="s">
        <v>41</v>
      </c>
      <c r="C30" s="402">
        <f>SUM(C26:C29)</f>
        <v>97910000</v>
      </c>
      <c r="D30" s="327"/>
      <c r="E30" s="327"/>
      <c r="F30" s="327"/>
      <c r="G30" s="327"/>
      <c r="H30" s="402">
        <f>SUM(H26:H29)</f>
        <v>190681054.88</v>
      </c>
      <c r="I30" s="402">
        <f>SUM(I26:I29)</f>
        <v>131320000</v>
      </c>
      <c r="J30" s="312"/>
      <c r="K30" s="328"/>
      <c r="L30" s="315" t="e">
        <f>SUM(#REF!)</f>
        <v>#REF!</v>
      </c>
      <c r="M30" s="316" t="e">
        <f>SUM(#REF!)</f>
        <v>#REF!</v>
      </c>
      <c r="N30" s="317" t="s">
        <v>42</v>
      </c>
    </row>
    <row r="31" spans="1:14" s="338" customFormat="1" ht="12.75" hidden="1">
      <c r="A31" s="329"/>
      <c r="B31" s="275"/>
      <c r="C31" s="403"/>
      <c r="D31" s="331"/>
      <c r="E31" s="332"/>
      <c r="F31" s="275"/>
      <c r="G31" s="275"/>
      <c r="H31" s="403"/>
      <c r="I31" s="403"/>
      <c r="J31" s="333"/>
      <c r="K31" s="334"/>
      <c r="L31" s="335" t="e">
        <f>C31*J31/365*#REF!</f>
        <v>#REF!</v>
      </c>
      <c r="M31" s="336">
        <v>1272986</v>
      </c>
      <c r="N31" s="337"/>
    </row>
    <row r="32" spans="1:14" s="338" customFormat="1" ht="12.75" hidden="1">
      <c r="A32" s="339"/>
      <c r="B32" s="340"/>
      <c r="C32" s="404"/>
      <c r="D32" s="341"/>
      <c r="E32" s="342"/>
      <c r="F32" s="302"/>
      <c r="G32" s="302"/>
      <c r="H32" s="404"/>
      <c r="I32" s="404"/>
      <c r="J32" s="333"/>
      <c r="K32" s="334"/>
      <c r="L32" s="343"/>
      <c r="M32" s="344"/>
      <c r="N32" s="337"/>
    </row>
    <row r="33" spans="1:14" s="338" customFormat="1" ht="12.75" hidden="1">
      <c r="A33" s="339"/>
      <c r="B33" s="345"/>
      <c r="C33" s="403"/>
      <c r="D33" s="331"/>
      <c r="E33" s="332"/>
      <c r="F33" s="275"/>
      <c r="G33" s="275"/>
      <c r="H33" s="403"/>
      <c r="I33" s="403"/>
      <c r="J33" s="346"/>
      <c r="K33" s="334"/>
      <c r="L33" s="335" t="e">
        <f>C33*J33/365*#REF!</f>
        <v>#REF!</v>
      </c>
      <c r="M33" s="344">
        <v>0</v>
      </c>
      <c r="N33" s="337"/>
    </row>
    <row r="34" spans="1:14" s="282" customFormat="1" ht="12.75" hidden="1">
      <c r="A34" s="310"/>
      <c r="B34" s="311" t="s">
        <v>41</v>
      </c>
      <c r="C34" s="386">
        <f>SUM(C31:C33)</f>
        <v>0</v>
      </c>
      <c r="D34" s="312"/>
      <c r="E34" s="312"/>
      <c r="F34" s="312"/>
      <c r="G34" s="312"/>
      <c r="H34" s="386">
        <f>SUM(H31:H33)</f>
        <v>0</v>
      </c>
      <c r="I34" s="386">
        <f>SUM(I31:I33)</f>
        <v>0</v>
      </c>
      <c r="J34" s="312"/>
      <c r="K34" s="314"/>
      <c r="L34" s="315" t="e">
        <f>SUM(L31:L33)</f>
        <v>#REF!</v>
      </c>
      <c r="M34" s="316">
        <f>SUM(M31:M33)</f>
        <v>1272986</v>
      </c>
      <c r="N34" s="317" t="s">
        <v>42</v>
      </c>
    </row>
    <row r="35" spans="1:14" s="354" customFormat="1" ht="14.25">
      <c r="A35" s="347" t="s">
        <v>59</v>
      </c>
      <c r="B35" s="347"/>
      <c r="C35" s="405">
        <f>C25+C30</f>
        <v>460395462</v>
      </c>
      <c r="D35" s="348"/>
      <c r="E35" s="348"/>
      <c r="F35" s="348"/>
      <c r="G35" s="348"/>
      <c r="H35" s="405">
        <f>H25+H30</f>
        <v>676436543.42</v>
      </c>
      <c r="I35" s="405">
        <f>I25+I30</f>
        <v>443306643.53000003</v>
      </c>
      <c r="J35" s="406"/>
      <c r="K35" s="437"/>
      <c r="L35" s="351" t="e">
        <f>L25+L30+L34+#REF!+#REF!</f>
        <v>#REF!</v>
      </c>
      <c r="M35" s="352" t="e">
        <f>M25+M30+M34+#REF!+#REF!</f>
        <v>#REF!</v>
      </c>
      <c r="N35" s="353" t="s">
        <v>42</v>
      </c>
    </row>
    <row r="36" spans="1:11" s="282" customFormat="1" ht="14.25">
      <c r="A36" s="355"/>
      <c r="B36" s="355"/>
      <c r="C36" s="356"/>
      <c r="D36" s="357"/>
      <c r="E36" s="358"/>
      <c r="F36" s="358"/>
      <c r="G36" s="358"/>
      <c r="H36" s="358"/>
      <c r="I36" s="358"/>
      <c r="J36" s="358"/>
      <c r="K36" s="358"/>
    </row>
    <row r="37" spans="1:11" s="282" customFormat="1" ht="14.25">
      <c r="A37" s="196"/>
      <c r="B37" s="355"/>
      <c r="C37" s="355"/>
      <c r="D37" s="357"/>
      <c r="E37" s="358"/>
      <c r="F37" s="358"/>
      <c r="G37" s="358"/>
      <c r="H37" s="358"/>
      <c r="I37" s="358"/>
      <c r="J37" s="358"/>
      <c r="K37" s="358"/>
    </row>
    <row r="38" spans="1:11" s="282" customFormat="1" ht="14.25">
      <c r="A38" s="359"/>
      <c r="B38" s="196" t="s">
        <v>168</v>
      </c>
      <c r="C38" s="355">
        <f>C39+C40</f>
        <v>59485462</v>
      </c>
      <c r="D38" s="357"/>
      <c r="E38" s="358"/>
      <c r="F38" s="358"/>
      <c r="G38" s="358"/>
      <c r="H38" s="358"/>
      <c r="I38" s="358"/>
      <c r="J38" s="358"/>
      <c r="K38" s="358"/>
    </row>
    <row r="39" spans="1:11" s="282" customFormat="1" ht="14.25">
      <c r="A39" s="359"/>
      <c r="B39" s="196" t="s">
        <v>177</v>
      </c>
      <c r="C39" s="355">
        <f>C13+C20+C17+C24</f>
        <v>33485462</v>
      </c>
      <c r="D39" s="358"/>
      <c r="E39" s="358"/>
      <c r="F39" s="358"/>
      <c r="G39" s="358"/>
      <c r="H39" s="358"/>
      <c r="I39" s="358"/>
      <c r="J39" s="358"/>
      <c r="K39" s="358"/>
    </row>
    <row r="40" spans="1:11" s="282" customFormat="1" ht="14.25">
      <c r="A40" s="359"/>
      <c r="B40" s="355" t="s">
        <v>177</v>
      </c>
      <c r="C40" s="421">
        <f>C29</f>
        <v>26000000</v>
      </c>
      <c r="D40" s="364"/>
      <c r="E40" s="358"/>
      <c r="F40" s="358"/>
      <c r="G40" s="358"/>
      <c r="H40" s="358"/>
      <c r="I40" s="358"/>
      <c r="J40" s="358"/>
      <c r="K40" s="358"/>
    </row>
    <row r="41" spans="1:11" ht="14.25">
      <c r="A41" s="203"/>
      <c r="B41" s="360"/>
      <c r="C41" s="361"/>
      <c r="D41" s="203"/>
      <c r="E41" s="132"/>
      <c r="F41" s="132"/>
      <c r="G41" s="132"/>
      <c r="H41" s="132"/>
      <c r="I41" s="132"/>
      <c r="J41" s="132"/>
      <c r="K41" s="132"/>
    </row>
    <row r="42" spans="1:11" ht="14.25">
      <c r="A42" s="203"/>
      <c r="B42" s="360"/>
      <c r="C42" s="361"/>
      <c r="D42" s="203"/>
      <c r="E42" s="132"/>
      <c r="F42" s="132"/>
      <c r="G42" s="132"/>
      <c r="H42" s="132"/>
      <c r="I42" s="132"/>
      <c r="J42" s="132"/>
      <c r="K42" s="132"/>
    </row>
    <row r="43" spans="1:11" ht="17.25" customHeight="1">
      <c r="A43" s="204"/>
      <c r="B43" s="360"/>
      <c r="C43" s="361"/>
      <c r="D43" s="195"/>
      <c r="E43" s="132"/>
      <c r="F43" s="132"/>
      <c r="G43" s="132"/>
      <c r="H43" s="132"/>
      <c r="I43" s="132"/>
      <c r="J43" s="132"/>
      <c r="K43" s="132"/>
    </row>
    <row r="44" spans="1:11" s="207" customFormat="1" ht="16.5">
      <c r="A44" s="409" t="s">
        <v>187</v>
      </c>
      <c r="B44" s="409"/>
      <c r="C44" s="409"/>
      <c r="D44" s="409"/>
      <c r="E44" s="409"/>
      <c r="F44" s="409"/>
      <c r="G44" s="409"/>
      <c r="H44" s="409"/>
      <c r="I44" s="409"/>
      <c r="J44" s="409"/>
      <c r="K44" s="409"/>
    </row>
    <row r="47" ht="16.5" customHeight="1"/>
    <row r="49" spans="1:2" ht="14.25">
      <c r="A49" s="362" t="s">
        <v>61</v>
      </c>
      <c r="B49" s="363"/>
    </row>
    <row r="50" spans="1:2" ht="14.25">
      <c r="A50" s="362" t="s">
        <v>188</v>
      </c>
      <c r="B50" s="362"/>
    </row>
    <row r="51" ht="14.25">
      <c r="A51" s="208"/>
    </row>
  </sheetData>
  <mergeCells count="32">
    <mergeCell ref="A1:K1"/>
    <mergeCell ref="A2:K2"/>
    <mergeCell ref="A4:K4"/>
    <mergeCell ref="A6:A9"/>
    <mergeCell ref="B6:B9"/>
    <mergeCell ref="C6:C9"/>
    <mergeCell ref="D6:D9"/>
    <mergeCell ref="E6:E9"/>
    <mergeCell ref="F6:G7"/>
    <mergeCell ref="H6:H9"/>
    <mergeCell ref="I6:I9"/>
    <mergeCell ref="J6:J9"/>
    <mergeCell ref="K6:K9"/>
    <mergeCell ref="L6:N6"/>
    <mergeCell ref="L7:N7"/>
    <mergeCell ref="F8:F9"/>
    <mergeCell ref="G8:G9"/>
    <mergeCell ref="A10:A25"/>
    <mergeCell ref="B10:B11"/>
    <mergeCell ref="C10:C11"/>
    <mergeCell ref="D10:D11"/>
    <mergeCell ref="E10:E11"/>
    <mergeCell ref="J10:J11"/>
    <mergeCell ref="K10:K11"/>
    <mergeCell ref="B16:B19"/>
    <mergeCell ref="B21:B23"/>
    <mergeCell ref="A26:A29"/>
    <mergeCell ref="J31:J32"/>
    <mergeCell ref="K31:K33"/>
    <mergeCell ref="A35:B35"/>
    <mergeCell ref="A36:B36"/>
    <mergeCell ref="A44:K44"/>
  </mergeCells>
  <printOptions/>
  <pageMargins left="0.4" right="0.42986111111111114" top="0.5" bottom="0.49027777777777776" header="0.5118055555555555" footer="0.5118055555555555"/>
  <pageSetup fitToHeight="1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workbookViewId="0" topLeftCell="A1">
      <selection activeCell="A31" sqref="A31"/>
    </sheetView>
  </sheetViews>
  <sheetFormatPr defaultColWidth="9.00390625" defaultRowHeight="12.75"/>
  <cols>
    <col min="1" max="1" width="30.875" style="1" customWidth="1"/>
    <col min="2" max="2" width="27.00390625" style="0" customWidth="1"/>
    <col min="3" max="3" width="14.375" style="0" customWidth="1"/>
    <col min="4" max="4" width="13.875" style="2" customWidth="1"/>
    <col min="5" max="5" width="14.875" style="0" customWidth="1"/>
    <col min="6" max="6" width="38.25390625" style="0" customWidth="1"/>
    <col min="7" max="7" width="8.25390625" style="0" customWidth="1"/>
    <col min="8" max="8" width="15.125" style="0" customWidth="1"/>
    <col min="9" max="9" width="14.625" style="0" customWidth="1"/>
    <col min="10" max="10" width="10.625" style="0" customWidth="1"/>
    <col min="11" max="11" width="31.625" style="0" customWidth="1"/>
    <col min="12" max="14" width="0" style="0" hidden="1" customWidth="1"/>
    <col min="15" max="15" width="22.00390625" style="0" customWidth="1"/>
  </cols>
  <sheetData>
    <row r="1" spans="1:11" ht="16.5">
      <c r="A1" s="365" t="s">
        <v>119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1" ht="16.5">
      <c r="A2" s="365" t="s">
        <v>189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 ht="16.5">
      <c r="A3" s="366"/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11" ht="12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</row>
    <row r="5" ht="12">
      <c r="K5" s="368" t="s">
        <v>121</v>
      </c>
    </row>
    <row r="6" spans="1:14" s="255" customFormat="1" ht="14.25">
      <c r="A6" s="369" t="s">
        <v>122</v>
      </c>
      <c r="B6" s="370" t="s">
        <v>123</v>
      </c>
      <c r="C6" s="370" t="s">
        <v>124</v>
      </c>
      <c r="D6" s="370" t="s">
        <v>125</v>
      </c>
      <c r="E6" s="370" t="s">
        <v>126</v>
      </c>
      <c r="F6" s="371" t="s">
        <v>127</v>
      </c>
      <c r="G6" s="371"/>
      <c r="H6" s="370" t="s">
        <v>128</v>
      </c>
      <c r="I6" s="370" t="s">
        <v>129</v>
      </c>
      <c r="J6" s="370" t="s">
        <v>130</v>
      </c>
      <c r="K6" s="372" t="s">
        <v>131</v>
      </c>
      <c r="L6" s="254" t="s">
        <v>10</v>
      </c>
      <c r="M6" s="254"/>
      <c r="N6" s="254"/>
    </row>
    <row r="7" spans="1:14" s="255" customFormat="1" ht="14.25">
      <c r="A7" s="369"/>
      <c r="B7" s="370"/>
      <c r="C7" s="370"/>
      <c r="D7" s="370"/>
      <c r="E7" s="370"/>
      <c r="F7" s="371"/>
      <c r="G7" s="371"/>
      <c r="H7" s="370"/>
      <c r="I7" s="370"/>
      <c r="J7" s="370"/>
      <c r="K7" s="372"/>
      <c r="L7" s="260" t="s">
        <v>21</v>
      </c>
      <c r="M7" s="260"/>
      <c r="N7" s="260"/>
    </row>
    <row r="8" spans="1:14" s="255" customFormat="1" ht="14.25">
      <c r="A8" s="369"/>
      <c r="B8" s="370"/>
      <c r="C8" s="370"/>
      <c r="D8" s="370"/>
      <c r="E8" s="370"/>
      <c r="F8" s="373" t="s">
        <v>26</v>
      </c>
      <c r="G8" s="373" t="s">
        <v>27</v>
      </c>
      <c r="H8" s="370"/>
      <c r="I8" s="370"/>
      <c r="J8" s="370"/>
      <c r="K8" s="372"/>
      <c r="L8" s="254" t="s">
        <v>31</v>
      </c>
      <c r="M8" s="261" t="s">
        <v>32</v>
      </c>
      <c r="N8" s="262" t="s">
        <v>33</v>
      </c>
    </row>
    <row r="9" spans="1:14" s="270" customFormat="1" ht="14.25">
      <c r="A9" s="369"/>
      <c r="B9" s="370"/>
      <c r="C9" s="370"/>
      <c r="D9" s="370"/>
      <c r="E9" s="370"/>
      <c r="F9" s="373"/>
      <c r="G9" s="373"/>
      <c r="H9" s="370"/>
      <c r="I9" s="370"/>
      <c r="J9" s="370"/>
      <c r="K9" s="372"/>
      <c r="L9" s="268"/>
      <c r="M9" s="269"/>
      <c r="N9" s="268"/>
    </row>
    <row r="10" spans="1:14" s="282" customFormat="1" ht="21" customHeight="1">
      <c r="A10" s="374" t="s">
        <v>189</v>
      </c>
      <c r="B10" s="410" t="s">
        <v>190</v>
      </c>
      <c r="C10" s="411">
        <v>56000000</v>
      </c>
      <c r="D10" s="412">
        <v>38913</v>
      </c>
      <c r="E10" s="413">
        <v>38366</v>
      </c>
      <c r="F10" s="414" t="s">
        <v>177</v>
      </c>
      <c r="G10" s="415">
        <f>25+40+134+52</f>
        <v>251</v>
      </c>
      <c r="H10" s="416">
        <f>2659200+2137000+2800600+2600000</f>
        <v>10196800</v>
      </c>
      <c r="I10" s="417">
        <f>1279998.33+1592780.32+1677474.64+1557321.31</f>
        <v>6107574.6</v>
      </c>
      <c r="J10" s="418">
        <v>0.15</v>
      </c>
      <c r="K10" s="428" t="s">
        <v>82</v>
      </c>
      <c r="L10" s="279"/>
      <c r="M10" s="280"/>
      <c r="N10" s="281"/>
    </row>
    <row r="11" spans="1:14" s="282" customFormat="1" ht="15.75" customHeight="1">
      <c r="A11" s="374"/>
      <c r="B11" s="410"/>
      <c r="C11" s="411"/>
      <c r="D11" s="412"/>
      <c r="E11" s="412"/>
      <c r="F11" s="302" t="s">
        <v>183</v>
      </c>
      <c r="G11" s="303">
        <f>3000+2000+8590+15000</f>
        <v>28590</v>
      </c>
      <c r="H11" s="385">
        <f>2358000+62370000+11733940+25200000</f>
        <v>101661940</v>
      </c>
      <c r="I11" s="385">
        <f>1412370.64+37357742.45+7028274.95+15094037.35</f>
        <v>60892425.39000001</v>
      </c>
      <c r="J11" s="418"/>
      <c r="K11" s="428"/>
      <c r="L11" s="279"/>
      <c r="M11" s="280"/>
      <c r="N11" s="281"/>
    </row>
    <row r="12" spans="1:14" s="282" customFormat="1" ht="14.25">
      <c r="A12" s="374"/>
      <c r="B12" s="272" t="s">
        <v>191</v>
      </c>
      <c r="C12" s="375">
        <v>25000000</v>
      </c>
      <c r="D12" s="274">
        <v>38863</v>
      </c>
      <c r="E12" s="274">
        <v>38135</v>
      </c>
      <c r="F12" s="275" t="s">
        <v>177</v>
      </c>
      <c r="G12" s="276"/>
      <c r="H12" s="375">
        <v>30099571.54</v>
      </c>
      <c r="I12" s="375">
        <v>30099571.54</v>
      </c>
      <c r="J12" s="277">
        <v>0.15</v>
      </c>
      <c r="K12" s="285" t="s">
        <v>39</v>
      </c>
      <c r="L12" s="279"/>
      <c r="M12" s="280"/>
      <c r="N12" s="281" t="s">
        <v>39</v>
      </c>
    </row>
    <row r="13" spans="1:14" s="282" customFormat="1" ht="14.25">
      <c r="A13" s="374"/>
      <c r="B13" s="283" t="s">
        <v>192</v>
      </c>
      <c r="C13" s="376">
        <v>100000000</v>
      </c>
      <c r="D13" s="377">
        <v>38786</v>
      </c>
      <c r="E13" s="377">
        <v>38429</v>
      </c>
      <c r="F13" s="378" t="s">
        <v>193</v>
      </c>
      <c r="G13" s="379"/>
      <c r="H13" s="376">
        <v>129136700</v>
      </c>
      <c r="I13" s="376">
        <v>100000000</v>
      </c>
      <c r="J13" s="380">
        <v>0.14</v>
      </c>
      <c r="K13" s="381" t="s">
        <v>133</v>
      </c>
      <c r="L13" s="279"/>
      <c r="M13" s="280"/>
      <c r="N13" s="281"/>
    </row>
    <row r="14" spans="1:14" s="282" customFormat="1" ht="14.25">
      <c r="A14" s="374"/>
      <c r="B14" s="325" t="s">
        <v>194</v>
      </c>
      <c r="C14" s="376">
        <v>100000000</v>
      </c>
      <c r="D14" s="377">
        <v>39045</v>
      </c>
      <c r="E14" s="377">
        <v>38686</v>
      </c>
      <c r="F14" s="378" t="s">
        <v>184</v>
      </c>
      <c r="G14" s="379"/>
      <c r="H14" s="376"/>
      <c r="I14" s="376"/>
      <c r="J14" s="380">
        <v>0.13</v>
      </c>
      <c r="K14" s="444"/>
      <c r="L14" s="279"/>
      <c r="M14" s="280"/>
      <c r="N14" s="281"/>
    </row>
    <row r="15" spans="1:14" s="282" customFormat="1" ht="15.75" customHeight="1">
      <c r="A15" s="374"/>
      <c r="B15" s="445" t="s">
        <v>186</v>
      </c>
      <c r="C15" s="375">
        <v>2900000</v>
      </c>
      <c r="D15" s="274">
        <v>38691</v>
      </c>
      <c r="E15" s="274">
        <v>38531</v>
      </c>
      <c r="F15" s="275" t="s">
        <v>181</v>
      </c>
      <c r="G15" s="276"/>
      <c r="H15" s="375"/>
      <c r="I15" s="375"/>
      <c r="J15" s="284">
        <v>0.22</v>
      </c>
      <c r="K15" s="425"/>
      <c r="L15" s="279"/>
      <c r="M15" s="280"/>
      <c r="N15" s="281"/>
    </row>
    <row r="16" spans="1:14" s="282" customFormat="1" ht="14.25">
      <c r="A16" s="374"/>
      <c r="B16" s="379" t="s">
        <v>192</v>
      </c>
      <c r="C16" s="383"/>
      <c r="D16" s="288"/>
      <c r="E16" s="288"/>
      <c r="F16" s="289" t="s">
        <v>177</v>
      </c>
      <c r="G16" s="290">
        <v>7</v>
      </c>
      <c r="H16" s="287">
        <v>19088000</v>
      </c>
      <c r="I16" s="383">
        <v>11363700</v>
      </c>
      <c r="J16" s="291"/>
      <c r="K16" s="292"/>
      <c r="L16" s="279"/>
      <c r="M16" s="280"/>
      <c r="N16" s="281"/>
    </row>
    <row r="17" spans="1:14" s="282" customFormat="1" ht="14.25">
      <c r="A17" s="374"/>
      <c r="B17" s="379"/>
      <c r="C17" s="384">
        <v>18000000</v>
      </c>
      <c r="D17" s="294">
        <v>38736</v>
      </c>
      <c r="E17" s="294">
        <v>38366</v>
      </c>
      <c r="F17" s="295" t="s">
        <v>177</v>
      </c>
      <c r="G17" s="296">
        <v>21</v>
      </c>
      <c r="H17" s="280">
        <v>5455800</v>
      </c>
      <c r="I17" s="384">
        <v>2727900</v>
      </c>
      <c r="J17" s="297">
        <v>0.15</v>
      </c>
      <c r="K17" s="298" t="s">
        <v>39</v>
      </c>
      <c r="L17" s="279"/>
      <c r="M17" s="280"/>
      <c r="N17" s="281"/>
    </row>
    <row r="18" spans="1:14" s="282" customFormat="1" ht="14.25">
      <c r="A18" s="374"/>
      <c r="B18" s="379"/>
      <c r="C18" s="385"/>
      <c r="D18" s="301"/>
      <c r="E18" s="301"/>
      <c r="F18" s="302" t="s">
        <v>177</v>
      </c>
      <c r="G18" s="303">
        <v>268</v>
      </c>
      <c r="H18" s="300">
        <v>16080000</v>
      </c>
      <c r="I18" s="385">
        <v>7236000</v>
      </c>
      <c r="J18" s="304"/>
      <c r="K18" s="305"/>
      <c r="L18" s="279"/>
      <c r="M18" s="280"/>
      <c r="N18" s="281"/>
    </row>
    <row r="19" spans="1:14" s="318" customFormat="1" ht="14.25">
      <c r="A19" s="374"/>
      <c r="B19" s="311" t="s">
        <v>195</v>
      </c>
      <c r="C19" s="386">
        <f>SUM(C10:C18)</f>
        <v>301900000</v>
      </c>
      <c r="D19" s="313"/>
      <c r="E19" s="312"/>
      <c r="F19" s="312"/>
      <c r="G19" s="312"/>
      <c r="H19" s="386">
        <f>SUM(H10:H18)</f>
        <v>311718811.53999996</v>
      </c>
      <c r="I19" s="386">
        <f>SUM(I10:I18)</f>
        <v>218427171.53</v>
      </c>
      <c r="J19" s="312"/>
      <c r="K19" s="328"/>
      <c r="L19" s="315">
        <f>SUM(L10:L13)</f>
        <v>0</v>
      </c>
      <c r="M19" s="316">
        <f>SUM(M10:M13)</f>
        <v>0</v>
      </c>
      <c r="N19" s="317" t="s">
        <v>42</v>
      </c>
    </row>
    <row r="20" spans="1:11" s="282" customFormat="1" ht="14.25">
      <c r="A20" s="355"/>
      <c r="B20" s="355"/>
      <c r="C20" s="356"/>
      <c r="D20" s="357"/>
      <c r="E20" s="358"/>
      <c r="F20" s="358"/>
      <c r="G20" s="358"/>
      <c r="H20" s="358"/>
      <c r="I20" s="358"/>
      <c r="J20" s="358"/>
      <c r="K20" s="358"/>
    </row>
    <row r="21" spans="1:11" s="282" customFormat="1" ht="14.25">
      <c r="A21" s="196"/>
      <c r="B21" s="355"/>
      <c r="C21" s="355"/>
      <c r="D21" s="357"/>
      <c r="E21" s="358"/>
      <c r="F21" s="358"/>
      <c r="G21" s="358"/>
      <c r="H21" s="358"/>
      <c r="I21" s="358"/>
      <c r="J21" s="358"/>
      <c r="K21" s="358"/>
    </row>
    <row r="22" spans="1:11" ht="14.25">
      <c r="A22" s="203"/>
      <c r="B22" s="360"/>
      <c r="C22" s="361"/>
      <c r="D22" s="203"/>
      <c r="E22" s="132"/>
      <c r="F22" s="132"/>
      <c r="G22" s="132"/>
      <c r="H22" s="132"/>
      <c r="I22" s="132"/>
      <c r="J22" s="132"/>
      <c r="K22" s="132"/>
    </row>
    <row r="23" spans="1:11" ht="14.25">
      <c r="A23" s="203"/>
      <c r="B23" s="360"/>
      <c r="C23" s="361"/>
      <c r="D23" s="203"/>
      <c r="E23" s="132"/>
      <c r="F23" s="132"/>
      <c r="G23" s="132"/>
      <c r="H23" s="132"/>
      <c r="I23" s="132"/>
      <c r="J23" s="132"/>
      <c r="K23" s="132"/>
    </row>
    <row r="24" spans="1:11" ht="17.25" customHeight="1">
      <c r="A24" s="204"/>
      <c r="B24" s="360"/>
      <c r="C24" s="361"/>
      <c r="D24" s="195"/>
      <c r="E24" s="132"/>
      <c r="F24" s="132"/>
      <c r="G24" s="132"/>
      <c r="H24" s="132"/>
      <c r="I24" s="132"/>
      <c r="J24" s="132"/>
      <c r="K24" s="132"/>
    </row>
    <row r="25" spans="1:11" s="207" customFormat="1" ht="16.5">
      <c r="A25" s="409" t="s">
        <v>196</v>
      </c>
      <c r="B25" s="409"/>
      <c r="C25" s="409"/>
      <c r="D25" s="409"/>
      <c r="E25" s="409"/>
      <c r="F25" s="409"/>
      <c r="G25" s="409"/>
      <c r="H25" s="409"/>
      <c r="I25" s="409"/>
      <c r="J25" s="409"/>
      <c r="K25" s="409"/>
    </row>
    <row r="28" ht="16.5" customHeight="1"/>
    <row r="30" spans="1:2" ht="14.25">
      <c r="A30" s="362" t="s">
        <v>61</v>
      </c>
      <c r="B30" s="363"/>
    </row>
    <row r="31" spans="1:2" ht="14.25">
      <c r="A31" s="362" t="s">
        <v>197</v>
      </c>
      <c r="B31" s="362"/>
    </row>
    <row r="32" ht="14.25">
      <c r="A32" s="208"/>
    </row>
  </sheetData>
  <mergeCells count="27">
    <mergeCell ref="A1:K1"/>
    <mergeCell ref="A2:K2"/>
    <mergeCell ref="A4:K4"/>
    <mergeCell ref="A6:A9"/>
    <mergeCell ref="B6:B9"/>
    <mergeCell ref="C6:C9"/>
    <mergeCell ref="D6:D9"/>
    <mergeCell ref="E6:E9"/>
    <mergeCell ref="F6:G7"/>
    <mergeCell ref="H6:H9"/>
    <mergeCell ref="I6:I9"/>
    <mergeCell ref="J6:J9"/>
    <mergeCell ref="K6:K9"/>
    <mergeCell ref="L6:N6"/>
    <mergeCell ref="L7:N7"/>
    <mergeCell ref="F8:F9"/>
    <mergeCell ref="G8:G9"/>
    <mergeCell ref="A10:A19"/>
    <mergeCell ref="B10:B11"/>
    <mergeCell ref="C10:C11"/>
    <mergeCell ref="D10:D11"/>
    <mergeCell ref="E10:E11"/>
    <mergeCell ref="J10:J11"/>
    <mergeCell ref="K10:K11"/>
    <mergeCell ref="B16:B18"/>
    <mergeCell ref="A20:B20"/>
    <mergeCell ref="A25:K25"/>
  </mergeCells>
  <printOptions horizontalCentered="1"/>
  <pageMargins left="0.44027777777777777" right="0.4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workbookViewId="0" topLeftCell="A1">
      <selection activeCell="F10" sqref="F10"/>
    </sheetView>
  </sheetViews>
  <sheetFormatPr defaultColWidth="9.00390625" defaultRowHeight="12.75"/>
  <cols>
    <col min="1" max="1" width="30.875" style="1" customWidth="1"/>
    <col min="2" max="2" width="27.00390625" style="0" customWidth="1"/>
    <col min="3" max="3" width="16.75390625" style="0" customWidth="1"/>
    <col min="4" max="4" width="13.875" style="2" customWidth="1"/>
    <col min="5" max="5" width="14.875" style="0" customWidth="1"/>
    <col min="6" max="6" width="38.25390625" style="0" customWidth="1"/>
    <col min="7" max="7" width="8.25390625" style="0" customWidth="1"/>
    <col min="8" max="8" width="17.00390625" style="0" customWidth="1"/>
    <col min="9" max="9" width="17.875" style="0" customWidth="1"/>
    <col min="10" max="10" width="10.625" style="0" customWidth="1"/>
    <col min="11" max="11" width="31.625" style="0" customWidth="1"/>
    <col min="12" max="14" width="0" style="0" hidden="1" customWidth="1"/>
    <col min="15" max="15" width="22.00390625" style="0" customWidth="1"/>
  </cols>
  <sheetData>
    <row r="1" spans="1:11" ht="16.5">
      <c r="A1" s="365" t="s">
        <v>119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1" ht="16.5">
      <c r="A2" s="365" t="s">
        <v>198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 ht="16.5">
      <c r="A3" s="366"/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11" ht="12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</row>
    <row r="5" ht="12">
      <c r="K5" s="368" t="s">
        <v>121</v>
      </c>
    </row>
    <row r="6" spans="1:14" s="255" customFormat="1" ht="14.25">
      <c r="A6" s="369" t="s">
        <v>122</v>
      </c>
      <c r="B6" s="370" t="s">
        <v>123</v>
      </c>
      <c r="C6" s="370" t="s">
        <v>124</v>
      </c>
      <c r="D6" s="370" t="s">
        <v>125</v>
      </c>
      <c r="E6" s="370" t="s">
        <v>126</v>
      </c>
      <c r="F6" s="371" t="s">
        <v>127</v>
      </c>
      <c r="G6" s="371"/>
      <c r="H6" s="370" t="s">
        <v>128</v>
      </c>
      <c r="I6" s="370" t="s">
        <v>129</v>
      </c>
      <c r="J6" s="370" t="s">
        <v>130</v>
      </c>
      <c r="K6" s="372" t="s">
        <v>131</v>
      </c>
      <c r="L6" s="254" t="s">
        <v>10</v>
      </c>
      <c r="M6" s="254"/>
      <c r="N6" s="254"/>
    </row>
    <row r="7" spans="1:14" s="255" customFormat="1" ht="14.25">
      <c r="A7" s="369"/>
      <c r="B7" s="370"/>
      <c r="C7" s="370"/>
      <c r="D7" s="370"/>
      <c r="E7" s="370"/>
      <c r="F7" s="371"/>
      <c r="G7" s="371"/>
      <c r="H7" s="370"/>
      <c r="I7" s="370"/>
      <c r="J7" s="370"/>
      <c r="K7" s="372"/>
      <c r="L7" s="260" t="s">
        <v>21</v>
      </c>
      <c r="M7" s="260"/>
      <c r="N7" s="260"/>
    </row>
    <row r="8" spans="1:14" s="255" customFormat="1" ht="14.25">
      <c r="A8" s="369"/>
      <c r="B8" s="370"/>
      <c r="C8" s="370"/>
      <c r="D8" s="370"/>
      <c r="E8" s="370"/>
      <c r="F8" s="373" t="s">
        <v>26</v>
      </c>
      <c r="G8" s="373" t="s">
        <v>27</v>
      </c>
      <c r="H8" s="370"/>
      <c r="I8" s="370"/>
      <c r="J8" s="370"/>
      <c r="K8" s="372"/>
      <c r="L8" s="254" t="s">
        <v>31</v>
      </c>
      <c r="M8" s="261" t="s">
        <v>32</v>
      </c>
      <c r="N8" s="262" t="s">
        <v>33</v>
      </c>
    </row>
    <row r="9" spans="1:14" s="270" customFormat="1" ht="14.25">
      <c r="A9" s="369"/>
      <c r="B9" s="370"/>
      <c r="C9" s="370"/>
      <c r="D9" s="370"/>
      <c r="E9" s="370"/>
      <c r="F9" s="373"/>
      <c r="G9" s="373"/>
      <c r="H9" s="370"/>
      <c r="I9" s="370"/>
      <c r="J9" s="370"/>
      <c r="K9" s="372"/>
      <c r="L9" s="268"/>
      <c r="M9" s="269"/>
      <c r="N9" s="268"/>
    </row>
    <row r="10" spans="1:14" s="282" customFormat="1" ht="21" customHeight="1">
      <c r="A10" s="374" t="s">
        <v>199</v>
      </c>
      <c r="B10" s="410" t="s">
        <v>177</v>
      </c>
      <c r="C10" s="411">
        <v>56000000</v>
      </c>
      <c r="D10" s="412">
        <v>38913</v>
      </c>
      <c r="E10" s="413">
        <v>38366</v>
      </c>
      <c r="F10" s="414" t="s">
        <v>183</v>
      </c>
      <c r="G10" s="415">
        <f>25+40+134+52</f>
        <v>251</v>
      </c>
      <c r="H10" s="416">
        <f>2659200+2137000+2800600+2600000</f>
        <v>10196800</v>
      </c>
      <c r="I10" s="417">
        <f>1279998.33+1592780.32+1677474.64+1557321.31</f>
        <v>6107574.6</v>
      </c>
      <c r="J10" s="418">
        <v>0.15</v>
      </c>
      <c r="K10" s="428" t="s">
        <v>82</v>
      </c>
      <c r="L10" s="279"/>
      <c r="M10" s="280"/>
      <c r="N10" s="281"/>
    </row>
    <row r="11" spans="1:14" s="282" customFormat="1" ht="15.75" customHeight="1">
      <c r="A11" s="374"/>
      <c r="B11" s="410"/>
      <c r="C11" s="411"/>
      <c r="D11" s="412"/>
      <c r="E11" s="412"/>
      <c r="F11" s="302" t="s">
        <v>177</v>
      </c>
      <c r="G11" s="303">
        <f>3000+2000+8590+15000</f>
        <v>28590</v>
      </c>
      <c r="H11" s="385">
        <f>2358000+62370000+11733940+25200000</f>
        <v>101661940</v>
      </c>
      <c r="I11" s="385">
        <f>1412370.64+37357742.45+7028274.95+15094037.35</f>
        <v>60892425.39000001</v>
      </c>
      <c r="J11" s="418"/>
      <c r="K11" s="428"/>
      <c r="L11" s="279"/>
      <c r="M11" s="280"/>
      <c r="N11" s="281"/>
    </row>
    <row r="12" spans="1:14" s="282" customFormat="1" ht="14.25">
      <c r="A12" s="374"/>
      <c r="B12" s="272" t="s">
        <v>183</v>
      </c>
      <c r="C12" s="375">
        <v>25000000</v>
      </c>
      <c r="D12" s="274">
        <v>38863</v>
      </c>
      <c r="E12" s="274">
        <v>38135</v>
      </c>
      <c r="F12" s="275" t="s">
        <v>184</v>
      </c>
      <c r="G12" s="276"/>
      <c r="H12" s="375">
        <v>30099571.54</v>
      </c>
      <c r="I12" s="375">
        <v>30099571.54</v>
      </c>
      <c r="J12" s="277">
        <v>0.15</v>
      </c>
      <c r="K12" s="285" t="s">
        <v>39</v>
      </c>
      <c r="L12" s="279"/>
      <c r="M12" s="280"/>
      <c r="N12" s="281" t="s">
        <v>39</v>
      </c>
    </row>
    <row r="13" spans="1:14" s="282" customFormat="1" ht="14.25">
      <c r="A13" s="374"/>
      <c r="B13" s="283" t="s">
        <v>177</v>
      </c>
      <c r="C13" s="376">
        <v>100000000</v>
      </c>
      <c r="D13" s="377">
        <v>38786</v>
      </c>
      <c r="E13" s="377">
        <v>38429</v>
      </c>
      <c r="F13" s="378" t="s">
        <v>200</v>
      </c>
      <c r="G13" s="379"/>
      <c r="H13" s="376">
        <v>129136700</v>
      </c>
      <c r="I13" s="376">
        <v>100000000</v>
      </c>
      <c r="J13" s="380">
        <v>0.14</v>
      </c>
      <c r="K13" s="381" t="s">
        <v>133</v>
      </c>
      <c r="L13" s="279"/>
      <c r="M13" s="280"/>
      <c r="N13" s="281"/>
    </row>
    <row r="14" spans="1:14" s="282" customFormat="1" ht="54.75" customHeight="1">
      <c r="A14" s="374"/>
      <c r="B14" s="446" t="s">
        <v>201</v>
      </c>
      <c r="C14" s="440">
        <v>100000000</v>
      </c>
      <c r="D14" s="441">
        <v>39045</v>
      </c>
      <c r="E14" s="441">
        <v>38686</v>
      </c>
      <c r="F14" s="397" t="s">
        <v>183</v>
      </c>
      <c r="G14" s="442"/>
      <c r="H14" s="440">
        <v>226854111.78</v>
      </c>
      <c r="I14" s="440">
        <v>100000000</v>
      </c>
      <c r="J14" s="447">
        <v>0.131</v>
      </c>
      <c r="K14" s="381" t="s">
        <v>202</v>
      </c>
      <c r="L14" s="279"/>
      <c r="M14" s="280"/>
      <c r="N14" s="281"/>
    </row>
    <row r="15" spans="1:14" s="282" customFormat="1" ht="14.25">
      <c r="A15" s="374"/>
      <c r="B15" s="439" t="s">
        <v>203</v>
      </c>
      <c r="C15" s="440">
        <v>100000000</v>
      </c>
      <c r="D15" s="441">
        <v>39077</v>
      </c>
      <c r="E15" s="441">
        <v>38712</v>
      </c>
      <c r="F15" s="397" t="s">
        <v>177</v>
      </c>
      <c r="G15" s="442"/>
      <c r="H15" s="440"/>
      <c r="I15" s="440">
        <v>100000000</v>
      </c>
      <c r="J15" s="447">
        <v>0.115</v>
      </c>
      <c r="K15" s="381"/>
      <c r="L15" s="279"/>
      <c r="M15" s="280"/>
      <c r="N15" s="281"/>
    </row>
    <row r="16" spans="1:14" s="318" customFormat="1" ht="14.25">
      <c r="A16" s="374"/>
      <c r="B16" s="311" t="s">
        <v>183</v>
      </c>
      <c r="C16" s="386">
        <f>SUM(C10:C15)</f>
        <v>381000000</v>
      </c>
      <c r="D16" s="313"/>
      <c r="E16" s="312"/>
      <c r="F16" s="312" t="s">
        <v>184</v>
      </c>
      <c r="G16" s="312"/>
      <c r="H16" s="386">
        <f>SUM(H10:H14)</f>
        <v>497949123.32</v>
      </c>
      <c r="I16" s="386">
        <f>SUM(I10:I14)</f>
        <v>297099571.53000003</v>
      </c>
      <c r="J16" s="312"/>
      <c r="K16" s="328"/>
      <c r="L16" s="315">
        <f>SUM(L10:L13)</f>
        <v>0</v>
      </c>
      <c r="M16" s="316">
        <f>SUM(M10:M13)</f>
        <v>0</v>
      </c>
      <c r="N16" s="317" t="s">
        <v>42</v>
      </c>
    </row>
    <row r="17" spans="1:14" s="396" customFormat="1" ht="14.25">
      <c r="A17" s="420" t="s">
        <v>204</v>
      </c>
      <c r="B17" s="397" t="s">
        <v>177</v>
      </c>
      <c r="C17" s="376">
        <v>30000000</v>
      </c>
      <c r="D17" s="377">
        <v>38806</v>
      </c>
      <c r="E17" s="377">
        <v>38442</v>
      </c>
      <c r="F17" s="382" t="s">
        <v>177</v>
      </c>
      <c r="G17" s="390">
        <v>1</v>
      </c>
      <c r="H17" s="376">
        <v>45000000</v>
      </c>
      <c r="I17" s="376">
        <v>45000000</v>
      </c>
      <c r="J17" s="380">
        <v>0.15</v>
      </c>
      <c r="K17" s="278" t="s">
        <v>82</v>
      </c>
      <c r="L17" s="393"/>
      <c r="M17" s="394"/>
      <c r="N17" s="395"/>
    </row>
    <row r="18" spans="1:14" s="396" customFormat="1" ht="27.75" customHeight="1">
      <c r="A18" s="420"/>
      <c r="B18" s="272" t="s">
        <v>201</v>
      </c>
      <c r="C18" s="376">
        <v>37000000</v>
      </c>
      <c r="D18" s="377">
        <v>39018</v>
      </c>
      <c r="E18" s="377">
        <v>38447</v>
      </c>
      <c r="F18" s="382" t="s">
        <v>177</v>
      </c>
      <c r="G18" s="379"/>
      <c r="H18" s="376">
        <f>97466554.88</f>
        <v>97466554.88</v>
      </c>
      <c r="I18" s="376">
        <f>45000000*1.18</f>
        <v>53100000</v>
      </c>
      <c r="J18" s="380">
        <v>0.15</v>
      </c>
      <c r="K18" s="435" t="s">
        <v>142</v>
      </c>
      <c r="L18" s="393"/>
      <c r="M18" s="394"/>
      <c r="N18" s="395"/>
    </row>
    <row r="19" spans="1:14" s="282" customFormat="1" ht="14.25">
      <c r="A19" s="420"/>
      <c r="B19" s="326" t="s">
        <v>193</v>
      </c>
      <c r="C19" s="402">
        <f>SUM(C17:C18)</f>
        <v>67000000</v>
      </c>
      <c r="D19" s="327"/>
      <c r="E19" s="327"/>
      <c r="F19" s="327"/>
      <c r="G19" s="327"/>
      <c r="H19" s="402">
        <f>SUM(H17:H18)</f>
        <v>142466554.88</v>
      </c>
      <c r="I19" s="402">
        <f>SUM(I17:I18)</f>
        <v>98100000</v>
      </c>
      <c r="J19" s="312"/>
      <c r="K19" s="328"/>
      <c r="L19" s="315" t="e">
        <f>SUM(#REF!)</f>
        <v>#REF!</v>
      </c>
      <c r="M19" s="316" t="e">
        <f>SUM(#REF!)</f>
        <v>#REF!</v>
      </c>
      <c r="N19" s="317" t="s">
        <v>42</v>
      </c>
    </row>
    <row r="20" spans="1:14" s="338" customFormat="1" ht="12.75" hidden="1">
      <c r="A20" s="329"/>
      <c r="B20" s="275"/>
      <c r="C20" s="403"/>
      <c r="D20" s="331"/>
      <c r="E20" s="332"/>
      <c r="F20" s="275"/>
      <c r="G20" s="275"/>
      <c r="H20" s="403"/>
      <c r="I20" s="403"/>
      <c r="J20" s="333"/>
      <c r="K20" s="334"/>
      <c r="L20" s="335" t="e">
        <f>C20*J20/365*#REF!</f>
        <v>#REF!</v>
      </c>
      <c r="M20" s="336">
        <v>1272986</v>
      </c>
      <c r="N20" s="337"/>
    </row>
    <row r="21" spans="1:14" s="338" customFormat="1" ht="12.75" hidden="1">
      <c r="A21" s="339"/>
      <c r="B21" s="340"/>
      <c r="C21" s="404"/>
      <c r="D21" s="341"/>
      <c r="E21" s="342"/>
      <c r="F21" s="302"/>
      <c r="G21" s="302"/>
      <c r="H21" s="404"/>
      <c r="I21" s="404"/>
      <c r="J21" s="333"/>
      <c r="K21" s="334"/>
      <c r="L21" s="343"/>
      <c r="M21" s="344"/>
      <c r="N21" s="337"/>
    </row>
    <row r="22" spans="1:14" s="338" customFormat="1" ht="12.75" hidden="1">
      <c r="A22" s="339"/>
      <c r="B22" s="345"/>
      <c r="C22" s="403"/>
      <c r="D22" s="331"/>
      <c r="E22" s="332"/>
      <c r="F22" s="275"/>
      <c r="G22" s="275"/>
      <c r="H22" s="403"/>
      <c r="I22" s="403"/>
      <c r="J22" s="346"/>
      <c r="K22" s="334"/>
      <c r="L22" s="335" t="e">
        <f>C22*J22/365*#REF!</f>
        <v>#REF!</v>
      </c>
      <c r="M22" s="344">
        <v>0</v>
      </c>
      <c r="N22" s="337"/>
    </row>
    <row r="23" spans="1:14" s="282" customFormat="1" ht="12.75" hidden="1">
      <c r="A23" s="310"/>
      <c r="B23" s="311" t="s">
        <v>41</v>
      </c>
      <c r="C23" s="386">
        <f>SUM(C20:C22)</f>
        <v>0</v>
      </c>
      <c r="D23" s="312"/>
      <c r="E23" s="312"/>
      <c r="F23" s="312"/>
      <c r="G23" s="312"/>
      <c r="H23" s="386">
        <f>SUM(H20:H22)</f>
        <v>0</v>
      </c>
      <c r="I23" s="386">
        <f>SUM(I20:I22)</f>
        <v>0</v>
      </c>
      <c r="J23" s="312"/>
      <c r="K23" s="314"/>
      <c r="L23" s="315" t="e">
        <f>SUM(L20:L22)</f>
        <v>#REF!</v>
      </c>
      <c r="M23" s="316">
        <f>SUM(M20:M22)</f>
        <v>1272986</v>
      </c>
      <c r="N23" s="317" t="s">
        <v>42</v>
      </c>
    </row>
    <row r="24" spans="1:14" s="354" customFormat="1" ht="14.25">
      <c r="A24" s="347" t="s">
        <v>59</v>
      </c>
      <c r="B24" s="347"/>
      <c r="C24" s="405">
        <f>C16+C19</f>
        <v>448000000</v>
      </c>
      <c r="D24" s="348"/>
      <c r="E24" s="348"/>
      <c r="F24" s="348"/>
      <c r="G24" s="348"/>
      <c r="H24" s="405">
        <f>H16+H19</f>
        <v>640415678.2</v>
      </c>
      <c r="I24" s="405">
        <f>I16+I19</f>
        <v>395199571.53000003</v>
      </c>
      <c r="J24" s="406"/>
      <c r="K24" s="437"/>
      <c r="L24" s="351" t="e">
        <f>L16+L19+L23+#REF!+#REF!</f>
        <v>#REF!</v>
      </c>
      <c r="M24" s="352" t="e">
        <f>M16+M19+M23+#REF!+#REF!</f>
        <v>#REF!</v>
      </c>
      <c r="N24" s="353" t="s">
        <v>42</v>
      </c>
    </row>
    <row r="25" spans="1:11" s="282" customFormat="1" ht="14.25">
      <c r="A25" s="355"/>
      <c r="B25" s="355"/>
      <c r="C25" s="356"/>
      <c r="D25" s="357"/>
      <c r="E25" s="358"/>
      <c r="F25" s="358"/>
      <c r="G25" s="358"/>
      <c r="H25" s="358"/>
      <c r="I25" s="358"/>
      <c r="J25" s="358"/>
      <c r="K25" s="358"/>
    </row>
    <row r="26" spans="1:11" s="282" customFormat="1" ht="15" customHeight="1">
      <c r="A26" s="196"/>
      <c r="B26" s="355"/>
      <c r="C26" s="355"/>
      <c r="D26" s="357"/>
      <c r="E26" s="358"/>
      <c r="F26" s="358"/>
      <c r="G26" s="358"/>
      <c r="H26" s="358"/>
      <c r="I26" s="358"/>
      <c r="J26" s="358"/>
      <c r="K26" s="358"/>
    </row>
    <row r="27" spans="1:11" s="282" customFormat="1" ht="12.75" hidden="1">
      <c r="A27" s="359"/>
      <c r="B27" s="196" t="s">
        <v>205</v>
      </c>
      <c r="C27" s="355">
        <f>C28+C29</f>
        <v>0</v>
      </c>
      <c r="D27" s="357"/>
      <c r="E27" s="358"/>
      <c r="F27" s="358"/>
      <c r="G27" s="358"/>
      <c r="H27" s="358"/>
      <c r="I27" s="358"/>
      <c r="J27" s="358"/>
      <c r="K27" s="358"/>
    </row>
    <row r="28" spans="1:11" s="282" customFormat="1" ht="12.75" hidden="1">
      <c r="A28" s="359"/>
      <c r="B28" s="196" t="s">
        <v>144</v>
      </c>
      <c r="C28" s="355">
        <v>0</v>
      </c>
      <c r="D28" s="358"/>
      <c r="E28" s="358"/>
      <c r="F28" s="358"/>
      <c r="G28" s="358"/>
      <c r="H28" s="358"/>
      <c r="I28" s="358"/>
      <c r="J28" s="358"/>
      <c r="K28" s="358"/>
    </row>
    <row r="29" spans="1:11" s="282" customFormat="1" ht="12.75" hidden="1">
      <c r="A29" s="359"/>
      <c r="B29" s="355" t="s">
        <v>145</v>
      </c>
      <c r="C29" s="421">
        <v>0</v>
      </c>
      <c r="D29" s="364"/>
      <c r="E29" s="358"/>
      <c r="F29" s="358"/>
      <c r="G29" s="358"/>
      <c r="H29" s="358"/>
      <c r="I29" s="358"/>
      <c r="J29" s="358"/>
      <c r="K29" s="358"/>
    </row>
    <row r="30" spans="1:11" ht="14.25">
      <c r="A30" s="203"/>
      <c r="B30" s="360"/>
      <c r="C30" s="361"/>
      <c r="D30" s="203"/>
      <c r="E30" s="132"/>
      <c r="F30" s="132"/>
      <c r="G30" s="132"/>
      <c r="H30" s="132"/>
      <c r="I30" s="132"/>
      <c r="J30" s="132"/>
      <c r="K30" s="132"/>
    </row>
    <row r="31" spans="1:11" ht="14.25">
      <c r="A31" s="203"/>
      <c r="B31" s="360"/>
      <c r="C31" s="361"/>
      <c r="D31" s="203"/>
      <c r="E31" s="132"/>
      <c r="F31" s="132"/>
      <c r="G31" s="132"/>
      <c r="H31" s="132"/>
      <c r="I31" s="132"/>
      <c r="J31" s="132"/>
      <c r="K31" s="132"/>
    </row>
    <row r="32" spans="1:11" ht="17.25" customHeight="1">
      <c r="A32" s="204"/>
      <c r="B32" s="360"/>
      <c r="C32" s="361"/>
      <c r="D32" s="195"/>
      <c r="E32" s="132"/>
      <c r="F32" s="132"/>
      <c r="G32" s="132"/>
      <c r="H32" s="132"/>
      <c r="I32" s="132"/>
      <c r="J32" s="132"/>
      <c r="K32" s="132"/>
    </row>
    <row r="33" spans="1:11" s="207" customFormat="1" ht="16.5">
      <c r="A33" s="409" t="s">
        <v>189</v>
      </c>
      <c r="B33" s="409"/>
      <c r="C33" s="409"/>
      <c r="D33" s="409"/>
      <c r="E33" s="409"/>
      <c r="F33" s="409"/>
      <c r="G33" s="409"/>
      <c r="H33" s="409"/>
      <c r="I33" s="409"/>
      <c r="J33" s="409"/>
      <c r="K33" s="409"/>
    </row>
    <row r="36" ht="16.5" customHeight="1"/>
    <row r="38" spans="1:2" ht="14.25">
      <c r="A38" s="362" t="s">
        <v>61</v>
      </c>
      <c r="B38" s="363"/>
    </row>
    <row r="39" spans="1:2" ht="14.25">
      <c r="A39" s="362" t="s">
        <v>189</v>
      </c>
      <c r="B39" s="362"/>
    </row>
    <row r="40" ht="14.25">
      <c r="A40" s="208"/>
    </row>
  </sheetData>
  <mergeCells count="30">
    <mergeCell ref="A1:K1"/>
    <mergeCell ref="A2:K2"/>
    <mergeCell ref="A4:K4"/>
    <mergeCell ref="A6:A9"/>
    <mergeCell ref="B6:B9"/>
    <mergeCell ref="C6:C9"/>
    <mergeCell ref="D6:D9"/>
    <mergeCell ref="E6:E9"/>
    <mergeCell ref="F6:G7"/>
    <mergeCell ref="H6:H9"/>
    <mergeCell ref="I6:I9"/>
    <mergeCell ref="J6:J9"/>
    <mergeCell ref="K6:K9"/>
    <mergeCell ref="L6:N6"/>
    <mergeCell ref="L7:N7"/>
    <mergeCell ref="F8:F9"/>
    <mergeCell ref="G8:G9"/>
    <mergeCell ref="A10:A16"/>
    <mergeCell ref="B10:B11"/>
    <mergeCell ref="C10:C11"/>
    <mergeCell ref="D10:D11"/>
    <mergeCell ref="E10:E11"/>
    <mergeCell ref="J10:J11"/>
    <mergeCell ref="K10:K11"/>
    <mergeCell ref="A17:A19"/>
    <mergeCell ref="J20:J21"/>
    <mergeCell ref="K20:K22"/>
    <mergeCell ref="A24:B24"/>
    <mergeCell ref="A25:B25"/>
    <mergeCell ref="A33:K33"/>
  </mergeCells>
  <printOptions/>
  <pageMargins left="0.44027777777777777" right="0.4402777777777777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 topLeftCell="A1">
      <selection activeCell="F8" sqref="F8"/>
    </sheetView>
  </sheetViews>
  <sheetFormatPr defaultColWidth="9.00390625" defaultRowHeight="12.75"/>
  <cols>
    <col min="1" max="1" width="30.875" style="1" customWidth="1"/>
    <col min="2" max="2" width="27.00390625" style="0" customWidth="1"/>
    <col min="3" max="3" width="14.375" style="0" customWidth="1"/>
    <col min="4" max="4" width="13.875" style="2" customWidth="1"/>
    <col min="5" max="5" width="14.875" style="0" customWidth="1"/>
    <col min="6" max="6" width="38.25390625" style="0" customWidth="1"/>
    <col min="7" max="7" width="8.25390625" style="0" customWidth="1"/>
    <col min="8" max="8" width="15.125" style="0" customWidth="1"/>
    <col min="9" max="9" width="14.625" style="0" customWidth="1"/>
    <col min="10" max="10" width="10.625" style="0" customWidth="1"/>
    <col min="11" max="11" width="31.625" style="0" customWidth="1"/>
    <col min="12" max="14" width="0" style="0" hidden="1" customWidth="1"/>
    <col min="15" max="15" width="22.00390625" style="0" customWidth="1"/>
  </cols>
  <sheetData>
    <row r="1" spans="1:11" ht="16.5">
      <c r="A1" s="365" t="s">
        <v>119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1" ht="16.5">
      <c r="A2" s="365" t="s">
        <v>189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 ht="16.5">
      <c r="A3" s="366"/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11" ht="12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</row>
    <row r="5" ht="12">
      <c r="K5" s="368" t="s">
        <v>121</v>
      </c>
    </row>
    <row r="6" spans="1:14" s="255" customFormat="1" ht="14.25">
      <c r="A6" s="369" t="s">
        <v>122</v>
      </c>
      <c r="B6" s="370" t="s">
        <v>123</v>
      </c>
      <c r="C6" s="370" t="s">
        <v>124</v>
      </c>
      <c r="D6" s="370" t="s">
        <v>125</v>
      </c>
      <c r="E6" s="370" t="s">
        <v>126</v>
      </c>
      <c r="F6" s="371" t="s">
        <v>127</v>
      </c>
      <c r="G6" s="371"/>
      <c r="H6" s="370" t="s">
        <v>128</v>
      </c>
      <c r="I6" s="370" t="s">
        <v>129</v>
      </c>
      <c r="J6" s="370" t="s">
        <v>130</v>
      </c>
      <c r="K6" s="372" t="s">
        <v>131</v>
      </c>
      <c r="L6" s="254" t="s">
        <v>10</v>
      </c>
      <c r="M6" s="254"/>
      <c r="N6" s="254"/>
    </row>
    <row r="7" spans="1:14" s="255" customFormat="1" ht="14.25">
      <c r="A7" s="369"/>
      <c r="B7" s="370"/>
      <c r="C7" s="370"/>
      <c r="D7" s="370"/>
      <c r="E7" s="370"/>
      <c r="F7" s="371"/>
      <c r="G7" s="371"/>
      <c r="H7" s="370"/>
      <c r="I7" s="370"/>
      <c r="J7" s="370"/>
      <c r="K7" s="372"/>
      <c r="L7" s="260" t="s">
        <v>21</v>
      </c>
      <c r="M7" s="260"/>
      <c r="N7" s="260"/>
    </row>
    <row r="8" spans="1:14" s="255" customFormat="1" ht="14.25">
      <c r="A8" s="369"/>
      <c r="B8" s="370"/>
      <c r="C8" s="370"/>
      <c r="D8" s="370"/>
      <c r="E8" s="370"/>
      <c r="F8" s="373" t="s">
        <v>182</v>
      </c>
      <c r="G8" s="373" t="s">
        <v>27</v>
      </c>
      <c r="H8" s="370"/>
      <c r="I8" s="370"/>
      <c r="J8" s="370"/>
      <c r="K8" s="372"/>
      <c r="L8" s="254" t="s">
        <v>31</v>
      </c>
      <c r="M8" s="261" t="s">
        <v>32</v>
      </c>
      <c r="N8" s="262" t="s">
        <v>33</v>
      </c>
    </row>
    <row r="9" spans="1:14" s="270" customFormat="1" ht="14.25">
      <c r="A9" s="369"/>
      <c r="B9" s="370"/>
      <c r="C9" s="370"/>
      <c r="D9" s="370"/>
      <c r="E9" s="370"/>
      <c r="F9" s="373"/>
      <c r="G9" s="373"/>
      <c r="H9" s="370"/>
      <c r="I9" s="370"/>
      <c r="J9" s="370"/>
      <c r="K9" s="372"/>
      <c r="L9" s="268"/>
      <c r="M9" s="269"/>
      <c r="N9" s="268"/>
    </row>
    <row r="10" spans="1:14" s="282" customFormat="1" ht="21" customHeight="1">
      <c r="A10" s="374" t="s">
        <v>189</v>
      </c>
      <c r="B10" s="410" t="s">
        <v>183</v>
      </c>
      <c r="C10" s="411">
        <v>56000000</v>
      </c>
      <c r="D10" s="412">
        <v>38913</v>
      </c>
      <c r="E10" s="413">
        <v>38366</v>
      </c>
      <c r="F10" s="414" t="s">
        <v>182</v>
      </c>
      <c r="G10" s="415">
        <f>25+40+134+52</f>
        <v>251</v>
      </c>
      <c r="H10" s="416">
        <f>2659200+2137000+2800600+2600000</f>
        <v>10196800</v>
      </c>
      <c r="I10" s="417">
        <f>1279998.33+1592780.32+1677474.64+1557321.31</f>
        <v>6107574.6</v>
      </c>
      <c r="J10" s="418">
        <v>0.15</v>
      </c>
      <c r="K10" s="428" t="s">
        <v>82</v>
      </c>
      <c r="L10" s="279"/>
      <c r="M10" s="280"/>
      <c r="N10" s="281"/>
    </row>
    <row r="11" spans="1:14" s="282" customFormat="1" ht="15.75" customHeight="1">
      <c r="A11" s="374"/>
      <c r="B11" s="410"/>
      <c r="C11" s="411"/>
      <c r="D11" s="412"/>
      <c r="E11" s="412"/>
      <c r="F11" s="302" t="s">
        <v>183</v>
      </c>
      <c r="G11" s="303">
        <f>3000+2000+8590+15000</f>
        <v>28590</v>
      </c>
      <c r="H11" s="385">
        <f>2358000+62370000+11733940+25200000</f>
        <v>101661940</v>
      </c>
      <c r="I11" s="385">
        <f>1412370.64+37357742.45+7028274.95+15094037.35</f>
        <v>60892425.39000001</v>
      </c>
      <c r="J11" s="418"/>
      <c r="K11" s="428"/>
      <c r="L11" s="279"/>
      <c r="M11" s="280"/>
      <c r="N11" s="281"/>
    </row>
    <row r="12" spans="1:14" s="282" customFormat="1" ht="14.25">
      <c r="A12" s="374"/>
      <c r="B12" s="283" t="s">
        <v>206</v>
      </c>
      <c r="C12" s="376">
        <v>100000000</v>
      </c>
      <c r="D12" s="377">
        <v>38786</v>
      </c>
      <c r="E12" s="377">
        <v>38429</v>
      </c>
      <c r="F12" s="378" t="s">
        <v>182</v>
      </c>
      <c r="G12" s="379"/>
      <c r="H12" s="376">
        <v>129136700</v>
      </c>
      <c r="I12" s="376">
        <v>100000000</v>
      </c>
      <c r="J12" s="380">
        <v>0.14</v>
      </c>
      <c r="K12" s="381" t="s">
        <v>133</v>
      </c>
      <c r="L12" s="279"/>
      <c r="M12" s="280"/>
      <c r="N12" s="281"/>
    </row>
    <row r="13" spans="1:14" s="282" customFormat="1" ht="39">
      <c r="A13" s="374"/>
      <c r="B13" s="446" t="s">
        <v>180</v>
      </c>
      <c r="C13" s="440">
        <v>100000000</v>
      </c>
      <c r="D13" s="441">
        <v>39045</v>
      </c>
      <c r="E13" s="441">
        <v>38686</v>
      </c>
      <c r="F13" s="397" t="s">
        <v>207</v>
      </c>
      <c r="G13" s="442"/>
      <c r="H13" s="440">
        <v>226854111.78</v>
      </c>
      <c r="I13" s="440">
        <v>100000000</v>
      </c>
      <c r="J13" s="447">
        <v>0.131</v>
      </c>
      <c r="K13" s="381" t="s">
        <v>202</v>
      </c>
      <c r="L13" s="279"/>
      <c r="M13" s="280"/>
      <c r="N13" s="281"/>
    </row>
    <row r="14" spans="1:14" s="282" customFormat="1" ht="14.25">
      <c r="A14" s="374"/>
      <c r="B14" s="439" t="s">
        <v>180</v>
      </c>
      <c r="C14" s="440">
        <v>100000000</v>
      </c>
      <c r="D14" s="441">
        <v>39077</v>
      </c>
      <c r="E14" s="441">
        <v>38712</v>
      </c>
      <c r="F14" s="397" t="s">
        <v>208</v>
      </c>
      <c r="G14" s="442"/>
      <c r="H14" s="440"/>
      <c r="I14" s="440">
        <v>100000000</v>
      </c>
      <c r="J14" s="447">
        <v>0.115</v>
      </c>
      <c r="K14" s="381"/>
      <c r="L14" s="279"/>
      <c r="M14" s="280"/>
      <c r="N14" s="281"/>
    </row>
    <row r="15" spans="1:14" s="318" customFormat="1" ht="14.25">
      <c r="A15" s="374"/>
      <c r="B15" s="311" t="s">
        <v>177</v>
      </c>
      <c r="C15" s="386">
        <f>SUM(C10:C14)</f>
        <v>356000000</v>
      </c>
      <c r="D15" s="313"/>
      <c r="E15" s="312"/>
      <c r="F15" s="312" t="s">
        <v>177</v>
      </c>
      <c r="G15" s="312"/>
      <c r="H15" s="386">
        <f>SUM(H10:H13)</f>
        <v>467849551.78</v>
      </c>
      <c r="I15" s="386">
        <f>SUM(I10:I13)</f>
        <v>266999999.99</v>
      </c>
      <c r="J15" s="312"/>
      <c r="K15" s="328"/>
      <c r="L15" s="315">
        <f>SUM(L10:L12)</f>
        <v>0</v>
      </c>
      <c r="M15" s="316">
        <f>SUM(M10:M12)</f>
        <v>0</v>
      </c>
      <c r="N15" s="317" t="s">
        <v>42</v>
      </c>
    </row>
    <row r="16" spans="1:14" s="396" customFormat="1" ht="14.25">
      <c r="A16" s="448" t="s">
        <v>209</v>
      </c>
      <c r="B16" s="272" t="s">
        <v>177</v>
      </c>
      <c r="C16" s="376">
        <v>37000000</v>
      </c>
      <c r="D16" s="377">
        <v>39018</v>
      </c>
      <c r="E16" s="377">
        <v>38447</v>
      </c>
      <c r="F16" s="382" t="s">
        <v>177</v>
      </c>
      <c r="G16" s="379"/>
      <c r="H16" s="376">
        <f>97466554.88</f>
        <v>97466554.88</v>
      </c>
      <c r="I16" s="376">
        <f>45000000*1.18</f>
        <v>53100000</v>
      </c>
      <c r="J16" s="380">
        <v>0.15</v>
      </c>
      <c r="K16" s="435" t="s">
        <v>142</v>
      </c>
      <c r="L16" s="393"/>
      <c r="M16" s="394"/>
      <c r="N16" s="395"/>
    </row>
    <row r="17" spans="1:14" s="282" customFormat="1" ht="14.25">
      <c r="A17" s="448"/>
      <c r="B17" s="326" t="s">
        <v>41</v>
      </c>
      <c r="C17" s="402">
        <f>SUM(C16:C16)</f>
        <v>37000000</v>
      </c>
      <c r="D17" s="327"/>
      <c r="E17" s="327"/>
      <c r="F17" s="327"/>
      <c r="G17" s="327"/>
      <c r="H17" s="402">
        <f>SUM(H16:H16)</f>
        <v>97466554.88</v>
      </c>
      <c r="I17" s="402">
        <f>SUM(I16:I16)</f>
        <v>53100000</v>
      </c>
      <c r="J17" s="312"/>
      <c r="K17" s="328"/>
      <c r="L17" s="315" t="e">
        <f>SUM(#REF!)</f>
        <v>#REF!</v>
      </c>
      <c r="M17" s="316" t="e">
        <f>SUM(#REF!)</f>
        <v>#REF!</v>
      </c>
      <c r="N17" s="317" t="s">
        <v>42</v>
      </c>
    </row>
    <row r="18" spans="1:14" s="338" customFormat="1" ht="12.75" hidden="1">
      <c r="A18" s="329"/>
      <c r="B18" s="275"/>
      <c r="C18" s="403"/>
      <c r="D18" s="331"/>
      <c r="E18" s="332"/>
      <c r="F18" s="275"/>
      <c r="G18" s="275"/>
      <c r="H18" s="403"/>
      <c r="I18" s="403"/>
      <c r="J18" s="333"/>
      <c r="K18" s="334"/>
      <c r="L18" s="335" t="e">
        <f>C18*J18/365*#REF!</f>
        <v>#REF!</v>
      </c>
      <c r="M18" s="336">
        <v>1272986</v>
      </c>
      <c r="N18" s="337"/>
    </row>
    <row r="19" spans="1:14" s="338" customFormat="1" ht="12.75" hidden="1">
      <c r="A19" s="339"/>
      <c r="B19" s="340"/>
      <c r="C19" s="404"/>
      <c r="D19" s="341"/>
      <c r="E19" s="342"/>
      <c r="F19" s="302"/>
      <c r="G19" s="302"/>
      <c r="H19" s="404"/>
      <c r="I19" s="404"/>
      <c r="J19" s="333"/>
      <c r="K19" s="334"/>
      <c r="L19" s="343"/>
      <c r="M19" s="344"/>
      <c r="N19" s="337"/>
    </row>
    <row r="20" spans="1:14" s="338" customFormat="1" ht="12.75" hidden="1">
      <c r="A20" s="339"/>
      <c r="B20" s="345"/>
      <c r="C20" s="403"/>
      <c r="D20" s="331"/>
      <c r="E20" s="332"/>
      <c r="F20" s="275"/>
      <c r="G20" s="275"/>
      <c r="H20" s="403"/>
      <c r="I20" s="403"/>
      <c r="J20" s="346"/>
      <c r="K20" s="334"/>
      <c r="L20" s="335" t="e">
        <f>C20*J20/365*#REF!</f>
        <v>#REF!</v>
      </c>
      <c r="M20" s="344">
        <v>0</v>
      </c>
      <c r="N20" s="337"/>
    </row>
    <row r="21" spans="1:14" s="282" customFormat="1" ht="12.75" hidden="1">
      <c r="A21" s="310"/>
      <c r="B21" s="311" t="s">
        <v>41</v>
      </c>
      <c r="C21" s="386">
        <f>SUM(C18:C20)</f>
        <v>0</v>
      </c>
      <c r="D21" s="312"/>
      <c r="E21" s="312"/>
      <c r="F21" s="312"/>
      <c r="G21" s="312"/>
      <c r="H21" s="386">
        <f>SUM(H18:H20)</f>
        <v>0</v>
      </c>
      <c r="I21" s="386">
        <f>SUM(I18:I20)</f>
        <v>0</v>
      </c>
      <c r="J21" s="312"/>
      <c r="K21" s="314"/>
      <c r="L21" s="315" t="e">
        <f>SUM(L18:L20)</f>
        <v>#REF!</v>
      </c>
      <c r="M21" s="316">
        <f>SUM(M18:M20)</f>
        <v>1272986</v>
      </c>
      <c r="N21" s="317" t="s">
        <v>42</v>
      </c>
    </row>
    <row r="22" spans="1:14" s="354" customFormat="1" ht="14.25">
      <c r="A22" s="347" t="s">
        <v>59</v>
      </c>
      <c r="B22" s="347"/>
      <c r="C22" s="405">
        <f>C15+C17</f>
        <v>393000000</v>
      </c>
      <c r="D22" s="348"/>
      <c r="E22" s="348"/>
      <c r="F22" s="348"/>
      <c r="G22" s="348"/>
      <c r="H22" s="405">
        <f>H15+H17</f>
        <v>565316106.66</v>
      </c>
      <c r="I22" s="405">
        <f>I15+I17</f>
        <v>320099999.99</v>
      </c>
      <c r="J22" s="406"/>
      <c r="K22" s="437"/>
      <c r="L22" s="351" t="e">
        <f>L15+L17+L21+#REF!+#REF!</f>
        <v>#REF!</v>
      </c>
      <c r="M22" s="352" t="e">
        <f>M15+M17+M21+#REF!+#REF!</f>
        <v>#REF!</v>
      </c>
      <c r="N22" s="353" t="s">
        <v>42</v>
      </c>
    </row>
    <row r="23" spans="1:11" s="282" customFormat="1" ht="14.25">
      <c r="A23" s="355"/>
      <c r="B23" s="355"/>
      <c r="C23" s="356"/>
      <c r="D23" s="357"/>
      <c r="E23" s="358"/>
      <c r="F23" s="358"/>
      <c r="G23" s="358"/>
      <c r="H23" s="358"/>
      <c r="I23" s="358"/>
      <c r="J23" s="358"/>
      <c r="K23" s="358"/>
    </row>
    <row r="24" spans="1:11" s="282" customFormat="1" ht="14.25">
      <c r="A24" s="196"/>
      <c r="B24" s="355"/>
      <c r="C24" s="355"/>
      <c r="D24" s="357"/>
      <c r="E24" s="358"/>
      <c r="F24" s="358"/>
      <c r="G24" s="358"/>
      <c r="H24" s="358"/>
      <c r="I24" s="358"/>
      <c r="J24" s="358"/>
      <c r="K24" s="358"/>
    </row>
    <row r="25" spans="1:11" s="282" customFormat="1" ht="14.25">
      <c r="A25" s="359"/>
      <c r="B25" s="196" t="s">
        <v>205</v>
      </c>
      <c r="C25" s="355">
        <f>C26+C27</f>
        <v>0</v>
      </c>
      <c r="D25" s="357"/>
      <c r="E25" s="358"/>
      <c r="F25" s="358"/>
      <c r="G25" s="358"/>
      <c r="H25" s="358"/>
      <c r="I25" s="358"/>
      <c r="J25" s="358"/>
      <c r="K25" s="358"/>
    </row>
    <row r="26" spans="1:11" s="282" customFormat="1" ht="14.25">
      <c r="A26" s="359"/>
      <c r="B26" s="196" t="s">
        <v>144</v>
      </c>
      <c r="C26" s="355">
        <v>0</v>
      </c>
      <c r="D26" s="358"/>
      <c r="E26" s="358"/>
      <c r="F26" s="358"/>
      <c r="G26" s="358"/>
      <c r="H26" s="358"/>
      <c r="I26" s="358"/>
      <c r="J26" s="358"/>
      <c r="K26" s="358"/>
    </row>
    <row r="27" spans="1:11" s="282" customFormat="1" ht="14.25">
      <c r="A27" s="359"/>
      <c r="B27" s="355" t="s">
        <v>145</v>
      </c>
      <c r="C27" s="421">
        <v>0</v>
      </c>
      <c r="D27" s="364"/>
      <c r="E27" s="358"/>
      <c r="F27" s="358"/>
      <c r="G27" s="358"/>
      <c r="H27" s="358"/>
      <c r="I27" s="358"/>
      <c r="J27" s="358"/>
      <c r="K27" s="358"/>
    </row>
    <row r="28" spans="1:11" ht="14.25">
      <c r="A28" s="203"/>
      <c r="B28" s="360"/>
      <c r="C28" s="361"/>
      <c r="D28" s="203"/>
      <c r="E28" s="132"/>
      <c r="F28" s="132"/>
      <c r="G28" s="132"/>
      <c r="H28" s="132"/>
      <c r="I28" s="132"/>
      <c r="J28" s="132"/>
      <c r="K28" s="132"/>
    </row>
    <row r="29" spans="1:11" ht="14.25">
      <c r="A29" s="203"/>
      <c r="B29" s="360"/>
      <c r="C29" s="361"/>
      <c r="D29" s="203"/>
      <c r="E29" s="132"/>
      <c r="F29" s="132"/>
      <c r="G29" s="132"/>
      <c r="H29" s="132"/>
      <c r="I29" s="132"/>
      <c r="J29" s="132"/>
      <c r="K29" s="132"/>
    </row>
    <row r="30" spans="1:11" ht="17.25" customHeight="1">
      <c r="A30" s="204"/>
      <c r="B30" s="360"/>
      <c r="C30" s="361"/>
      <c r="D30" s="195"/>
      <c r="E30" s="132"/>
      <c r="F30" s="132"/>
      <c r="G30" s="132"/>
      <c r="H30" s="132"/>
      <c r="I30" s="132"/>
      <c r="J30" s="132"/>
      <c r="K30" s="132"/>
    </row>
    <row r="31" spans="1:11" s="207" customFormat="1" ht="16.5">
      <c r="A31" s="409" t="s">
        <v>189</v>
      </c>
      <c r="B31" s="409"/>
      <c r="C31" s="409"/>
      <c r="D31" s="409"/>
      <c r="E31" s="409"/>
      <c r="F31" s="409"/>
      <c r="G31" s="409"/>
      <c r="H31" s="409"/>
      <c r="I31" s="409"/>
      <c r="J31" s="409"/>
      <c r="K31" s="409"/>
    </row>
    <row r="34" ht="16.5" customHeight="1"/>
    <row r="36" spans="1:2" ht="14.25">
      <c r="A36" s="362" t="s">
        <v>61</v>
      </c>
      <c r="B36" s="363"/>
    </row>
    <row r="37" spans="1:2" ht="14.25">
      <c r="A37" s="362" t="s">
        <v>210</v>
      </c>
      <c r="B37" s="362"/>
    </row>
    <row r="38" ht="14.25">
      <c r="A38" s="208"/>
    </row>
  </sheetData>
  <mergeCells count="30">
    <mergeCell ref="A1:K1"/>
    <mergeCell ref="A2:K2"/>
    <mergeCell ref="A4:K4"/>
    <mergeCell ref="A6:A9"/>
    <mergeCell ref="B6:B9"/>
    <mergeCell ref="C6:C9"/>
    <mergeCell ref="D6:D9"/>
    <mergeCell ref="E6:E9"/>
    <mergeCell ref="F6:G7"/>
    <mergeCell ref="H6:H9"/>
    <mergeCell ref="I6:I9"/>
    <mergeCell ref="J6:J9"/>
    <mergeCell ref="K6:K9"/>
    <mergeCell ref="L6:N6"/>
    <mergeCell ref="L7:N7"/>
    <mergeCell ref="F8:F9"/>
    <mergeCell ref="G8:G9"/>
    <mergeCell ref="A10:A15"/>
    <mergeCell ref="B10:B11"/>
    <mergeCell ref="C10:C11"/>
    <mergeCell ref="D10:D11"/>
    <mergeCell ref="E10:E11"/>
    <mergeCell ref="J10:J11"/>
    <mergeCell ref="K10:K11"/>
    <mergeCell ref="A16:A17"/>
    <mergeCell ref="J18:J19"/>
    <mergeCell ref="K18:K20"/>
    <mergeCell ref="A22:B22"/>
    <mergeCell ref="A23:B23"/>
    <mergeCell ref="A31:K31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workbookViewId="0" topLeftCell="A1">
      <selection activeCell="A27" sqref="A27"/>
    </sheetView>
  </sheetViews>
  <sheetFormatPr defaultColWidth="9.00390625" defaultRowHeight="12.75"/>
  <cols>
    <col min="1" max="1" width="30.875" style="1" customWidth="1"/>
    <col min="2" max="2" width="27.00390625" style="0" customWidth="1"/>
    <col min="3" max="3" width="14.375" style="0" customWidth="1"/>
    <col min="4" max="4" width="13.875" style="2" customWidth="1"/>
    <col min="5" max="5" width="14.875" style="0" customWidth="1"/>
    <col min="6" max="6" width="38.25390625" style="0" customWidth="1"/>
    <col min="7" max="7" width="8.25390625" style="0" customWidth="1"/>
    <col min="8" max="8" width="15.125" style="0" customWidth="1"/>
    <col min="9" max="9" width="14.625" style="0" customWidth="1"/>
    <col min="10" max="10" width="10.625" style="0" customWidth="1"/>
    <col min="11" max="11" width="31.625" style="0" customWidth="1"/>
    <col min="12" max="14" width="0" style="0" hidden="1" customWidth="1"/>
    <col min="15" max="15" width="22.00390625" style="0" customWidth="1"/>
  </cols>
  <sheetData>
    <row r="1" spans="1:11" ht="16.5">
      <c r="A1" s="365" t="s">
        <v>119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1" ht="16.5">
      <c r="A2" s="365" t="s">
        <v>211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 ht="16.5">
      <c r="A3" s="366"/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11" ht="12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</row>
    <row r="5" ht="12">
      <c r="K5" s="368" t="s">
        <v>121</v>
      </c>
    </row>
    <row r="6" spans="1:14" s="255" customFormat="1" ht="14.25">
      <c r="A6" s="369" t="s">
        <v>122</v>
      </c>
      <c r="B6" s="370" t="s">
        <v>123</v>
      </c>
      <c r="C6" s="370" t="s">
        <v>124</v>
      </c>
      <c r="D6" s="370" t="s">
        <v>125</v>
      </c>
      <c r="E6" s="370" t="s">
        <v>126</v>
      </c>
      <c r="F6" s="371" t="s">
        <v>127</v>
      </c>
      <c r="G6" s="371"/>
      <c r="H6" s="370" t="s">
        <v>128</v>
      </c>
      <c r="I6" s="370" t="s">
        <v>129</v>
      </c>
      <c r="J6" s="370" t="s">
        <v>130</v>
      </c>
      <c r="K6" s="372" t="s">
        <v>131</v>
      </c>
      <c r="L6" s="254" t="s">
        <v>10</v>
      </c>
      <c r="M6" s="254"/>
      <c r="N6" s="254"/>
    </row>
    <row r="7" spans="1:14" s="255" customFormat="1" ht="14.25">
      <c r="A7" s="369"/>
      <c r="B7" s="370"/>
      <c r="C7" s="370"/>
      <c r="D7" s="370"/>
      <c r="E7" s="370"/>
      <c r="F7" s="371"/>
      <c r="G7" s="371"/>
      <c r="H7" s="370"/>
      <c r="I7" s="370"/>
      <c r="J7" s="370"/>
      <c r="K7" s="372"/>
      <c r="L7" s="260" t="s">
        <v>21</v>
      </c>
      <c r="M7" s="260"/>
      <c r="N7" s="260"/>
    </row>
    <row r="8" spans="1:14" s="255" customFormat="1" ht="14.25">
      <c r="A8" s="369"/>
      <c r="B8" s="370"/>
      <c r="C8" s="370"/>
      <c r="D8" s="370"/>
      <c r="E8" s="370"/>
      <c r="F8" s="373" t="s">
        <v>26</v>
      </c>
      <c r="G8" s="373" t="s">
        <v>27</v>
      </c>
      <c r="H8" s="370"/>
      <c r="I8" s="370"/>
      <c r="J8" s="370"/>
      <c r="K8" s="372"/>
      <c r="L8" s="254" t="s">
        <v>31</v>
      </c>
      <c r="M8" s="261" t="s">
        <v>32</v>
      </c>
      <c r="N8" s="262" t="s">
        <v>33</v>
      </c>
    </row>
    <row r="9" spans="1:14" s="270" customFormat="1" ht="14.25">
      <c r="A9" s="369"/>
      <c r="B9" s="370"/>
      <c r="C9" s="370"/>
      <c r="D9" s="370"/>
      <c r="E9" s="370"/>
      <c r="F9" s="373"/>
      <c r="G9" s="373"/>
      <c r="H9" s="370"/>
      <c r="I9" s="370"/>
      <c r="J9" s="370"/>
      <c r="K9" s="372"/>
      <c r="L9" s="268"/>
      <c r="M9" s="269"/>
      <c r="N9" s="268"/>
    </row>
    <row r="10" spans="1:14" s="282" customFormat="1" ht="21" customHeight="1">
      <c r="A10" s="374" t="s">
        <v>212</v>
      </c>
      <c r="B10" s="410" t="s">
        <v>177</v>
      </c>
      <c r="C10" s="411">
        <v>56000000</v>
      </c>
      <c r="D10" s="412">
        <v>38913</v>
      </c>
      <c r="E10" s="413">
        <v>38366</v>
      </c>
      <c r="F10" s="414" t="s">
        <v>184</v>
      </c>
      <c r="G10" s="415">
        <f>25+40+134+52</f>
        <v>251</v>
      </c>
      <c r="H10" s="416">
        <f>2659200+2137000+2800600+2600000</f>
        <v>10196800</v>
      </c>
      <c r="I10" s="417">
        <f>1279998.33+1592780.32+1677474.64+1557321.31</f>
        <v>6107574.6</v>
      </c>
      <c r="J10" s="418">
        <v>0.15</v>
      </c>
      <c r="K10" s="428" t="s">
        <v>82</v>
      </c>
      <c r="L10" s="279"/>
      <c r="M10" s="280"/>
      <c r="N10" s="281"/>
    </row>
    <row r="11" spans="1:14" s="282" customFormat="1" ht="15.75" customHeight="1">
      <c r="A11" s="374"/>
      <c r="B11" s="410"/>
      <c r="C11" s="411"/>
      <c r="D11" s="412"/>
      <c r="E11" s="412"/>
      <c r="F11" s="302" t="s">
        <v>177</v>
      </c>
      <c r="G11" s="303">
        <f>3000+2000+8590+15000</f>
        <v>28590</v>
      </c>
      <c r="H11" s="385">
        <f>2358000+62370000+11733940+25200000</f>
        <v>101661940</v>
      </c>
      <c r="I11" s="385">
        <f>1412370.64+37357742.45+7028274.95+15094037.35</f>
        <v>60892425.39000001</v>
      </c>
      <c r="J11" s="418"/>
      <c r="K11" s="428"/>
      <c r="L11" s="279"/>
      <c r="M11" s="280"/>
      <c r="N11" s="281"/>
    </row>
    <row r="12" spans="1:14" s="282" customFormat="1" ht="14.25">
      <c r="A12" s="374"/>
      <c r="B12" s="283" t="s">
        <v>177</v>
      </c>
      <c r="C12" s="376">
        <v>100000000</v>
      </c>
      <c r="D12" s="377">
        <v>38786</v>
      </c>
      <c r="E12" s="377">
        <v>38429</v>
      </c>
      <c r="F12" s="378" t="s">
        <v>183</v>
      </c>
      <c r="G12" s="379"/>
      <c r="H12" s="376">
        <v>129136700</v>
      </c>
      <c r="I12" s="376">
        <v>100000000</v>
      </c>
      <c r="J12" s="380">
        <v>0.14</v>
      </c>
      <c r="K12" s="381" t="s">
        <v>133</v>
      </c>
      <c r="L12" s="279"/>
      <c r="M12" s="280"/>
      <c r="N12" s="281"/>
    </row>
    <row r="13" spans="1:14" s="282" customFormat="1" ht="39">
      <c r="A13" s="374"/>
      <c r="B13" s="446" t="s">
        <v>213</v>
      </c>
      <c r="C13" s="440">
        <v>100000000</v>
      </c>
      <c r="D13" s="441">
        <v>39045</v>
      </c>
      <c r="E13" s="441">
        <v>38686</v>
      </c>
      <c r="F13" s="397" t="s">
        <v>177</v>
      </c>
      <c r="G13" s="442"/>
      <c r="H13" s="440">
        <v>226854111.78</v>
      </c>
      <c r="I13" s="440">
        <v>100000000</v>
      </c>
      <c r="J13" s="447">
        <v>0.131</v>
      </c>
      <c r="K13" s="381" t="s">
        <v>202</v>
      </c>
      <c r="L13" s="279"/>
      <c r="M13" s="280"/>
      <c r="N13" s="281"/>
    </row>
    <row r="14" spans="1:14" s="282" customFormat="1" ht="14.25">
      <c r="A14" s="374"/>
      <c r="B14" s="439" t="s">
        <v>213</v>
      </c>
      <c r="C14" s="440">
        <v>100000000</v>
      </c>
      <c r="D14" s="441">
        <v>39077</v>
      </c>
      <c r="E14" s="441">
        <v>38712</v>
      </c>
      <c r="F14" s="397" t="s">
        <v>183</v>
      </c>
      <c r="G14" s="442"/>
      <c r="H14" s="440"/>
      <c r="I14" s="440">
        <v>100000000</v>
      </c>
      <c r="J14" s="447">
        <v>0.115</v>
      </c>
      <c r="K14" s="381"/>
      <c r="L14" s="279"/>
      <c r="M14" s="280"/>
      <c r="N14" s="281"/>
    </row>
    <row r="15" spans="1:14" s="282" customFormat="1" ht="14.25">
      <c r="A15" s="374"/>
      <c r="B15" s="439" t="s">
        <v>183</v>
      </c>
      <c r="C15" s="440">
        <v>10000000</v>
      </c>
      <c r="D15" s="441">
        <v>38847</v>
      </c>
      <c r="E15" s="441">
        <v>38758</v>
      </c>
      <c r="F15" s="397" t="s">
        <v>177</v>
      </c>
      <c r="G15" s="442">
        <v>1</v>
      </c>
      <c r="H15" s="440">
        <v>12000000</v>
      </c>
      <c r="I15" s="440">
        <v>11418143</v>
      </c>
      <c r="J15" s="443">
        <v>0.14</v>
      </c>
      <c r="K15" s="381" t="s">
        <v>214</v>
      </c>
      <c r="L15" s="279"/>
      <c r="M15" s="280"/>
      <c r="N15" s="281"/>
    </row>
    <row r="16" spans="1:14" s="282" customFormat="1" ht="14.25">
      <c r="A16" s="374"/>
      <c r="B16" s="439" t="s">
        <v>193</v>
      </c>
      <c r="C16" s="440">
        <v>25000000</v>
      </c>
      <c r="D16" s="441">
        <v>38863</v>
      </c>
      <c r="E16" s="441">
        <v>38135</v>
      </c>
      <c r="F16" s="397" t="s">
        <v>177</v>
      </c>
      <c r="G16" s="442"/>
      <c r="H16" s="440">
        <v>30099572</v>
      </c>
      <c r="I16" s="440">
        <v>30099572</v>
      </c>
      <c r="J16" s="447">
        <v>0.117</v>
      </c>
      <c r="K16" s="381" t="s">
        <v>215</v>
      </c>
      <c r="L16" s="279"/>
      <c r="M16" s="280"/>
      <c r="N16" s="281"/>
    </row>
    <row r="17" spans="1:14" s="318" customFormat="1" ht="14.25">
      <c r="A17" s="374"/>
      <c r="B17" s="311" t="s">
        <v>41</v>
      </c>
      <c r="C17" s="386">
        <f>SUM(C10:C16)</f>
        <v>391000000</v>
      </c>
      <c r="D17" s="313"/>
      <c r="E17" s="312"/>
      <c r="F17" s="312" t="s">
        <v>184</v>
      </c>
      <c r="G17" s="312"/>
      <c r="H17" s="386">
        <f>SUM(H10:H16)</f>
        <v>509949123.78</v>
      </c>
      <c r="I17" s="386">
        <f>SUM(I10:I16)</f>
        <v>408517714.99</v>
      </c>
      <c r="J17" s="312"/>
      <c r="K17" s="328"/>
      <c r="L17" s="315">
        <f>SUM(L10:L12)</f>
        <v>0</v>
      </c>
      <c r="M17" s="316">
        <f>SUM(M10:M12)</f>
        <v>0</v>
      </c>
      <c r="N17" s="317" t="s">
        <v>42</v>
      </c>
    </row>
    <row r="18" spans="1:14" s="396" customFormat="1" ht="14.25">
      <c r="A18" s="449" t="s">
        <v>183</v>
      </c>
      <c r="B18" s="272" t="s">
        <v>177</v>
      </c>
      <c r="C18" s="376">
        <v>37000000</v>
      </c>
      <c r="D18" s="377">
        <v>39018</v>
      </c>
      <c r="E18" s="377">
        <v>38447</v>
      </c>
      <c r="F18" s="382" t="s">
        <v>183</v>
      </c>
      <c r="G18" s="379"/>
      <c r="H18" s="376">
        <f>97466554.88</f>
        <v>97466554.88</v>
      </c>
      <c r="I18" s="376">
        <f>45000000*1.18</f>
        <v>53100000</v>
      </c>
      <c r="J18" s="380">
        <v>0.15</v>
      </c>
      <c r="K18" s="435" t="s">
        <v>142</v>
      </c>
      <c r="L18" s="393"/>
      <c r="M18" s="394"/>
      <c r="N18" s="395"/>
    </row>
    <row r="19" spans="1:14" s="396" customFormat="1" ht="14.25">
      <c r="A19" s="449"/>
      <c r="B19" s="379" t="s">
        <v>177</v>
      </c>
      <c r="C19" s="376">
        <v>31500000</v>
      </c>
      <c r="D19" s="377">
        <v>38789</v>
      </c>
      <c r="E19" s="377">
        <v>38761</v>
      </c>
      <c r="F19" s="382" t="s">
        <v>183</v>
      </c>
      <c r="G19" s="442">
        <v>1</v>
      </c>
      <c r="H19" s="440">
        <v>25500000</v>
      </c>
      <c r="I19" s="440">
        <v>25000000</v>
      </c>
      <c r="J19" s="380">
        <v>0.13</v>
      </c>
      <c r="K19" s="436">
        <v>38789</v>
      </c>
      <c r="L19" s="393"/>
      <c r="M19" s="394"/>
      <c r="N19" s="395"/>
    </row>
    <row r="20" spans="1:14" s="396" customFormat="1" ht="14.25">
      <c r="A20" s="449"/>
      <c r="B20" s="379"/>
      <c r="C20" s="376"/>
      <c r="D20" s="377"/>
      <c r="E20" s="377"/>
      <c r="F20" s="382"/>
      <c r="G20" s="442">
        <v>28</v>
      </c>
      <c r="H20" s="440">
        <v>30277688</v>
      </c>
      <c r="I20" s="440">
        <v>21194381</v>
      </c>
      <c r="J20" s="380"/>
      <c r="K20" s="436"/>
      <c r="L20" s="393"/>
      <c r="M20" s="394"/>
      <c r="N20" s="395"/>
    </row>
    <row r="21" spans="1:14" s="282" customFormat="1" ht="14.25">
      <c r="A21" s="449"/>
      <c r="B21" s="326" t="s">
        <v>41</v>
      </c>
      <c r="C21" s="402">
        <f>SUM(C18:C20)</f>
        <v>68500000</v>
      </c>
      <c r="D21" s="327"/>
      <c r="E21" s="327"/>
      <c r="F21" s="327"/>
      <c r="G21" s="327"/>
      <c r="H21" s="402">
        <f>SUM(H18:H20)</f>
        <v>153244242.88</v>
      </c>
      <c r="I21" s="402">
        <f>SUM(I18:I20)</f>
        <v>99294381</v>
      </c>
      <c r="J21" s="312"/>
      <c r="K21" s="328"/>
      <c r="L21" s="315" t="e">
        <f>SUM(#REF!)</f>
        <v>#REF!</v>
      </c>
      <c r="M21" s="316" t="e">
        <f>SUM(#REF!)</f>
        <v>#REF!</v>
      </c>
      <c r="N21" s="317" t="s">
        <v>42</v>
      </c>
    </row>
    <row r="22" spans="1:14" s="338" customFormat="1" ht="12.75" hidden="1">
      <c r="A22" s="329"/>
      <c r="B22" s="275"/>
      <c r="C22" s="403"/>
      <c r="D22" s="331"/>
      <c r="E22" s="332"/>
      <c r="F22" s="275"/>
      <c r="G22" s="275"/>
      <c r="H22" s="403"/>
      <c r="I22" s="403"/>
      <c r="J22" s="333"/>
      <c r="K22" s="334"/>
      <c r="L22" s="335" t="e">
        <f>C22*J22/365*#REF!</f>
        <v>#REF!</v>
      </c>
      <c r="M22" s="336">
        <v>1272986</v>
      </c>
      <c r="N22" s="337"/>
    </row>
    <row r="23" spans="1:14" s="338" customFormat="1" ht="12.75" hidden="1">
      <c r="A23" s="339"/>
      <c r="B23" s="340"/>
      <c r="C23" s="404"/>
      <c r="D23" s="341"/>
      <c r="E23" s="342"/>
      <c r="F23" s="302"/>
      <c r="G23" s="302"/>
      <c r="H23" s="404"/>
      <c r="I23" s="404"/>
      <c r="J23" s="333"/>
      <c r="K23" s="334"/>
      <c r="L23" s="343"/>
      <c r="M23" s="344"/>
      <c r="N23" s="337"/>
    </row>
    <row r="24" spans="1:14" s="338" customFormat="1" ht="12.75" hidden="1">
      <c r="A24" s="339"/>
      <c r="B24" s="345"/>
      <c r="C24" s="403"/>
      <c r="D24" s="331"/>
      <c r="E24" s="332"/>
      <c r="F24" s="275"/>
      <c r="G24" s="275"/>
      <c r="H24" s="403"/>
      <c r="I24" s="403"/>
      <c r="J24" s="346"/>
      <c r="K24" s="334"/>
      <c r="L24" s="335" t="e">
        <f>C24*J24/365*#REF!</f>
        <v>#REF!</v>
      </c>
      <c r="M24" s="344">
        <v>0</v>
      </c>
      <c r="N24" s="337"/>
    </row>
    <row r="25" spans="1:14" s="282" customFormat="1" ht="12.75" hidden="1">
      <c r="A25" s="310"/>
      <c r="B25" s="311" t="s">
        <v>41</v>
      </c>
      <c r="C25" s="386">
        <f>SUM(C22:C24)</f>
        <v>0</v>
      </c>
      <c r="D25" s="312"/>
      <c r="E25" s="312"/>
      <c r="F25" s="312"/>
      <c r="G25" s="312"/>
      <c r="H25" s="386">
        <f>SUM(H22:H24)</f>
        <v>0</v>
      </c>
      <c r="I25" s="386">
        <f>SUM(I22:I24)</f>
        <v>0</v>
      </c>
      <c r="J25" s="312"/>
      <c r="K25" s="314"/>
      <c r="L25" s="315" t="e">
        <f>SUM(L22:L24)</f>
        <v>#REF!</v>
      </c>
      <c r="M25" s="316">
        <f>SUM(M22:M24)</f>
        <v>1272986</v>
      </c>
      <c r="N25" s="317" t="s">
        <v>42</v>
      </c>
    </row>
    <row r="26" spans="1:14" s="354" customFormat="1" ht="14.25">
      <c r="A26" s="347" t="s">
        <v>59</v>
      </c>
      <c r="B26" s="347"/>
      <c r="C26" s="405">
        <f>C17+C21</f>
        <v>459500000</v>
      </c>
      <c r="D26" s="348"/>
      <c r="E26" s="348"/>
      <c r="F26" s="348"/>
      <c r="G26" s="348"/>
      <c r="H26" s="405">
        <f>H17+H21</f>
        <v>663193366.66</v>
      </c>
      <c r="I26" s="405">
        <f>I17+I21</f>
        <v>507812095.99</v>
      </c>
      <c r="J26" s="406"/>
      <c r="K26" s="437"/>
      <c r="L26" s="351" t="e">
        <f>L17+L21+L25+#REF!+#REF!</f>
        <v>#REF!</v>
      </c>
      <c r="M26" s="352" t="e">
        <f>M17+M21+M25+#REF!+#REF!</f>
        <v>#REF!</v>
      </c>
      <c r="N26" s="353" t="s">
        <v>42</v>
      </c>
    </row>
    <row r="27" spans="1:11" s="282" customFormat="1" ht="14.25">
      <c r="A27" s="355" t="s">
        <v>211</v>
      </c>
      <c r="B27" s="355"/>
      <c r="C27" s="356"/>
      <c r="D27" s="357"/>
      <c r="E27" s="358"/>
      <c r="F27" s="358"/>
      <c r="G27" s="358"/>
      <c r="H27" s="358"/>
      <c r="I27" s="358"/>
      <c r="J27" s="358"/>
      <c r="K27" s="358"/>
    </row>
    <row r="28" spans="1:11" s="282" customFormat="1" ht="14.25">
      <c r="A28" s="196"/>
      <c r="B28" s="355"/>
      <c r="C28" s="355"/>
      <c r="D28" s="357"/>
      <c r="E28" s="358"/>
      <c r="F28" s="358"/>
      <c r="G28" s="358"/>
      <c r="H28" s="358"/>
      <c r="I28" s="358"/>
      <c r="J28" s="358"/>
      <c r="K28" s="358"/>
    </row>
    <row r="29" spans="1:11" s="282" customFormat="1" ht="14.25">
      <c r="A29" s="359"/>
      <c r="B29" s="196" t="s">
        <v>216</v>
      </c>
      <c r="C29" s="355">
        <f>C30+C31</f>
        <v>131500000</v>
      </c>
      <c r="D29" s="357"/>
      <c r="E29" s="358"/>
      <c r="F29" s="358"/>
      <c r="G29" s="358"/>
      <c r="H29" s="358"/>
      <c r="I29" s="358"/>
      <c r="J29" s="358"/>
      <c r="K29" s="358"/>
    </row>
    <row r="30" spans="1:11" s="282" customFormat="1" ht="14.25">
      <c r="A30" s="359"/>
      <c r="B30" s="196" t="s">
        <v>183</v>
      </c>
      <c r="C30" s="355">
        <f>C12</f>
        <v>100000000</v>
      </c>
      <c r="D30" s="358"/>
      <c r="E30" s="358"/>
      <c r="F30" s="358"/>
      <c r="G30" s="358"/>
      <c r="H30" s="358"/>
      <c r="I30" s="358"/>
      <c r="J30" s="358"/>
      <c r="K30" s="358"/>
    </row>
    <row r="31" spans="1:11" s="282" customFormat="1" ht="14.25">
      <c r="A31" s="359"/>
      <c r="B31" s="355" t="s">
        <v>177</v>
      </c>
      <c r="C31" s="421">
        <f>C19</f>
        <v>31500000</v>
      </c>
      <c r="D31" s="364"/>
      <c r="E31" s="358"/>
      <c r="F31" s="358"/>
      <c r="G31" s="358"/>
      <c r="H31" s="358"/>
      <c r="I31" s="358"/>
      <c r="J31" s="358"/>
      <c r="K31" s="358"/>
    </row>
    <row r="32" spans="1:11" ht="14.25">
      <c r="A32" s="203"/>
      <c r="B32" s="360" t="s">
        <v>177</v>
      </c>
      <c r="C32" s="361"/>
      <c r="D32" s="203"/>
      <c r="E32" s="132"/>
      <c r="F32" s="132"/>
      <c r="G32" s="132"/>
      <c r="H32" s="132"/>
      <c r="I32" s="132"/>
      <c r="J32" s="132"/>
      <c r="K32" s="132"/>
    </row>
    <row r="33" spans="1:11" ht="14.25">
      <c r="A33" s="203"/>
      <c r="B33" s="360"/>
      <c r="C33" s="361"/>
      <c r="D33" s="203"/>
      <c r="E33" s="132"/>
      <c r="F33" s="132"/>
      <c r="G33" s="132"/>
      <c r="H33" s="132"/>
      <c r="I33" s="132"/>
      <c r="J33" s="132"/>
      <c r="K33" s="132"/>
    </row>
    <row r="34" spans="1:11" ht="17.25" customHeight="1">
      <c r="A34" s="204"/>
      <c r="B34" s="360"/>
      <c r="C34" s="361"/>
      <c r="D34" s="195"/>
      <c r="E34" s="132"/>
      <c r="F34" s="132"/>
      <c r="G34" s="132"/>
      <c r="H34" s="132"/>
      <c r="I34" s="132"/>
      <c r="J34" s="132"/>
      <c r="K34" s="132"/>
    </row>
    <row r="35" spans="1:11" s="207" customFormat="1" ht="16.5">
      <c r="A35" s="409" t="s">
        <v>217</v>
      </c>
      <c r="B35" s="409"/>
      <c r="C35" s="409"/>
      <c r="D35" s="409"/>
      <c r="E35" s="409"/>
      <c r="F35" s="409"/>
      <c r="G35" s="409"/>
      <c r="H35" s="409"/>
      <c r="I35" s="409"/>
      <c r="J35" s="409"/>
      <c r="K35" s="409"/>
    </row>
    <row r="38" ht="16.5" customHeight="1"/>
    <row r="40" spans="1:2" ht="14.25">
      <c r="A40" s="362" t="s">
        <v>61</v>
      </c>
      <c r="B40" s="363"/>
    </row>
    <row r="41" spans="1:2" ht="14.25">
      <c r="A41" s="362" t="s">
        <v>218</v>
      </c>
      <c r="B41" s="362"/>
    </row>
    <row r="42" ht="14.25">
      <c r="A42" s="208"/>
    </row>
  </sheetData>
  <mergeCells count="37">
    <mergeCell ref="A1:K1"/>
    <mergeCell ref="A2:K2"/>
    <mergeCell ref="A4:K4"/>
    <mergeCell ref="A6:A9"/>
    <mergeCell ref="B6:B9"/>
    <mergeCell ref="C6:C9"/>
    <mergeCell ref="D6:D9"/>
    <mergeCell ref="E6:E9"/>
    <mergeCell ref="F6:G7"/>
    <mergeCell ref="H6:H9"/>
    <mergeCell ref="I6:I9"/>
    <mergeCell ref="J6:J9"/>
    <mergeCell ref="K6:K9"/>
    <mergeCell ref="L6:N6"/>
    <mergeCell ref="L7:N7"/>
    <mergeCell ref="F8:F9"/>
    <mergeCell ref="G8:G9"/>
    <mergeCell ref="A10:A17"/>
    <mergeCell ref="B10:B11"/>
    <mergeCell ref="C10:C11"/>
    <mergeCell ref="D10:D11"/>
    <mergeCell ref="E10:E11"/>
    <mergeCell ref="J10:J11"/>
    <mergeCell ref="K10:K11"/>
    <mergeCell ref="A18:A21"/>
    <mergeCell ref="B19:B20"/>
    <mergeCell ref="C19:C20"/>
    <mergeCell ref="D19:D20"/>
    <mergeCell ref="E19:E20"/>
    <mergeCell ref="F19:F20"/>
    <mergeCell ref="J19:J20"/>
    <mergeCell ref="K19:K20"/>
    <mergeCell ref="J22:J23"/>
    <mergeCell ref="K22:K24"/>
    <mergeCell ref="A26:B26"/>
    <mergeCell ref="A27:B27"/>
    <mergeCell ref="A35:K35"/>
  </mergeCells>
  <printOptions horizontalCentered="1" verticalCentered="1"/>
  <pageMargins left="0.15763888888888888" right="0.15763888888888888" top="0.9840277777777777" bottom="0.15763888888888888" header="0.5118055555555555" footer="0.5118055555555555"/>
  <pageSetup fitToHeight="1" fitToWidth="1"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workbookViewId="0" topLeftCell="A1">
      <selection activeCell="F10" sqref="F10"/>
    </sheetView>
  </sheetViews>
  <sheetFormatPr defaultColWidth="9.00390625" defaultRowHeight="12.75"/>
  <cols>
    <col min="1" max="1" width="30.875" style="1" customWidth="1"/>
    <col min="2" max="2" width="27.00390625" style="0" customWidth="1"/>
    <col min="3" max="3" width="14.375" style="0" customWidth="1"/>
    <col min="4" max="4" width="13.875" style="2" customWidth="1"/>
    <col min="5" max="5" width="14.875" style="0" customWidth="1"/>
    <col min="6" max="6" width="38.25390625" style="0" customWidth="1"/>
    <col min="7" max="7" width="8.25390625" style="0" customWidth="1"/>
    <col min="8" max="8" width="15.125" style="0" customWidth="1"/>
    <col min="9" max="9" width="14.625" style="0" customWidth="1"/>
    <col min="10" max="10" width="10.625" style="0" customWidth="1"/>
    <col min="11" max="14" width="0" style="0" hidden="1" customWidth="1"/>
    <col min="15" max="15" width="22.00390625" style="0" customWidth="1"/>
  </cols>
  <sheetData>
    <row r="1" spans="1:11" ht="16.5">
      <c r="A1" s="365" t="s">
        <v>119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1" ht="16.5">
      <c r="A2" s="365" t="s">
        <v>198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 ht="16.5">
      <c r="A3" s="366"/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11" ht="12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</row>
    <row r="5" ht="12">
      <c r="K5" s="368" t="s">
        <v>121</v>
      </c>
    </row>
    <row r="6" spans="1:14" s="255" customFormat="1" ht="14.25">
      <c r="A6" s="369" t="s">
        <v>122</v>
      </c>
      <c r="B6" s="370" t="s">
        <v>123</v>
      </c>
      <c r="C6" s="370" t="s">
        <v>124</v>
      </c>
      <c r="D6" s="370" t="s">
        <v>125</v>
      </c>
      <c r="E6" s="370" t="s">
        <v>126</v>
      </c>
      <c r="F6" s="371" t="s">
        <v>127</v>
      </c>
      <c r="G6" s="371"/>
      <c r="H6" s="370" t="s">
        <v>128</v>
      </c>
      <c r="I6" s="370" t="s">
        <v>129</v>
      </c>
      <c r="J6" s="370" t="s">
        <v>130</v>
      </c>
      <c r="K6" s="372" t="s">
        <v>131</v>
      </c>
      <c r="L6" s="254" t="s">
        <v>10</v>
      </c>
      <c r="M6" s="254"/>
      <c r="N6" s="254"/>
    </row>
    <row r="7" spans="1:14" s="255" customFormat="1" ht="14.25">
      <c r="A7" s="369"/>
      <c r="B7" s="370"/>
      <c r="C7" s="370"/>
      <c r="D7" s="370"/>
      <c r="E7" s="370"/>
      <c r="F7" s="371"/>
      <c r="G7" s="371"/>
      <c r="H7" s="370"/>
      <c r="I7" s="370"/>
      <c r="J7" s="370"/>
      <c r="K7" s="372"/>
      <c r="L7" s="260" t="s">
        <v>21</v>
      </c>
      <c r="M7" s="260"/>
      <c r="N7" s="260"/>
    </row>
    <row r="8" spans="1:14" s="255" customFormat="1" ht="14.25">
      <c r="A8" s="369"/>
      <c r="B8" s="370"/>
      <c r="C8" s="370"/>
      <c r="D8" s="370"/>
      <c r="E8" s="370"/>
      <c r="F8" s="373" t="s">
        <v>26</v>
      </c>
      <c r="G8" s="373" t="s">
        <v>27</v>
      </c>
      <c r="H8" s="370"/>
      <c r="I8" s="370"/>
      <c r="J8" s="370"/>
      <c r="K8" s="372"/>
      <c r="L8" s="254" t="s">
        <v>31</v>
      </c>
      <c r="M8" s="261" t="s">
        <v>32</v>
      </c>
      <c r="N8" s="262" t="s">
        <v>33</v>
      </c>
    </row>
    <row r="9" spans="1:14" s="270" customFormat="1" ht="14.25">
      <c r="A9" s="369"/>
      <c r="B9" s="370"/>
      <c r="C9" s="370"/>
      <c r="D9" s="370"/>
      <c r="E9" s="370"/>
      <c r="F9" s="373"/>
      <c r="G9" s="373"/>
      <c r="H9" s="370"/>
      <c r="I9" s="370"/>
      <c r="J9" s="370"/>
      <c r="K9" s="372"/>
      <c r="L9" s="268"/>
      <c r="M9" s="269"/>
      <c r="N9" s="268"/>
    </row>
    <row r="10" spans="1:14" s="282" customFormat="1" ht="21" customHeight="1">
      <c r="A10" s="374" t="s">
        <v>219</v>
      </c>
      <c r="B10" s="410" t="s">
        <v>183</v>
      </c>
      <c r="C10" s="411">
        <v>56000000</v>
      </c>
      <c r="D10" s="412">
        <v>38913</v>
      </c>
      <c r="E10" s="413">
        <v>38366</v>
      </c>
      <c r="F10" s="414" t="s">
        <v>220</v>
      </c>
      <c r="G10" s="415">
        <f>25+40+134+52</f>
        <v>251</v>
      </c>
      <c r="H10" s="416">
        <f>2659200+2137000+2800600+2600000</f>
        <v>10196800</v>
      </c>
      <c r="I10" s="417">
        <f>1279998.33+1592780.32+1677474.64+1557321.31</f>
        <v>6107574.6</v>
      </c>
      <c r="J10" s="418">
        <v>0.15</v>
      </c>
      <c r="K10" s="428" t="s">
        <v>82</v>
      </c>
      <c r="L10" s="279"/>
      <c r="M10" s="280"/>
      <c r="N10" s="281"/>
    </row>
    <row r="11" spans="1:14" s="282" customFormat="1" ht="15.75" customHeight="1">
      <c r="A11" s="374"/>
      <c r="B11" s="410"/>
      <c r="C11" s="411"/>
      <c r="D11" s="412"/>
      <c r="E11" s="412"/>
      <c r="F11" s="302" t="s">
        <v>200</v>
      </c>
      <c r="G11" s="303">
        <f>3000+2000+8590+15000</f>
        <v>28590</v>
      </c>
      <c r="H11" s="385">
        <f>2358000+62370000+11733940+25200000</f>
        <v>101661940</v>
      </c>
      <c r="I11" s="385">
        <f>1412370.64+37357742.45+7028274.95+15094037.35</f>
        <v>60892425.39000001</v>
      </c>
      <c r="J11" s="418"/>
      <c r="K11" s="428"/>
      <c r="L11" s="279"/>
      <c r="M11" s="280"/>
      <c r="N11" s="281"/>
    </row>
    <row r="12" spans="1:14" s="282" customFormat="1" ht="26.25">
      <c r="A12" s="374"/>
      <c r="B12" s="283" t="s">
        <v>183</v>
      </c>
      <c r="C12" s="376">
        <v>100000000</v>
      </c>
      <c r="D12" s="377">
        <v>38965</v>
      </c>
      <c r="E12" s="377">
        <v>38429</v>
      </c>
      <c r="F12" s="378" t="s">
        <v>183</v>
      </c>
      <c r="G12" s="379"/>
      <c r="H12" s="376">
        <v>129136700</v>
      </c>
      <c r="I12" s="376">
        <v>100000000</v>
      </c>
      <c r="J12" s="380">
        <v>0.13</v>
      </c>
      <c r="K12" s="381" t="s">
        <v>133</v>
      </c>
      <c r="L12" s="279"/>
      <c r="M12" s="280"/>
      <c r="N12" s="281"/>
    </row>
    <row r="13" spans="1:14" s="282" customFormat="1" ht="51.75">
      <c r="A13" s="374"/>
      <c r="B13" s="446" t="s">
        <v>180</v>
      </c>
      <c r="C13" s="440">
        <v>100000000</v>
      </c>
      <c r="D13" s="441">
        <v>39045</v>
      </c>
      <c r="E13" s="441">
        <v>38686</v>
      </c>
      <c r="F13" s="397" t="s">
        <v>183</v>
      </c>
      <c r="G13" s="442"/>
      <c r="H13" s="440">
        <v>226854111.78</v>
      </c>
      <c r="I13" s="440">
        <v>100000000</v>
      </c>
      <c r="J13" s="447">
        <v>0.13</v>
      </c>
      <c r="K13" s="381" t="s">
        <v>221</v>
      </c>
      <c r="L13" s="279"/>
      <c r="M13" s="280"/>
      <c r="N13" s="281"/>
    </row>
    <row r="14" spans="1:14" s="282" customFormat="1" ht="14.25">
      <c r="A14" s="374"/>
      <c r="B14" s="439" t="s">
        <v>180</v>
      </c>
      <c r="C14" s="440">
        <v>100000000</v>
      </c>
      <c r="D14" s="441">
        <v>39077</v>
      </c>
      <c r="E14" s="441">
        <v>38712</v>
      </c>
      <c r="F14" s="397" t="s">
        <v>222</v>
      </c>
      <c r="G14" s="442"/>
      <c r="H14" s="440"/>
      <c r="I14" s="440">
        <v>100000000</v>
      </c>
      <c r="J14" s="447">
        <v>0.115</v>
      </c>
      <c r="K14" s="381"/>
      <c r="L14" s="279"/>
      <c r="M14" s="280"/>
      <c r="N14" s="281"/>
    </row>
    <row r="15" spans="1:14" s="282" customFormat="1" ht="26.25">
      <c r="A15" s="374"/>
      <c r="B15" s="439" t="s">
        <v>203</v>
      </c>
      <c r="C15" s="440">
        <v>25000000</v>
      </c>
      <c r="D15" s="441">
        <v>38863</v>
      </c>
      <c r="E15" s="441">
        <v>38135</v>
      </c>
      <c r="F15" s="397" t="s">
        <v>177</v>
      </c>
      <c r="G15" s="442"/>
      <c r="H15" s="440">
        <v>30099572</v>
      </c>
      <c r="I15" s="440">
        <v>30099572</v>
      </c>
      <c r="J15" s="447">
        <v>0.117</v>
      </c>
      <c r="K15" s="381" t="s">
        <v>215</v>
      </c>
      <c r="L15" s="279"/>
      <c r="M15" s="280"/>
      <c r="N15" s="281"/>
    </row>
    <row r="16" spans="1:14" s="318" customFormat="1" ht="14.25">
      <c r="A16" s="374"/>
      <c r="B16" s="311" t="s">
        <v>177</v>
      </c>
      <c r="C16" s="386">
        <f>SUM(C10:C15)</f>
        <v>381000000</v>
      </c>
      <c r="D16" s="313"/>
      <c r="E16" s="312"/>
      <c r="F16" s="312"/>
      <c r="G16" s="312"/>
      <c r="H16" s="386">
        <f>SUM(H10:H15)</f>
        <v>497949123.78</v>
      </c>
      <c r="I16" s="386">
        <f>SUM(I10:I15)</f>
        <v>397099571.99</v>
      </c>
      <c r="J16" s="312"/>
      <c r="K16" s="328"/>
      <c r="L16" s="315">
        <f>SUM(L10:L12)</f>
        <v>0</v>
      </c>
      <c r="M16" s="316">
        <f>SUM(M10:M12)</f>
        <v>0</v>
      </c>
      <c r="N16" s="317" t="s">
        <v>42</v>
      </c>
    </row>
    <row r="17" spans="1:14" s="338" customFormat="1" ht="12.75" hidden="1">
      <c r="A17" s="329"/>
      <c r="B17" s="275"/>
      <c r="C17" s="403"/>
      <c r="D17" s="331"/>
      <c r="E17" s="332"/>
      <c r="F17" s="275"/>
      <c r="G17" s="275"/>
      <c r="H17" s="403"/>
      <c r="I17" s="403"/>
      <c r="J17" s="333"/>
      <c r="K17" s="334"/>
      <c r="L17" s="335" t="e">
        <f>C17*J17/365*#REF!</f>
        <v>#REF!</v>
      </c>
      <c r="M17" s="336">
        <v>1272986</v>
      </c>
      <c r="N17" s="337"/>
    </row>
    <row r="18" spans="1:14" s="338" customFormat="1" ht="12.75" hidden="1">
      <c r="A18" s="339"/>
      <c r="B18" s="340"/>
      <c r="C18" s="404"/>
      <c r="D18" s="341"/>
      <c r="E18" s="342"/>
      <c r="F18" s="302"/>
      <c r="G18" s="302"/>
      <c r="H18" s="404"/>
      <c r="I18" s="404"/>
      <c r="J18" s="333"/>
      <c r="K18" s="334"/>
      <c r="L18" s="343"/>
      <c r="M18" s="344"/>
      <c r="N18" s="337"/>
    </row>
    <row r="19" spans="1:14" s="338" customFormat="1" ht="12.75" hidden="1">
      <c r="A19" s="339"/>
      <c r="B19" s="345"/>
      <c r="C19" s="403"/>
      <c r="D19" s="331"/>
      <c r="E19" s="332"/>
      <c r="F19" s="275"/>
      <c r="G19" s="275"/>
      <c r="H19" s="403"/>
      <c r="I19" s="403"/>
      <c r="J19" s="346"/>
      <c r="K19" s="334"/>
      <c r="L19" s="335" t="e">
        <f>C19*J19/365*#REF!</f>
        <v>#REF!</v>
      </c>
      <c r="M19" s="344">
        <v>0</v>
      </c>
      <c r="N19" s="337"/>
    </row>
    <row r="20" spans="1:14" s="282" customFormat="1" ht="12.75" hidden="1">
      <c r="A20" s="310"/>
      <c r="B20" s="311" t="s">
        <v>41</v>
      </c>
      <c r="C20" s="386">
        <f>SUM(C17:C19)</f>
        <v>0</v>
      </c>
      <c r="D20" s="312"/>
      <c r="E20" s="312"/>
      <c r="F20" s="312"/>
      <c r="G20" s="312"/>
      <c r="H20" s="386">
        <f>SUM(H17:H19)</f>
        <v>0</v>
      </c>
      <c r="I20" s="386">
        <f>SUM(I17:I19)</f>
        <v>0</v>
      </c>
      <c r="J20" s="312"/>
      <c r="K20" s="314"/>
      <c r="L20" s="315" t="e">
        <f>SUM(L17:L19)</f>
        <v>#REF!</v>
      </c>
      <c r="M20" s="316">
        <f>SUM(M17:M19)</f>
        <v>1272986</v>
      </c>
      <c r="N20" s="317" t="s">
        <v>42</v>
      </c>
    </row>
    <row r="21" spans="1:11" s="282" customFormat="1" ht="14.25">
      <c r="A21" s="355"/>
      <c r="B21" s="355"/>
      <c r="C21" s="356"/>
      <c r="D21" s="357"/>
      <c r="E21" s="358"/>
      <c r="F21" s="358"/>
      <c r="G21" s="358"/>
      <c r="H21" s="358"/>
      <c r="I21" s="358"/>
      <c r="J21" s="358"/>
      <c r="K21" s="358"/>
    </row>
    <row r="22" spans="1:11" s="282" customFormat="1" ht="14.25">
      <c r="A22" s="355"/>
      <c r="B22" s="355"/>
      <c r="C22" s="356"/>
      <c r="D22" s="357"/>
      <c r="E22" s="358"/>
      <c r="F22" s="358"/>
      <c r="G22" s="358"/>
      <c r="H22" s="358"/>
      <c r="I22" s="358"/>
      <c r="J22" s="358"/>
      <c r="K22" s="358"/>
    </row>
    <row r="23" spans="1:11" s="282" customFormat="1" ht="14.25">
      <c r="A23" s="355"/>
      <c r="B23" s="355"/>
      <c r="C23" s="356"/>
      <c r="D23" s="357"/>
      <c r="E23" s="358"/>
      <c r="F23" s="358"/>
      <c r="G23" s="358"/>
      <c r="H23" s="358"/>
      <c r="I23" s="358"/>
      <c r="J23" s="358"/>
      <c r="K23" s="358"/>
    </row>
    <row r="24" spans="1:11" ht="17.25" customHeight="1">
      <c r="A24" s="204"/>
      <c r="B24" s="360"/>
      <c r="C24" s="361"/>
      <c r="D24" s="195"/>
      <c r="E24" s="132"/>
      <c r="F24" s="132"/>
      <c r="G24" s="132"/>
      <c r="H24" s="132"/>
      <c r="I24" s="132"/>
      <c r="J24" s="132"/>
      <c r="K24" s="132"/>
    </row>
    <row r="25" spans="1:11" s="207" customFormat="1" ht="16.5">
      <c r="A25" s="409" t="s">
        <v>204</v>
      </c>
      <c r="B25" s="409"/>
      <c r="C25" s="409"/>
      <c r="D25" s="409"/>
      <c r="E25" s="409"/>
      <c r="F25" s="409"/>
      <c r="G25" s="409"/>
      <c r="H25" s="409"/>
      <c r="I25" s="409"/>
      <c r="J25" s="409"/>
      <c r="K25" s="409"/>
    </row>
    <row r="28" ht="16.5" customHeight="1"/>
    <row r="30" spans="1:2" ht="14.25">
      <c r="A30" s="362" t="s">
        <v>61</v>
      </c>
      <c r="B30" s="363"/>
    </row>
    <row r="31" spans="1:2" ht="14.25">
      <c r="A31" s="362" t="s">
        <v>198</v>
      </c>
      <c r="B31" s="362"/>
    </row>
    <row r="32" ht="14.25">
      <c r="A32" s="208" t="s">
        <v>198</v>
      </c>
    </row>
  </sheetData>
  <mergeCells count="28">
    <mergeCell ref="A1:K1"/>
    <mergeCell ref="A2:K2"/>
    <mergeCell ref="A4:K4"/>
    <mergeCell ref="A6:A9"/>
    <mergeCell ref="B6:B9"/>
    <mergeCell ref="C6:C9"/>
    <mergeCell ref="D6:D9"/>
    <mergeCell ref="E6:E9"/>
    <mergeCell ref="F6:G7"/>
    <mergeCell ref="H6:H9"/>
    <mergeCell ref="I6:I9"/>
    <mergeCell ref="J6:J9"/>
    <mergeCell ref="K6:K9"/>
    <mergeCell ref="L6:N6"/>
    <mergeCell ref="L7:N7"/>
    <mergeCell ref="F8:F9"/>
    <mergeCell ref="G8:G9"/>
    <mergeCell ref="A10:A16"/>
    <mergeCell ref="B10:B11"/>
    <mergeCell ref="C10:C11"/>
    <mergeCell ref="D10:D11"/>
    <mergeCell ref="E10:E11"/>
    <mergeCell ref="J10:J11"/>
    <mergeCell ref="K10:K11"/>
    <mergeCell ref="J17:J18"/>
    <mergeCell ref="K17:K19"/>
    <mergeCell ref="A21:B21"/>
    <mergeCell ref="A25:K25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G3" sqref="G3"/>
    </sheetView>
  </sheetViews>
  <sheetFormatPr defaultColWidth="9.00390625" defaultRowHeight="12.75"/>
  <cols>
    <col min="1" max="1" width="13.375" style="0" customWidth="1"/>
    <col min="2" max="2" width="14.125" style="0" customWidth="1"/>
    <col min="3" max="3" width="9.875" style="0" customWidth="1"/>
    <col min="4" max="4" width="12.00390625" style="0" customWidth="1"/>
    <col min="5" max="6" width="25.875" style="0" customWidth="1"/>
    <col min="7" max="7" width="30.75390625" style="0" customWidth="1"/>
    <col min="8" max="8" width="8.125" style="0" customWidth="1"/>
  </cols>
  <sheetData>
    <row r="1" spans="1:8" ht="12">
      <c r="A1" s="209" t="s">
        <v>64</v>
      </c>
      <c r="B1" s="210" t="s">
        <v>65</v>
      </c>
      <c r="C1" s="210" t="s">
        <v>66</v>
      </c>
      <c r="D1" s="211" t="s">
        <v>67</v>
      </c>
      <c r="E1" s="209" t="s">
        <v>68</v>
      </c>
      <c r="F1" s="210" t="s">
        <v>69</v>
      </c>
      <c r="G1" s="210" t="s">
        <v>70</v>
      </c>
      <c r="H1" s="212" t="s">
        <v>71</v>
      </c>
    </row>
    <row r="2" spans="1:8" ht="12">
      <c r="A2" s="213" t="s">
        <v>72</v>
      </c>
      <c r="B2" s="214">
        <v>8</v>
      </c>
      <c r="C2" s="215">
        <v>38371</v>
      </c>
      <c r="D2" s="216">
        <v>38704</v>
      </c>
      <c r="E2" s="217" t="s">
        <v>73</v>
      </c>
      <c r="F2" s="218"/>
      <c r="G2" s="218"/>
      <c r="H2" s="219">
        <v>38371</v>
      </c>
    </row>
    <row r="3" spans="1:8" ht="12">
      <c r="A3" s="220" t="s">
        <v>74</v>
      </c>
      <c r="B3" s="221" t="s">
        <v>75</v>
      </c>
      <c r="C3" s="222">
        <v>38366</v>
      </c>
      <c r="D3" s="223">
        <v>38736</v>
      </c>
      <c r="E3" s="221" t="s">
        <v>76</v>
      </c>
      <c r="F3" s="221" t="s">
        <v>77</v>
      </c>
      <c r="G3" s="221" t="s">
        <v>78</v>
      </c>
      <c r="H3" s="224">
        <v>38366</v>
      </c>
    </row>
    <row r="4" spans="1:8" ht="12">
      <c r="A4" s="225"/>
      <c r="B4" s="226"/>
      <c r="C4" s="227"/>
      <c r="D4" s="228"/>
      <c r="E4" s="226"/>
      <c r="F4" s="226"/>
      <c r="G4" s="226" t="s">
        <v>79</v>
      </c>
      <c r="H4" s="229">
        <v>38366</v>
      </c>
    </row>
    <row r="5" spans="1:8" ht="12">
      <c r="A5" s="230" t="s">
        <v>80</v>
      </c>
      <c r="B5" s="231">
        <v>1337</v>
      </c>
      <c r="C5" s="232">
        <v>38366</v>
      </c>
      <c r="D5" s="233">
        <v>38913</v>
      </c>
      <c r="E5" s="234" t="s">
        <v>49</v>
      </c>
      <c r="F5" s="231"/>
      <c r="G5" s="231"/>
      <c r="H5" s="235">
        <v>38366</v>
      </c>
    </row>
    <row r="6" spans="1:8" ht="12">
      <c r="A6" s="236"/>
      <c r="B6" s="144"/>
      <c r="C6" s="237"/>
      <c r="D6" s="238"/>
      <c r="E6" s="239"/>
      <c r="F6" s="144"/>
      <c r="G6" s="144"/>
      <c r="H6" s="240"/>
    </row>
    <row r="7" spans="1:8" ht="12">
      <c r="A7" s="241"/>
      <c r="B7" s="242"/>
      <c r="C7" s="243"/>
      <c r="D7" s="244"/>
      <c r="E7" s="245"/>
      <c r="F7" s="242"/>
      <c r="G7" s="242"/>
      <c r="H7" s="246"/>
    </row>
    <row r="8" spans="1:8" ht="12">
      <c r="A8" s="241"/>
      <c r="B8" s="242"/>
      <c r="C8" s="243"/>
      <c r="D8" s="244"/>
      <c r="E8" s="245"/>
      <c r="F8" s="242"/>
      <c r="G8" s="242"/>
      <c r="H8" s="246"/>
    </row>
    <row r="9" spans="1:8" ht="12">
      <c r="A9" s="241"/>
      <c r="B9" s="242"/>
      <c r="C9" s="243"/>
      <c r="D9" s="244"/>
      <c r="E9" s="245"/>
      <c r="F9" s="242"/>
      <c r="G9" s="242"/>
      <c r="H9" s="246"/>
    </row>
    <row r="10" spans="1:8" ht="12">
      <c r="A10" s="241"/>
      <c r="B10" s="242"/>
      <c r="C10" s="243"/>
      <c r="D10" s="244"/>
      <c r="E10" s="245"/>
      <c r="F10" s="242"/>
      <c r="G10" s="242"/>
      <c r="H10" s="246"/>
    </row>
    <row r="11" spans="1:8" ht="12">
      <c r="A11" s="241"/>
      <c r="B11" s="242"/>
      <c r="C11" s="243"/>
      <c r="D11" s="244"/>
      <c r="E11" s="245"/>
      <c r="F11" s="242"/>
      <c r="G11" s="242"/>
      <c r="H11" s="246"/>
    </row>
    <row r="12" spans="1:8" ht="12">
      <c r="A12" s="225"/>
      <c r="B12" s="226"/>
      <c r="C12" s="227"/>
      <c r="D12" s="228"/>
      <c r="E12" s="247"/>
      <c r="F12" s="226"/>
      <c r="G12" s="226"/>
      <c r="H12" s="248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workbookViewId="0" topLeftCell="A1">
      <selection activeCell="B28" sqref="B28"/>
    </sheetView>
  </sheetViews>
  <sheetFormatPr defaultColWidth="9.00390625" defaultRowHeight="12.75"/>
  <cols>
    <col min="1" max="1" width="30.875" style="1" customWidth="1"/>
    <col min="2" max="2" width="27.00390625" style="0" customWidth="1"/>
    <col min="3" max="3" width="14.375" style="0" customWidth="1"/>
    <col min="4" max="4" width="13.875" style="2" customWidth="1"/>
    <col min="5" max="5" width="14.875" style="0" customWidth="1"/>
    <col min="6" max="6" width="38.25390625" style="0" customWidth="1"/>
    <col min="7" max="7" width="8.25390625" style="0" customWidth="1"/>
    <col min="8" max="8" width="15.125" style="0" customWidth="1"/>
    <col min="9" max="9" width="14.625" style="0" customWidth="1"/>
    <col min="10" max="10" width="10.625" style="0" customWidth="1"/>
    <col min="11" max="11" width="31.625" style="0" customWidth="1"/>
    <col min="12" max="14" width="0" style="0" hidden="1" customWidth="1"/>
    <col min="15" max="15" width="22.00390625" style="0" customWidth="1"/>
  </cols>
  <sheetData>
    <row r="1" spans="1:11" ht="16.5">
      <c r="A1" s="365" t="s">
        <v>119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1" ht="16.5">
      <c r="A2" s="365" t="s">
        <v>223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 ht="16.5">
      <c r="A3" s="366"/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11" ht="12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</row>
    <row r="5" ht="12">
      <c r="K5" s="368" t="s">
        <v>121</v>
      </c>
    </row>
    <row r="6" spans="1:14" s="255" customFormat="1" ht="14.25">
      <c r="A6" s="369" t="s">
        <v>122</v>
      </c>
      <c r="B6" s="370" t="s">
        <v>123</v>
      </c>
      <c r="C6" s="370" t="s">
        <v>124</v>
      </c>
      <c r="D6" s="370" t="s">
        <v>125</v>
      </c>
      <c r="E6" s="370" t="s">
        <v>126</v>
      </c>
      <c r="F6" s="371" t="s">
        <v>127</v>
      </c>
      <c r="G6" s="371"/>
      <c r="H6" s="370" t="s">
        <v>128</v>
      </c>
      <c r="I6" s="370" t="s">
        <v>129</v>
      </c>
      <c r="J6" s="370" t="s">
        <v>130</v>
      </c>
      <c r="K6" s="372" t="s">
        <v>131</v>
      </c>
      <c r="L6" s="254" t="s">
        <v>10</v>
      </c>
      <c r="M6" s="254"/>
      <c r="N6" s="254"/>
    </row>
    <row r="7" spans="1:14" s="255" customFormat="1" ht="14.25">
      <c r="A7" s="369"/>
      <c r="B7" s="370"/>
      <c r="C7" s="370"/>
      <c r="D7" s="370"/>
      <c r="E7" s="370"/>
      <c r="F7" s="371"/>
      <c r="G7" s="371"/>
      <c r="H7" s="370"/>
      <c r="I7" s="370"/>
      <c r="J7" s="370"/>
      <c r="K7" s="372"/>
      <c r="L7" s="260" t="s">
        <v>21</v>
      </c>
      <c r="M7" s="260"/>
      <c r="N7" s="260"/>
    </row>
    <row r="8" spans="1:14" s="255" customFormat="1" ht="14.25">
      <c r="A8" s="369"/>
      <c r="B8" s="370"/>
      <c r="C8" s="370"/>
      <c r="D8" s="370"/>
      <c r="E8" s="370"/>
      <c r="F8" s="373" t="s">
        <v>36</v>
      </c>
      <c r="G8" s="373" t="s">
        <v>27</v>
      </c>
      <c r="H8" s="370"/>
      <c r="I8" s="370"/>
      <c r="J8" s="370"/>
      <c r="K8" s="372"/>
      <c r="L8" s="254" t="s">
        <v>31</v>
      </c>
      <c r="M8" s="261" t="s">
        <v>32</v>
      </c>
      <c r="N8" s="262" t="s">
        <v>33</v>
      </c>
    </row>
    <row r="9" spans="1:14" s="270" customFormat="1" ht="14.25">
      <c r="A9" s="369"/>
      <c r="B9" s="370"/>
      <c r="C9" s="370"/>
      <c r="D9" s="370"/>
      <c r="E9" s="370"/>
      <c r="F9" s="373"/>
      <c r="G9" s="373"/>
      <c r="H9" s="370"/>
      <c r="I9" s="370"/>
      <c r="J9" s="370"/>
      <c r="K9" s="372"/>
      <c r="L9" s="268"/>
      <c r="M9" s="269"/>
      <c r="N9" s="268"/>
    </row>
    <row r="10" spans="1:14" s="282" customFormat="1" ht="21" customHeight="1">
      <c r="A10" s="374" t="s">
        <v>223</v>
      </c>
      <c r="B10" s="410" t="s">
        <v>224</v>
      </c>
      <c r="C10" s="411">
        <v>56000000</v>
      </c>
      <c r="D10" s="412">
        <v>38913</v>
      </c>
      <c r="E10" s="413">
        <v>38366</v>
      </c>
      <c r="F10" s="414" t="s">
        <v>36</v>
      </c>
      <c r="G10" s="415">
        <f>25+40+134+52</f>
        <v>251</v>
      </c>
      <c r="H10" s="416">
        <f>2659200+2137000+2800600+2600000</f>
        <v>10196800</v>
      </c>
      <c r="I10" s="417">
        <f>1279998.33+1592780.32+1677474.64+1557321.31</f>
        <v>6107574.6</v>
      </c>
      <c r="J10" s="418">
        <v>0.15</v>
      </c>
      <c r="K10" s="428" t="s">
        <v>82</v>
      </c>
      <c r="L10" s="279"/>
      <c r="M10" s="280"/>
      <c r="N10" s="281"/>
    </row>
    <row r="11" spans="1:14" s="282" customFormat="1" ht="15.75" customHeight="1">
      <c r="A11" s="374"/>
      <c r="B11" s="410"/>
      <c r="C11" s="411"/>
      <c r="D11" s="412"/>
      <c r="E11" s="412"/>
      <c r="F11" s="302" t="s">
        <v>88</v>
      </c>
      <c r="G11" s="303">
        <f>3000+2000+8590+15000</f>
        <v>28590</v>
      </c>
      <c r="H11" s="385">
        <f>2358000+62370000+11733940+25200000</f>
        <v>101661940</v>
      </c>
      <c r="I11" s="385">
        <f>1412370.64+37357742.45+7028274.95+15094037.35</f>
        <v>60892425.39000001</v>
      </c>
      <c r="J11" s="418"/>
      <c r="K11" s="428"/>
      <c r="L11" s="279"/>
      <c r="M11" s="280"/>
      <c r="N11" s="281"/>
    </row>
    <row r="12" spans="1:14" s="282" customFormat="1" ht="14.25">
      <c r="A12" s="374"/>
      <c r="B12" s="283" t="s">
        <v>225</v>
      </c>
      <c r="C12" s="376">
        <v>100000000</v>
      </c>
      <c r="D12" s="377">
        <v>38965</v>
      </c>
      <c r="E12" s="377">
        <v>38429</v>
      </c>
      <c r="F12" s="378" t="s">
        <v>226</v>
      </c>
      <c r="G12" s="379"/>
      <c r="H12" s="376">
        <v>129136700</v>
      </c>
      <c r="I12" s="376">
        <v>100000000</v>
      </c>
      <c r="J12" s="380">
        <v>0.13</v>
      </c>
      <c r="K12" s="381" t="s">
        <v>133</v>
      </c>
      <c r="L12" s="279"/>
      <c r="M12" s="280"/>
      <c r="N12" s="281"/>
    </row>
    <row r="13" spans="1:14" s="282" customFormat="1" ht="39">
      <c r="A13" s="374"/>
      <c r="B13" s="446" t="s">
        <v>224</v>
      </c>
      <c r="C13" s="440">
        <v>100000000</v>
      </c>
      <c r="D13" s="441">
        <v>39045</v>
      </c>
      <c r="E13" s="441">
        <v>38686</v>
      </c>
      <c r="F13" s="397" t="s">
        <v>38</v>
      </c>
      <c r="G13" s="442"/>
      <c r="H13" s="440">
        <v>226854111.78</v>
      </c>
      <c r="I13" s="440">
        <v>100000000</v>
      </c>
      <c r="J13" s="447">
        <v>0.131</v>
      </c>
      <c r="K13" s="381" t="s">
        <v>202</v>
      </c>
      <c r="L13" s="279"/>
      <c r="M13" s="280"/>
      <c r="N13" s="281"/>
    </row>
    <row r="14" spans="1:14" s="282" customFormat="1" ht="14.25">
      <c r="A14" s="374"/>
      <c r="B14" s="439" t="s">
        <v>227</v>
      </c>
      <c r="C14" s="440">
        <v>100000000</v>
      </c>
      <c r="D14" s="441">
        <v>39077</v>
      </c>
      <c r="E14" s="441">
        <v>38712</v>
      </c>
      <c r="F14" s="397" t="s">
        <v>36</v>
      </c>
      <c r="G14" s="442"/>
      <c r="H14" s="440"/>
      <c r="I14" s="440">
        <v>100000000</v>
      </c>
      <c r="J14" s="447">
        <v>0.115</v>
      </c>
      <c r="K14" s="381"/>
      <c r="L14" s="279"/>
      <c r="M14" s="280"/>
      <c r="N14" s="281"/>
    </row>
    <row r="15" spans="1:14" s="282" customFormat="1" ht="14.25">
      <c r="A15" s="374"/>
      <c r="B15" s="439" t="s">
        <v>36</v>
      </c>
      <c r="C15" s="440">
        <v>25000000</v>
      </c>
      <c r="D15" s="441">
        <v>38863</v>
      </c>
      <c r="E15" s="441">
        <v>38135</v>
      </c>
      <c r="F15" s="397" t="s">
        <v>88</v>
      </c>
      <c r="G15" s="442"/>
      <c r="H15" s="440">
        <v>30099572</v>
      </c>
      <c r="I15" s="440">
        <v>30099572</v>
      </c>
      <c r="J15" s="447">
        <v>0.117</v>
      </c>
      <c r="K15" s="381" t="s">
        <v>215</v>
      </c>
      <c r="L15" s="279"/>
      <c r="M15" s="280"/>
      <c r="N15" s="281"/>
    </row>
    <row r="16" spans="1:14" s="318" customFormat="1" ht="14.25">
      <c r="A16" s="374"/>
      <c r="B16" s="311" t="s">
        <v>36</v>
      </c>
      <c r="C16" s="386">
        <f>SUM(C10:C15)</f>
        <v>381000000</v>
      </c>
      <c r="D16" s="313"/>
      <c r="E16" s="312"/>
      <c r="F16" s="312" t="s">
        <v>36</v>
      </c>
      <c r="G16" s="312"/>
      <c r="H16" s="386">
        <f>SUM(H10:H15)</f>
        <v>497949123.78</v>
      </c>
      <c r="I16" s="386">
        <f>SUM(I10:I15)</f>
        <v>397099571.99</v>
      </c>
      <c r="J16" s="312"/>
      <c r="K16" s="328"/>
      <c r="L16" s="315">
        <f>SUM(L10:L12)</f>
        <v>0</v>
      </c>
      <c r="M16" s="316">
        <f>SUM(M10:M12)</f>
        <v>0</v>
      </c>
      <c r="N16" s="317" t="s">
        <v>42</v>
      </c>
    </row>
    <row r="17" spans="1:14" s="396" customFormat="1" ht="14.25">
      <c r="A17" s="449" t="s">
        <v>228</v>
      </c>
      <c r="B17" s="272" t="s">
        <v>36</v>
      </c>
      <c r="C17" s="376">
        <v>37000000</v>
      </c>
      <c r="D17" s="377">
        <v>39018</v>
      </c>
      <c r="E17" s="377">
        <v>38447</v>
      </c>
      <c r="F17" s="382" t="s">
        <v>36</v>
      </c>
      <c r="G17" s="379"/>
      <c r="H17" s="376">
        <f>97466554.88</f>
        <v>97466554.88</v>
      </c>
      <c r="I17" s="376">
        <f>45000000*1.18</f>
        <v>53100000</v>
      </c>
      <c r="J17" s="380">
        <v>0.15</v>
      </c>
      <c r="K17" s="435" t="s">
        <v>142</v>
      </c>
      <c r="L17" s="393"/>
      <c r="M17" s="394"/>
      <c r="N17" s="395"/>
    </row>
    <row r="18" spans="1:14" s="282" customFormat="1" ht="14.25">
      <c r="A18" s="449"/>
      <c r="B18" s="326" t="s">
        <v>41</v>
      </c>
      <c r="C18" s="402">
        <f>SUM(C17:C17)</f>
        <v>37000000</v>
      </c>
      <c r="D18" s="327"/>
      <c r="E18" s="327"/>
      <c r="F18" s="327"/>
      <c r="G18" s="327"/>
      <c r="H18" s="402">
        <f>SUM(H17:H17)</f>
        <v>97466554.88</v>
      </c>
      <c r="I18" s="402">
        <f>SUM(I17:I17)</f>
        <v>53100000</v>
      </c>
      <c r="J18" s="312"/>
      <c r="K18" s="328"/>
      <c r="L18" s="315" t="e">
        <f>SUM(#REF!)</f>
        <v>#REF!</v>
      </c>
      <c r="M18" s="316" t="e">
        <f>SUM(#REF!)</f>
        <v>#REF!</v>
      </c>
      <c r="N18" s="317" t="s">
        <v>42</v>
      </c>
    </row>
    <row r="19" spans="1:14" s="338" customFormat="1" ht="12.75" hidden="1">
      <c r="A19" s="329"/>
      <c r="B19" s="275"/>
      <c r="C19" s="403"/>
      <c r="D19" s="331"/>
      <c r="E19" s="332"/>
      <c r="F19" s="275"/>
      <c r="G19" s="275"/>
      <c r="H19" s="403"/>
      <c r="I19" s="403"/>
      <c r="J19" s="333"/>
      <c r="K19" s="334"/>
      <c r="L19" s="335" t="e">
        <f>C19*J19/365*#REF!</f>
        <v>#REF!</v>
      </c>
      <c r="M19" s="336">
        <v>1272986</v>
      </c>
      <c r="N19" s="337"/>
    </row>
    <row r="20" spans="1:14" s="338" customFormat="1" ht="12.75" hidden="1">
      <c r="A20" s="339"/>
      <c r="B20" s="340"/>
      <c r="C20" s="404"/>
      <c r="D20" s="341"/>
      <c r="E20" s="342"/>
      <c r="F20" s="302"/>
      <c r="G20" s="302"/>
      <c r="H20" s="404"/>
      <c r="I20" s="404"/>
      <c r="J20" s="333"/>
      <c r="K20" s="334"/>
      <c r="L20" s="343"/>
      <c r="M20" s="344"/>
      <c r="N20" s="337"/>
    </row>
    <row r="21" spans="1:14" s="338" customFormat="1" ht="12.75" hidden="1">
      <c r="A21" s="339"/>
      <c r="B21" s="345"/>
      <c r="C21" s="403"/>
      <c r="D21" s="331"/>
      <c r="E21" s="332"/>
      <c r="F21" s="275"/>
      <c r="G21" s="275"/>
      <c r="H21" s="403"/>
      <c r="I21" s="403"/>
      <c r="J21" s="346"/>
      <c r="K21" s="334"/>
      <c r="L21" s="335" t="e">
        <f>C21*J21/365*#REF!</f>
        <v>#REF!</v>
      </c>
      <c r="M21" s="344">
        <v>0</v>
      </c>
      <c r="N21" s="337"/>
    </row>
    <row r="22" spans="1:14" s="282" customFormat="1" ht="12.75" hidden="1">
      <c r="A22" s="310"/>
      <c r="B22" s="311" t="s">
        <v>41</v>
      </c>
      <c r="C22" s="386">
        <f>SUM(C19:C21)</f>
        <v>0</v>
      </c>
      <c r="D22" s="312"/>
      <c r="E22" s="312"/>
      <c r="F22" s="312"/>
      <c r="G22" s="312"/>
      <c r="H22" s="386">
        <f>SUM(H19:H21)</f>
        <v>0</v>
      </c>
      <c r="I22" s="386">
        <f>SUM(I19:I21)</f>
        <v>0</v>
      </c>
      <c r="J22" s="312"/>
      <c r="K22" s="314"/>
      <c r="L22" s="315" t="e">
        <f>SUM(L19:L21)</f>
        <v>#REF!</v>
      </c>
      <c r="M22" s="316">
        <f>SUM(M19:M21)</f>
        <v>1272986</v>
      </c>
      <c r="N22" s="317" t="s">
        <v>42</v>
      </c>
    </row>
    <row r="23" spans="1:14" s="354" customFormat="1" ht="14.25">
      <c r="A23" s="347" t="s">
        <v>59</v>
      </c>
      <c r="B23" s="347"/>
      <c r="C23" s="405">
        <f>C16+C18</f>
        <v>418000000</v>
      </c>
      <c r="D23" s="348"/>
      <c r="E23" s="348"/>
      <c r="F23" s="348"/>
      <c r="G23" s="348"/>
      <c r="H23" s="405">
        <f>H16+H18</f>
        <v>595415678.66</v>
      </c>
      <c r="I23" s="405">
        <f>I16+I18</f>
        <v>450199571.99</v>
      </c>
      <c r="J23" s="406"/>
      <c r="K23" s="437"/>
      <c r="L23" s="351" t="e">
        <f>L16+L18+L22+#REF!+#REF!</f>
        <v>#REF!</v>
      </c>
      <c r="M23" s="352" t="e">
        <f>M16+M18+M22+#REF!+#REF!</f>
        <v>#REF!</v>
      </c>
      <c r="N23" s="353" t="s">
        <v>42</v>
      </c>
    </row>
    <row r="24" spans="1:11" s="282" customFormat="1" ht="14.25">
      <c r="A24" s="355"/>
      <c r="B24" s="355"/>
      <c r="C24" s="356"/>
      <c r="D24" s="357"/>
      <c r="E24" s="358"/>
      <c r="F24" s="358"/>
      <c r="G24" s="358"/>
      <c r="H24" s="358"/>
      <c r="I24" s="358"/>
      <c r="J24" s="358"/>
      <c r="K24" s="358"/>
    </row>
    <row r="25" spans="1:11" s="282" customFormat="1" ht="14.25">
      <c r="A25" s="196"/>
      <c r="B25" s="355"/>
      <c r="C25" s="355"/>
      <c r="D25" s="357"/>
      <c r="E25" s="358"/>
      <c r="F25" s="358"/>
      <c r="G25" s="358"/>
      <c r="H25" s="358"/>
      <c r="I25" s="358"/>
      <c r="J25" s="358"/>
      <c r="K25" s="358"/>
    </row>
    <row r="26" spans="1:11" s="282" customFormat="1" ht="14.25">
      <c r="A26" s="359"/>
      <c r="B26" s="196" t="s">
        <v>229</v>
      </c>
      <c r="C26" s="355">
        <f>C27+C28</f>
        <v>0</v>
      </c>
      <c r="D26" s="357"/>
      <c r="E26" s="358"/>
      <c r="F26" s="358"/>
      <c r="G26" s="358"/>
      <c r="H26" s="358"/>
      <c r="I26" s="358"/>
      <c r="J26" s="358"/>
      <c r="K26" s="358"/>
    </row>
    <row r="27" spans="1:11" s="282" customFormat="1" ht="14.25">
      <c r="A27" s="359"/>
      <c r="B27" s="196" t="s">
        <v>36</v>
      </c>
      <c r="C27" s="355">
        <v>0</v>
      </c>
      <c r="D27" s="358"/>
      <c r="E27" s="358"/>
      <c r="F27" s="358"/>
      <c r="G27" s="358"/>
      <c r="H27" s="358"/>
      <c r="I27" s="358"/>
      <c r="J27" s="358"/>
      <c r="K27" s="358"/>
    </row>
    <row r="28" spans="1:11" s="282" customFormat="1" ht="14.25">
      <c r="A28" s="359"/>
      <c r="B28" s="355" t="s">
        <v>230</v>
      </c>
      <c r="C28" s="421">
        <v>0</v>
      </c>
      <c r="D28" s="364"/>
      <c r="E28" s="358"/>
      <c r="F28" s="358"/>
      <c r="G28" s="358"/>
      <c r="H28" s="358"/>
      <c r="I28" s="358"/>
      <c r="J28" s="358"/>
      <c r="K28" s="358"/>
    </row>
    <row r="29" spans="1:11" ht="14.25">
      <c r="A29" s="203"/>
      <c r="B29" s="360"/>
      <c r="C29" s="361"/>
      <c r="D29" s="203"/>
      <c r="E29" s="132"/>
      <c r="F29" s="132"/>
      <c r="G29" s="132"/>
      <c r="H29" s="132"/>
      <c r="I29" s="132"/>
      <c r="J29" s="132"/>
      <c r="K29" s="132"/>
    </row>
    <row r="30" spans="1:11" ht="14.25">
      <c r="A30" s="203"/>
      <c r="B30" s="360"/>
      <c r="C30" s="361"/>
      <c r="D30" s="203"/>
      <c r="E30" s="132"/>
      <c r="F30" s="132"/>
      <c r="G30" s="132"/>
      <c r="H30" s="132"/>
      <c r="I30" s="132"/>
      <c r="J30" s="132"/>
      <c r="K30" s="132"/>
    </row>
    <row r="31" spans="1:11" ht="17.25" customHeight="1">
      <c r="A31" s="204"/>
      <c r="B31" s="360"/>
      <c r="C31" s="361"/>
      <c r="D31" s="195"/>
      <c r="E31" s="132"/>
      <c r="F31" s="132"/>
      <c r="G31" s="132"/>
      <c r="H31" s="132"/>
      <c r="I31" s="132"/>
      <c r="J31" s="132"/>
      <c r="K31" s="132"/>
    </row>
    <row r="32" spans="1:11" s="207" customFormat="1" ht="16.5">
      <c r="A32" s="409" t="s">
        <v>101</v>
      </c>
      <c r="B32" s="409"/>
      <c r="C32" s="409"/>
      <c r="D32" s="409"/>
      <c r="E32" s="409"/>
      <c r="F32" s="409"/>
      <c r="G32" s="409"/>
      <c r="H32" s="409"/>
      <c r="I32" s="409"/>
      <c r="J32" s="409"/>
      <c r="K32" s="409"/>
    </row>
    <row r="35" ht="16.5" customHeight="1"/>
    <row r="37" spans="1:2" ht="14.25">
      <c r="A37" s="362" t="s">
        <v>61</v>
      </c>
      <c r="B37" s="363"/>
    </row>
    <row r="38" spans="1:2" ht="14.25">
      <c r="A38" s="362" t="s">
        <v>101</v>
      </c>
      <c r="B38" s="362"/>
    </row>
    <row r="39" ht="14.25">
      <c r="A39" s="208"/>
    </row>
  </sheetData>
  <mergeCells count="30">
    <mergeCell ref="A1:K1"/>
    <mergeCell ref="A2:K2"/>
    <mergeCell ref="A4:K4"/>
    <mergeCell ref="A6:A9"/>
    <mergeCell ref="B6:B9"/>
    <mergeCell ref="C6:C9"/>
    <mergeCell ref="D6:D9"/>
    <mergeCell ref="E6:E9"/>
    <mergeCell ref="F6:G7"/>
    <mergeCell ref="H6:H9"/>
    <mergeCell ref="I6:I9"/>
    <mergeCell ref="J6:J9"/>
    <mergeCell ref="K6:K9"/>
    <mergeCell ref="L6:N6"/>
    <mergeCell ref="L7:N7"/>
    <mergeCell ref="F8:F9"/>
    <mergeCell ref="G8:G9"/>
    <mergeCell ref="A10:A16"/>
    <mergeCell ref="B10:B11"/>
    <mergeCell ref="C10:C11"/>
    <mergeCell ref="D10:D11"/>
    <mergeCell ref="E10:E11"/>
    <mergeCell ref="J10:J11"/>
    <mergeCell ref="K10:K11"/>
    <mergeCell ref="A17:A18"/>
    <mergeCell ref="J19:J20"/>
    <mergeCell ref="K19:K21"/>
    <mergeCell ref="A23:B23"/>
    <mergeCell ref="A24:B24"/>
    <mergeCell ref="A32:K32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workbookViewId="0" topLeftCell="E1">
      <selection activeCell="F10" sqref="F10"/>
    </sheetView>
  </sheetViews>
  <sheetFormatPr defaultColWidth="9.00390625" defaultRowHeight="12.75"/>
  <cols>
    <col min="1" max="1" width="30.875" style="1" customWidth="1"/>
    <col min="2" max="2" width="27.00390625" style="0" customWidth="1"/>
    <col min="3" max="3" width="15.125" style="0" customWidth="1"/>
    <col min="4" max="4" width="13.875" style="2" customWidth="1"/>
    <col min="5" max="5" width="14.875" style="0" customWidth="1"/>
    <col min="6" max="6" width="38.25390625" style="0" customWidth="1"/>
    <col min="7" max="7" width="8.25390625" style="0" customWidth="1"/>
    <col min="8" max="8" width="15.125" style="0" customWidth="1"/>
    <col min="9" max="9" width="14.625" style="0" customWidth="1"/>
    <col min="10" max="10" width="11.375" style="0" customWidth="1"/>
    <col min="11" max="14" width="0" style="0" hidden="1" customWidth="1"/>
    <col min="15" max="15" width="22.00390625" style="0" customWidth="1"/>
  </cols>
  <sheetData>
    <row r="1" spans="1:11" ht="16.5">
      <c r="A1" s="365" t="s">
        <v>119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1" ht="16.5">
      <c r="A2" s="365" t="s">
        <v>80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 ht="16.5">
      <c r="A3" s="366"/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11" ht="12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</row>
    <row r="5" ht="12">
      <c r="K5" s="368" t="s">
        <v>121</v>
      </c>
    </row>
    <row r="6" spans="1:14" s="255" customFormat="1" ht="14.25">
      <c r="A6" s="369" t="s">
        <v>122</v>
      </c>
      <c r="B6" s="370" t="s">
        <v>123</v>
      </c>
      <c r="C6" s="370" t="s">
        <v>124</v>
      </c>
      <c r="D6" s="370" t="s">
        <v>125</v>
      </c>
      <c r="E6" s="370" t="s">
        <v>126</v>
      </c>
      <c r="F6" s="371" t="s">
        <v>127</v>
      </c>
      <c r="G6" s="371"/>
      <c r="H6" s="370" t="s">
        <v>128</v>
      </c>
      <c r="I6" s="370" t="s">
        <v>129</v>
      </c>
      <c r="J6" s="370" t="s">
        <v>130</v>
      </c>
      <c r="K6" s="372" t="s">
        <v>131</v>
      </c>
      <c r="L6" s="254" t="s">
        <v>10</v>
      </c>
      <c r="M6" s="254"/>
      <c r="N6" s="254"/>
    </row>
    <row r="7" spans="1:14" s="255" customFormat="1" ht="14.25">
      <c r="A7" s="369"/>
      <c r="B7" s="370"/>
      <c r="C7" s="370"/>
      <c r="D7" s="370"/>
      <c r="E7" s="370"/>
      <c r="F7" s="371"/>
      <c r="G7" s="371"/>
      <c r="H7" s="370"/>
      <c r="I7" s="370"/>
      <c r="J7" s="370"/>
      <c r="K7" s="372"/>
      <c r="L7" s="260" t="s">
        <v>21</v>
      </c>
      <c r="M7" s="260"/>
      <c r="N7" s="260"/>
    </row>
    <row r="8" spans="1:14" s="255" customFormat="1" ht="14.25">
      <c r="A8" s="369"/>
      <c r="B8" s="370"/>
      <c r="C8" s="370"/>
      <c r="D8" s="370"/>
      <c r="E8" s="370"/>
      <c r="F8" s="373" t="s">
        <v>26</v>
      </c>
      <c r="G8" s="373" t="s">
        <v>27</v>
      </c>
      <c r="H8" s="370"/>
      <c r="I8" s="370"/>
      <c r="J8" s="370"/>
      <c r="K8" s="372"/>
      <c r="L8" s="254" t="s">
        <v>31</v>
      </c>
      <c r="M8" s="261" t="s">
        <v>32</v>
      </c>
      <c r="N8" s="262" t="s">
        <v>33</v>
      </c>
    </row>
    <row r="9" spans="1:14" s="270" customFormat="1" ht="14.25">
      <c r="A9" s="369"/>
      <c r="B9" s="370"/>
      <c r="C9" s="370"/>
      <c r="D9" s="370"/>
      <c r="E9" s="370"/>
      <c r="F9" s="373"/>
      <c r="G9" s="373"/>
      <c r="H9" s="370"/>
      <c r="I9" s="370"/>
      <c r="J9" s="370"/>
      <c r="K9" s="372"/>
      <c r="L9" s="268"/>
      <c r="M9" s="269"/>
      <c r="N9" s="268"/>
    </row>
    <row r="10" spans="1:14" s="282" customFormat="1" ht="21" customHeight="1">
      <c r="A10" s="374" t="s">
        <v>80</v>
      </c>
      <c r="B10" s="410" t="s">
        <v>38</v>
      </c>
      <c r="C10" s="411">
        <v>56000000</v>
      </c>
      <c r="D10" s="412">
        <v>38913</v>
      </c>
      <c r="E10" s="413">
        <v>38366</v>
      </c>
      <c r="F10" s="414" t="s">
        <v>36</v>
      </c>
      <c r="G10" s="415">
        <f>25+40+134+52</f>
        <v>251</v>
      </c>
      <c r="H10" s="416">
        <f>2659200+2137000+2800600+2600000</f>
        <v>10196800</v>
      </c>
      <c r="I10" s="417">
        <f>1279998.33+1592780.32+1677474.64+1557321.31</f>
        <v>6107574.6</v>
      </c>
      <c r="J10" s="418">
        <v>0.15</v>
      </c>
      <c r="K10" s="428" t="s">
        <v>82</v>
      </c>
      <c r="L10" s="279"/>
      <c r="M10" s="280"/>
      <c r="N10" s="281"/>
    </row>
    <row r="11" spans="1:14" s="282" customFormat="1" ht="15.75" customHeight="1">
      <c r="A11" s="374"/>
      <c r="B11" s="410"/>
      <c r="C11" s="411"/>
      <c r="D11" s="412"/>
      <c r="E11" s="412"/>
      <c r="F11" s="302" t="s">
        <v>172</v>
      </c>
      <c r="G11" s="303">
        <f>3000+2000+8590+15000</f>
        <v>28590</v>
      </c>
      <c r="H11" s="385">
        <f>2358000+62370000+11733940+25200000</f>
        <v>101661940</v>
      </c>
      <c r="I11" s="385">
        <f>1412370.64+37357742.45+7028274.95+15094037.35</f>
        <v>60892425.39000001</v>
      </c>
      <c r="J11" s="418"/>
      <c r="K11" s="428"/>
      <c r="L11" s="279"/>
      <c r="M11" s="280"/>
      <c r="N11" s="281"/>
    </row>
    <row r="12" spans="1:14" s="282" customFormat="1" ht="51.75">
      <c r="A12" s="374"/>
      <c r="B12" s="283" t="s">
        <v>88</v>
      </c>
      <c r="C12" s="376">
        <v>100000000</v>
      </c>
      <c r="D12" s="377">
        <v>38965</v>
      </c>
      <c r="E12" s="377">
        <v>38429</v>
      </c>
      <c r="F12" s="378" t="s">
        <v>231</v>
      </c>
      <c r="G12" s="379"/>
      <c r="H12" s="376">
        <v>129136700</v>
      </c>
      <c r="I12" s="376">
        <v>100000000</v>
      </c>
      <c r="J12" s="450" t="s">
        <v>232</v>
      </c>
      <c r="K12" s="381" t="s">
        <v>133</v>
      </c>
      <c r="L12" s="279"/>
      <c r="M12" s="280"/>
      <c r="N12" s="281"/>
    </row>
    <row r="13" spans="1:14" s="282" customFormat="1" ht="153.75">
      <c r="A13" s="374"/>
      <c r="B13" s="446" t="s">
        <v>36</v>
      </c>
      <c r="C13" s="440">
        <v>100000000</v>
      </c>
      <c r="D13" s="441">
        <v>39045</v>
      </c>
      <c r="E13" s="441">
        <v>38686</v>
      </c>
      <c r="F13" s="397" t="s">
        <v>231</v>
      </c>
      <c r="G13" s="442"/>
      <c r="H13" s="440">
        <v>226854111.78</v>
      </c>
      <c r="I13" s="440">
        <v>100000000</v>
      </c>
      <c r="J13" s="447">
        <v>0.13</v>
      </c>
      <c r="K13" s="381" t="s">
        <v>202</v>
      </c>
      <c r="L13" s="279"/>
      <c r="M13" s="280"/>
      <c r="N13" s="281"/>
    </row>
    <row r="14" spans="1:14" s="282" customFormat="1" ht="14.25">
      <c r="A14" s="374"/>
      <c r="B14" s="439" t="s">
        <v>38</v>
      </c>
      <c r="C14" s="440">
        <v>100000000</v>
      </c>
      <c r="D14" s="441">
        <v>39077</v>
      </c>
      <c r="E14" s="441">
        <v>38712</v>
      </c>
      <c r="F14" s="397" t="s">
        <v>38</v>
      </c>
      <c r="G14" s="442"/>
      <c r="H14" s="440"/>
      <c r="I14" s="440">
        <v>100000000</v>
      </c>
      <c r="J14" s="447">
        <v>0.115</v>
      </c>
      <c r="K14" s="381"/>
      <c r="L14" s="279"/>
      <c r="M14" s="280"/>
      <c r="N14" s="281"/>
    </row>
    <row r="15" spans="1:14" s="282" customFormat="1" ht="39">
      <c r="A15" s="374"/>
      <c r="B15" s="439" t="s">
        <v>36</v>
      </c>
      <c r="C15" s="440">
        <v>45000000</v>
      </c>
      <c r="D15" s="441">
        <v>39015</v>
      </c>
      <c r="E15" s="441">
        <v>38835</v>
      </c>
      <c r="F15" s="397" t="s">
        <v>38</v>
      </c>
      <c r="G15" s="442"/>
      <c r="H15" s="440"/>
      <c r="I15" s="440"/>
      <c r="J15" s="450" t="s">
        <v>233</v>
      </c>
      <c r="K15" s="381"/>
      <c r="L15" s="279"/>
      <c r="M15" s="280"/>
      <c r="N15" s="281"/>
    </row>
    <row r="16" spans="1:14" s="282" customFormat="1" ht="26.25">
      <c r="A16" s="374"/>
      <c r="B16" s="439" t="s">
        <v>88</v>
      </c>
      <c r="C16" s="440">
        <v>25000000</v>
      </c>
      <c r="D16" s="441">
        <v>38863</v>
      </c>
      <c r="E16" s="441">
        <v>38135</v>
      </c>
      <c r="F16" s="397" t="s">
        <v>38</v>
      </c>
      <c r="G16" s="442"/>
      <c r="H16" s="440">
        <v>30099572</v>
      </c>
      <c r="I16" s="440">
        <v>30099572</v>
      </c>
      <c r="J16" s="447">
        <v>0.117</v>
      </c>
      <c r="K16" s="381" t="s">
        <v>215</v>
      </c>
      <c r="L16" s="279"/>
      <c r="M16" s="280"/>
      <c r="N16" s="281"/>
    </row>
    <row r="17" spans="1:14" s="318" customFormat="1" ht="14.25">
      <c r="A17" s="374"/>
      <c r="B17" s="311" t="s">
        <v>38</v>
      </c>
      <c r="C17" s="386">
        <f>SUM(C10:C16)</f>
        <v>426000000</v>
      </c>
      <c r="D17" s="313"/>
      <c r="E17" s="312"/>
      <c r="F17" s="312" t="s">
        <v>234</v>
      </c>
      <c r="G17" s="312"/>
      <c r="H17" s="386">
        <f>SUM(H10:H16)</f>
        <v>497949123.78</v>
      </c>
      <c r="I17" s="386">
        <f>SUM(I10:I16)</f>
        <v>397099571.99</v>
      </c>
      <c r="J17" s="312"/>
      <c r="K17" s="328"/>
      <c r="L17" s="315">
        <f>SUM(L10:L12)</f>
        <v>0</v>
      </c>
      <c r="M17" s="316">
        <f>SUM(M10:M12)</f>
        <v>0</v>
      </c>
      <c r="N17" s="317" t="s">
        <v>42</v>
      </c>
    </row>
    <row r="18" spans="1:14" s="396" customFormat="1" ht="64.5">
      <c r="A18" s="451" t="s">
        <v>235</v>
      </c>
      <c r="B18" s="272" t="s">
        <v>38</v>
      </c>
      <c r="C18" s="376">
        <v>37000000</v>
      </c>
      <c r="D18" s="377">
        <v>39018</v>
      </c>
      <c r="E18" s="377">
        <v>38447</v>
      </c>
      <c r="F18" s="382" t="s">
        <v>36</v>
      </c>
      <c r="G18" s="379"/>
      <c r="H18" s="376">
        <f>97466554.88</f>
        <v>97466554.88</v>
      </c>
      <c r="I18" s="376">
        <f>45000000*1.18</f>
        <v>53100000</v>
      </c>
      <c r="J18" s="380">
        <v>0.15</v>
      </c>
      <c r="K18" s="435" t="s">
        <v>142</v>
      </c>
      <c r="L18" s="393"/>
      <c r="M18" s="394"/>
      <c r="N18" s="395"/>
    </row>
    <row r="19" spans="1:14" s="396" customFormat="1" ht="14.25">
      <c r="A19" s="451"/>
      <c r="B19" s="379" t="s">
        <v>38</v>
      </c>
      <c r="C19" s="452">
        <v>30000000</v>
      </c>
      <c r="D19" s="377">
        <v>38842</v>
      </c>
      <c r="E19" s="377">
        <v>38817</v>
      </c>
      <c r="F19" s="399" t="s">
        <v>38</v>
      </c>
      <c r="G19" s="442">
        <v>28</v>
      </c>
      <c r="H19" s="440">
        <v>30277688</v>
      </c>
      <c r="I19" s="440">
        <v>21194381</v>
      </c>
      <c r="J19" s="380">
        <v>0.12</v>
      </c>
      <c r="K19" s="292"/>
      <c r="L19" s="393"/>
      <c r="M19" s="394"/>
      <c r="N19" s="395"/>
    </row>
    <row r="20" spans="1:14" s="396" customFormat="1" ht="14.25">
      <c r="A20" s="451"/>
      <c r="B20" s="379"/>
      <c r="C20" s="452"/>
      <c r="D20" s="377"/>
      <c r="E20" s="377"/>
      <c r="F20" s="399" t="s">
        <v>36</v>
      </c>
      <c r="G20" s="442">
        <v>1</v>
      </c>
      <c r="H20" s="440">
        <v>25500000</v>
      </c>
      <c r="I20" s="440">
        <v>25000000</v>
      </c>
      <c r="J20" s="380"/>
      <c r="K20" s="292"/>
      <c r="L20" s="393"/>
      <c r="M20" s="394"/>
      <c r="N20" s="395"/>
    </row>
    <row r="21" spans="1:14" s="282" customFormat="1" ht="14.25">
      <c r="A21" s="451"/>
      <c r="B21" s="326" t="s">
        <v>41</v>
      </c>
      <c r="C21" s="402">
        <f>SUM(C18:C19)</f>
        <v>67000000</v>
      </c>
      <c r="D21" s="327"/>
      <c r="E21" s="327"/>
      <c r="F21" s="327"/>
      <c r="G21" s="327"/>
      <c r="H21" s="402">
        <f>SUM(H18:H20)</f>
        <v>153244242.88</v>
      </c>
      <c r="I21" s="402">
        <f>SUM(I18:I20)</f>
        <v>99294381</v>
      </c>
      <c r="J21" s="312"/>
      <c r="K21" s="328"/>
      <c r="L21" s="315" t="e">
        <f>SUM(#REF!)</f>
        <v>#REF!</v>
      </c>
      <c r="M21" s="316" t="e">
        <f>SUM(#REF!)</f>
        <v>#REF!</v>
      </c>
      <c r="N21" s="317" t="s">
        <v>42</v>
      </c>
    </row>
    <row r="22" spans="1:14" s="338" customFormat="1" ht="12.75" hidden="1">
      <c r="A22" s="329"/>
      <c r="B22" s="275"/>
      <c r="C22" s="403"/>
      <c r="D22" s="331"/>
      <c r="E22" s="332"/>
      <c r="F22" s="275"/>
      <c r="G22" s="275"/>
      <c r="H22" s="403"/>
      <c r="I22" s="403"/>
      <c r="J22" s="333"/>
      <c r="K22" s="334"/>
      <c r="L22" s="335" t="e">
        <f>C22*J22/365*#REF!</f>
        <v>#REF!</v>
      </c>
      <c r="M22" s="336">
        <v>1272986</v>
      </c>
      <c r="N22" s="337"/>
    </row>
    <row r="23" spans="1:14" s="338" customFormat="1" ht="12.75" hidden="1">
      <c r="A23" s="339"/>
      <c r="B23" s="340"/>
      <c r="C23" s="404"/>
      <c r="D23" s="341"/>
      <c r="E23" s="342"/>
      <c r="F23" s="302"/>
      <c r="G23" s="302"/>
      <c r="H23" s="404"/>
      <c r="I23" s="404"/>
      <c r="J23" s="333"/>
      <c r="K23" s="334"/>
      <c r="L23" s="343"/>
      <c r="M23" s="344"/>
      <c r="N23" s="337"/>
    </row>
    <row r="24" spans="1:14" s="338" customFormat="1" ht="12.75" hidden="1">
      <c r="A24" s="339"/>
      <c r="B24" s="345"/>
      <c r="C24" s="403"/>
      <c r="D24" s="331"/>
      <c r="E24" s="332"/>
      <c r="F24" s="275"/>
      <c r="G24" s="275"/>
      <c r="H24" s="403"/>
      <c r="I24" s="403"/>
      <c r="J24" s="346"/>
      <c r="K24" s="334"/>
      <c r="L24" s="335" t="e">
        <f>C24*J24/365*#REF!</f>
        <v>#REF!</v>
      </c>
      <c r="M24" s="344">
        <v>0</v>
      </c>
      <c r="N24" s="337"/>
    </row>
    <row r="25" spans="1:14" s="282" customFormat="1" ht="12.75" hidden="1">
      <c r="A25" s="310"/>
      <c r="B25" s="311" t="s">
        <v>41</v>
      </c>
      <c r="C25" s="386">
        <f>SUM(C22:C24)</f>
        <v>0</v>
      </c>
      <c r="D25" s="312"/>
      <c r="E25" s="312"/>
      <c r="F25" s="312"/>
      <c r="G25" s="312"/>
      <c r="H25" s="386">
        <f>SUM(H22:H24)</f>
        <v>0</v>
      </c>
      <c r="I25" s="386">
        <f>SUM(I22:I24)</f>
        <v>0</v>
      </c>
      <c r="J25" s="312"/>
      <c r="K25" s="314"/>
      <c r="L25" s="315" t="e">
        <f>SUM(L22:L24)</f>
        <v>#REF!</v>
      </c>
      <c r="M25" s="316">
        <f>SUM(M22:M24)</f>
        <v>1272986</v>
      </c>
      <c r="N25" s="317" t="s">
        <v>42</v>
      </c>
    </row>
    <row r="26" spans="1:14" s="354" customFormat="1" ht="14.25">
      <c r="A26" s="347" t="s">
        <v>59</v>
      </c>
      <c r="B26" s="347"/>
      <c r="C26" s="405">
        <f>C17+C21</f>
        <v>493000000</v>
      </c>
      <c r="D26" s="348"/>
      <c r="E26" s="348"/>
      <c r="F26" s="348"/>
      <c r="G26" s="348"/>
      <c r="H26" s="405">
        <f>H17+H21</f>
        <v>651193366.66</v>
      </c>
      <c r="I26" s="405">
        <f>I17+I21</f>
        <v>496393952.99</v>
      </c>
      <c r="J26" s="406"/>
      <c r="K26" s="437"/>
      <c r="L26" s="351" t="e">
        <f>L17+L21+L25+#REF!+#REF!</f>
        <v>#REF!</v>
      </c>
      <c r="M26" s="352" t="e">
        <f>M17+M21+M25+#REF!+#REF!</f>
        <v>#REF!</v>
      </c>
      <c r="N26" s="353" t="s">
        <v>42</v>
      </c>
    </row>
    <row r="27" spans="1:11" s="282" customFormat="1" ht="14.25">
      <c r="A27" s="355"/>
      <c r="B27" s="355"/>
      <c r="C27" s="356"/>
      <c r="D27" s="357"/>
      <c r="E27" s="358"/>
      <c r="F27" s="358"/>
      <c r="G27" s="358"/>
      <c r="H27" s="358"/>
      <c r="I27" s="358"/>
      <c r="J27" s="358"/>
      <c r="K27" s="358"/>
    </row>
    <row r="28" spans="1:11" s="282" customFormat="1" ht="14.25">
      <c r="A28" s="196"/>
      <c r="B28" s="355"/>
      <c r="C28" s="355"/>
      <c r="D28" s="357"/>
      <c r="E28" s="358"/>
      <c r="F28" s="358"/>
      <c r="G28" s="358"/>
      <c r="H28" s="358"/>
      <c r="I28" s="358"/>
      <c r="J28" s="358"/>
      <c r="K28" s="358"/>
    </row>
    <row r="29" spans="1:11" s="282" customFormat="1" ht="14.25">
      <c r="A29" s="359"/>
      <c r="B29" s="196" t="s">
        <v>236</v>
      </c>
      <c r="C29" s="355">
        <f>C30+C31</f>
        <v>55000000</v>
      </c>
      <c r="D29" s="357"/>
      <c r="E29" s="358"/>
      <c r="F29" s="358"/>
      <c r="G29" s="358"/>
      <c r="H29" s="358"/>
      <c r="I29" s="358"/>
      <c r="J29" s="358"/>
      <c r="K29" s="358"/>
    </row>
    <row r="30" spans="1:11" s="282" customFormat="1" ht="14.25">
      <c r="A30" s="359"/>
      <c r="B30" s="196" t="s">
        <v>49</v>
      </c>
      <c r="C30" s="355">
        <v>25000000</v>
      </c>
      <c r="D30" s="358"/>
      <c r="E30" s="358"/>
      <c r="F30" s="358"/>
      <c r="G30" s="358"/>
      <c r="H30" s="358"/>
      <c r="I30" s="358"/>
      <c r="J30" s="358"/>
      <c r="K30" s="358"/>
    </row>
    <row r="31" spans="1:11" s="282" customFormat="1" ht="14.25">
      <c r="A31" s="359"/>
      <c r="B31" s="355" t="s">
        <v>36</v>
      </c>
      <c r="C31" s="421">
        <v>30000000</v>
      </c>
      <c r="D31" s="364"/>
      <c r="E31" s="358"/>
      <c r="F31" s="358"/>
      <c r="G31" s="358"/>
      <c r="H31" s="358"/>
      <c r="I31" s="358"/>
      <c r="J31" s="358"/>
      <c r="K31" s="358"/>
    </row>
    <row r="32" spans="1:11" ht="14.25">
      <c r="A32" s="203"/>
      <c r="B32" s="360"/>
      <c r="C32" s="361"/>
      <c r="D32" s="203"/>
      <c r="E32" s="132"/>
      <c r="F32" s="132"/>
      <c r="G32" s="132"/>
      <c r="H32" s="132"/>
      <c r="I32" s="132"/>
      <c r="J32" s="132"/>
      <c r="K32" s="132"/>
    </row>
    <row r="33" spans="1:11" ht="14.25">
      <c r="A33" s="203"/>
      <c r="B33" s="360"/>
      <c r="C33" s="361"/>
      <c r="D33" s="203"/>
      <c r="E33" s="132"/>
      <c r="F33" s="132"/>
      <c r="G33" s="132"/>
      <c r="H33" s="132"/>
      <c r="I33" s="132"/>
      <c r="J33" s="132"/>
      <c r="K33" s="132"/>
    </row>
    <row r="34" spans="1:11" ht="17.25" customHeight="1">
      <c r="A34" s="204"/>
      <c r="B34" s="360"/>
      <c r="C34" s="361"/>
      <c r="D34" s="195"/>
      <c r="E34" s="132"/>
      <c r="F34" s="132"/>
      <c r="G34" s="132"/>
      <c r="H34" s="132"/>
      <c r="I34" s="132"/>
      <c r="J34" s="132"/>
      <c r="K34" s="132"/>
    </row>
    <row r="35" spans="1:11" s="207" customFormat="1" ht="16.5">
      <c r="A35" s="409" t="s">
        <v>107</v>
      </c>
      <c r="B35" s="409"/>
      <c r="C35" s="409"/>
      <c r="D35" s="409"/>
      <c r="E35" s="409"/>
      <c r="F35" s="409"/>
      <c r="G35" s="409"/>
      <c r="H35" s="409"/>
      <c r="I35" s="409"/>
      <c r="J35" s="409"/>
      <c r="K35" s="409"/>
    </row>
    <row r="38" ht="16.5" customHeight="1"/>
    <row r="40" spans="1:2" ht="14.25">
      <c r="A40" s="362" t="s">
        <v>61</v>
      </c>
      <c r="B40" s="363"/>
    </row>
    <row r="41" spans="1:2" ht="14.25">
      <c r="A41" s="362" t="s">
        <v>110</v>
      </c>
      <c r="B41" s="362"/>
    </row>
    <row r="42" ht="14.25">
      <c r="A42" s="208"/>
    </row>
  </sheetData>
  <mergeCells count="35">
    <mergeCell ref="A1:K1"/>
    <mergeCell ref="A2:K2"/>
    <mergeCell ref="A4:K4"/>
    <mergeCell ref="A6:A9"/>
    <mergeCell ref="B6:B9"/>
    <mergeCell ref="C6:C9"/>
    <mergeCell ref="D6:D9"/>
    <mergeCell ref="E6:E9"/>
    <mergeCell ref="F6:G7"/>
    <mergeCell ref="H6:H9"/>
    <mergeCell ref="I6:I9"/>
    <mergeCell ref="J6:J9"/>
    <mergeCell ref="K6:K9"/>
    <mergeCell ref="L6:N6"/>
    <mergeCell ref="L7:N7"/>
    <mergeCell ref="F8:F9"/>
    <mergeCell ref="G8:G9"/>
    <mergeCell ref="A10:A17"/>
    <mergeCell ref="B10:B11"/>
    <mergeCell ref="C10:C11"/>
    <mergeCell ref="D10:D11"/>
    <mergeCell ref="E10:E11"/>
    <mergeCell ref="J10:J11"/>
    <mergeCell ref="K10:K11"/>
    <mergeCell ref="A18:A21"/>
    <mergeCell ref="B19:B20"/>
    <mergeCell ref="C19:C20"/>
    <mergeCell ref="D19:D20"/>
    <mergeCell ref="E19:E20"/>
    <mergeCell ref="J19:J20"/>
    <mergeCell ref="J22:J23"/>
    <mergeCell ref="K22:K24"/>
    <mergeCell ref="A26:B26"/>
    <mergeCell ref="A27:B27"/>
    <mergeCell ref="A35:K35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workbookViewId="0" topLeftCell="C1">
      <selection activeCell="B30" sqref="B30"/>
    </sheetView>
  </sheetViews>
  <sheetFormatPr defaultColWidth="9.00390625" defaultRowHeight="12.75"/>
  <cols>
    <col min="1" max="1" width="30.875" style="1" customWidth="1"/>
    <col min="2" max="2" width="27.00390625" style="0" customWidth="1"/>
    <col min="3" max="3" width="15.125" style="0" customWidth="1"/>
    <col min="4" max="4" width="13.875" style="2" customWidth="1"/>
    <col min="5" max="5" width="14.875" style="0" customWidth="1"/>
    <col min="6" max="6" width="38.25390625" style="0" customWidth="1"/>
    <col min="7" max="7" width="8.25390625" style="0" customWidth="1"/>
    <col min="8" max="8" width="15.125" style="0" customWidth="1"/>
    <col min="9" max="9" width="14.625" style="0" customWidth="1"/>
    <col min="10" max="10" width="11.375" style="0" customWidth="1"/>
    <col min="11" max="14" width="0" style="0" hidden="1" customWidth="1"/>
    <col min="15" max="15" width="22.00390625" style="0" customWidth="1"/>
  </cols>
  <sheetData>
    <row r="1" spans="1:11" ht="16.5">
      <c r="A1" s="365" t="s">
        <v>119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1" ht="16.5">
      <c r="A2" s="365" t="s">
        <v>110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 ht="16.5">
      <c r="A3" s="366"/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11" ht="12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</row>
    <row r="5" ht="12">
      <c r="K5" s="368" t="s">
        <v>121</v>
      </c>
    </row>
    <row r="6" spans="1:14" s="255" customFormat="1" ht="14.25">
      <c r="A6" s="369" t="s">
        <v>122</v>
      </c>
      <c r="B6" s="370" t="s">
        <v>123</v>
      </c>
      <c r="C6" s="370" t="s">
        <v>124</v>
      </c>
      <c r="D6" s="370" t="s">
        <v>125</v>
      </c>
      <c r="E6" s="370" t="s">
        <v>126</v>
      </c>
      <c r="F6" s="371" t="s">
        <v>127</v>
      </c>
      <c r="G6" s="371"/>
      <c r="H6" s="370" t="s">
        <v>128</v>
      </c>
      <c r="I6" s="370" t="s">
        <v>129</v>
      </c>
      <c r="J6" s="370" t="s">
        <v>130</v>
      </c>
      <c r="K6" s="372" t="s">
        <v>131</v>
      </c>
      <c r="L6" s="254" t="s">
        <v>10</v>
      </c>
      <c r="M6" s="254"/>
      <c r="N6" s="254"/>
    </row>
    <row r="7" spans="1:14" s="255" customFormat="1" ht="14.25">
      <c r="A7" s="369"/>
      <c r="B7" s="370"/>
      <c r="C7" s="370"/>
      <c r="D7" s="370"/>
      <c r="E7" s="370"/>
      <c r="F7" s="371"/>
      <c r="G7" s="371"/>
      <c r="H7" s="370"/>
      <c r="I7" s="370"/>
      <c r="J7" s="370"/>
      <c r="K7" s="372"/>
      <c r="L7" s="260" t="s">
        <v>21</v>
      </c>
      <c r="M7" s="260"/>
      <c r="N7" s="260"/>
    </row>
    <row r="8" spans="1:14" s="255" customFormat="1" ht="14.25">
      <c r="A8" s="369"/>
      <c r="B8" s="370"/>
      <c r="C8" s="370"/>
      <c r="D8" s="370"/>
      <c r="E8" s="370"/>
      <c r="F8" s="373" t="s">
        <v>26</v>
      </c>
      <c r="G8" s="373" t="s">
        <v>27</v>
      </c>
      <c r="H8" s="370"/>
      <c r="I8" s="370"/>
      <c r="J8" s="370"/>
      <c r="K8" s="372"/>
      <c r="L8" s="254" t="s">
        <v>31</v>
      </c>
      <c r="M8" s="261" t="s">
        <v>32</v>
      </c>
      <c r="N8" s="262" t="s">
        <v>33</v>
      </c>
    </row>
    <row r="9" spans="1:14" s="270" customFormat="1" ht="14.25">
      <c r="A9" s="369"/>
      <c r="B9" s="370"/>
      <c r="C9" s="370"/>
      <c r="D9" s="370"/>
      <c r="E9" s="370"/>
      <c r="F9" s="373"/>
      <c r="G9" s="373"/>
      <c r="H9" s="370"/>
      <c r="I9" s="370"/>
      <c r="J9" s="370"/>
      <c r="K9" s="372"/>
      <c r="L9" s="268"/>
      <c r="M9" s="269"/>
      <c r="N9" s="268"/>
    </row>
    <row r="10" spans="1:14" s="282" customFormat="1" ht="21" customHeight="1">
      <c r="A10" s="374" t="s">
        <v>237</v>
      </c>
      <c r="B10" s="410" t="s">
        <v>162</v>
      </c>
      <c r="C10" s="411">
        <v>56000000</v>
      </c>
      <c r="D10" s="412">
        <v>38911</v>
      </c>
      <c r="E10" s="413">
        <v>38366</v>
      </c>
      <c r="F10" s="414" t="s">
        <v>238</v>
      </c>
      <c r="G10" s="415">
        <f>25+40+134+52</f>
        <v>251</v>
      </c>
      <c r="H10" s="416">
        <f>2659200+2137000+2800600+2600000</f>
        <v>10196800</v>
      </c>
      <c r="I10" s="417">
        <f>1279998.33+1592780.32+1677474.64+1557321.31</f>
        <v>6107574.6</v>
      </c>
      <c r="J10" s="418">
        <v>0.15</v>
      </c>
      <c r="K10" s="428" t="s">
        <v>82</v>
      </c>
      <c r="L10" s="279"/>
      <c r="M10" s="280"/>
      <c r="N10" s="281"/>
    </row>
    <row r="11" spans="1:14" s="282" customFormat="1" ht="15.75" customHeight="1">
      <c r="A11" s="374"/>
      <c r="B11" s="410"/>
      <c r="C11" s="411"/>
      <c r="D11" s="412"/>
      <c r="E11" s="412"/>
      <c r="F11" s="302" t="s">
        <v>239</v>
      </c>
      <c r="G11" s="303">
        <f>3000+2000+8590+15000</f>
        <v>28590</v>
      </c>
      <c r="H11" s="385">
        <f>2358000+62370000+11733940+25200000</f>
        <v>101661940</v>
      </c>
      <c r="I11" s="385">
        <f>1412370.64+37357742.45+7028274.95+15094037.35</f>
        <v>60892425.39000001</v>
      </c>
      <c r="J11" s="418"/>
      <c r="K11" s="428"/>
      <c r="L11" s="279"/>
      <c r="M11" s="280"/>
      <c r="N11" s="281"/>
    </row>
    <row r="12" spans="1:14" s="282" customFormat="1" ht="51.75">
      <c r="A12" s="374"/>
      <c r="B12" s="283" t="s">
        <v>88</v>
      </c>
      <c r="C12" s="376">
        <v>100000000</v>
      </c>
      <c r="D12" s="377">
        <v>38965</v>
      </c>
      <c r="E12" s="377">
        <v>38429</v>
      </c>
      <c r="F12" s="378" t="s">
        <v>38</v>
      </c>
      <c r="G12" s="379"/>
      <c r="H12" s="376">
        <v>129136700</v>
      </c>
      <c r="I12" s="376">
        <v>100000000</v>
      </c>
      <c r="J12" s="450" t="s">
        <v>232</v>
      </c>
      <c r="K12" s="381" t="s">
        <v>133</v>
      </c>
      <c r="L12" s="279"/>
      <c r="M12" s="280"/>
      <c r="N12" s="281"/>
    </row>
    <row r="13" spans="1:14" s="282" customFormat="1" ht="153.75">
      <c r="A13" s="374"/>
      <c r="B13" s="446" t="s">
        <v>162</v>
      </c>
      <c r="C13" s="440">
        <v>100000000</v>
      </c>
      <c r="D13" s="441">
        <v>39045</v>
      </c>
      <c r="E13" s="441">
        <v>38686</v>
      </c>
      <c r="F13" s="397" t="s">
        <v>38</v>
      </c>
      <c r="G13" s="442"/>
      <c r="H13" s="440">
        <v>226854111.78</v>
      </c>
      <c r="I13" s="440">
        <v>100000000</v>
      </c>
      <c r="J13" s="447">
        <v>0.13</v>
      </c>
      <c r="K13" s="381" t="s">
        <v>202</v>
      </c>
      <c r="L13" s="279"/>
      <c r="M13" s="280"/>
      <c r="N13" s="281"/>
    </row>
    <row r="14" spans="1:14" s="282" customFormat="1" ht="14.25">
      <c r="A14" s="374"/>
      <c r="B14" s="439" t="s">
        <v>38</v>
      </c>
      <c r="C14" s="440">
        <v>100000000</v>
      </c>
      <c r="D14" s="441">
        <v>39071</v>
      </c>
      <c r="E14" s="441">
        <v>38712</v>
      </c>
      <c r="F14" s="397" t="s">
        <v>36</v>
      </c>
      <c r="G14" s="442"/>
      <c r="H14" s="440"/>
      <c r="I14" s="440">
        <v>100000000</v>
      </c>
      <c r="J14" s="447">
        <v>0.115</v>
      </c>
      <c r="K14" s="381"/>
      <c r="L14" s="279"/>
      <c r="M14" s="280"/>
      <c r="N14" s="281"/>
    </row>
    <row r="15" spans="1:14" s="282" customFormat="1" ht="39">
      <c r="A15" s="374"/>
      <c r="B15" s="446" t="s">
        <v>38</v>
      </c>
      <c r="C15" s="440">
        <v>45000000</v>
      </c>
      <c r="D15" s="441">
        <v>39015</v>
      </c>
      <c r="E15" s="441">
        <v>38835</v>
      </c>
      <c r="F15" s="397" t="s">
        <v>88</v>
      </c>
      <c r="G15" s="442"/>
      <c r="H15" s="440"/>
      <c r="I15" s="440"/>
      <c r="J15" s="450" t="s">
        <v>233</v>
      </c>
      <c r="K15" s="381"/>
      <c r="L15" s="279"/>
      <c r="M15" s="280"/>
      <c r="N15" s="281"/>
    </row>
    <row r="16" spans="1:14" s="282" customFormat="1" ht="39">
      <c r="A16" s="374"/>
      <c r="B16" s="446" t="s">
        <v>162</v>
      </c>
      <c r="C16" s="440">
        <v>50000000</v>
      </c>
      <c r="D16" s="441">
        <v>39227</v>
      </c>
      <c r="E16" s="441">
        <v>38868</v>
      </c>
      <c r="F16" s="397" t="s">
        <v>38</v>
      </c>
      <c r="G16" s="442"/>
      <c r="H16" s="440"/>
      <c r="I16" s="440"/>
      <c r="J16" s="450" t="s">
        <v>233</v>
      </c>
      <c r="K16" s="381" t="s">
        <v>215</v>
      </c>
      <c r="L16" s="279"/>
      <c r="M16" s="280"/>
      <c r="N16" s="281"/>
    </row>
    <row r="17" spans="1:14" s="318" customFormat="1" ht="14.25">
      <c r="A17" s="374"/>
      <c r="B17" s="311" t="s">
        <v>162</v>
      </c>
      <c r="C17" s="386">
        <f>SUM(C10:C16)</f>
        <v>451000000</v>
      </c>
      <c r="D17" s="313"/>
      <c r="E17" s="312"/>
      <c r="F17" s="312" t="s">
        <v>38</v>
      </c>
      <c r="G17" s="312"/>
      <c r="H17" s="386">
        <f>SUM(H10:H16)</f>
        <v>467849551.78</v>
      </c>
      <c r="I17" s="386">
        <f>SUM(I10:I16)</f>
        <v>366999999.99</v>
      </c>
      <c r="J17" s="312"/>
      <c r="K17" s="328"/>
      <c r="L17" s="315">
        <f>SUM(L10:L12)</f>
        <v>0</v>
      </c>
      <c r="M17" s="316">
        <f>SUM(M10:M12)</f>
        <v>0</v>
      </c>
      <c r="N17" s="317" t="s">
        <v>42</v>
      </c>
    </row>
    <row r="18" spans="1:14" s="396" customFormat="1" ht="64.5">
      <c r="A18" s="451" t="s">
        <v>235</v>
      </c>
      <c r="B18" s="272" t="s">
        <v>162</v>
      </c>
      <c r="C18" s="376">
        <v>37000000</v>
      </c>
      <c r="D18" s="377">
        <v>39018</v>
      </c>
      <c r="E18" s="377">
        <v>38447</v>
      </c>
      <c r="F18" s="382" t="s">
        <v>36</v>
      </c>
      <c r="G18" s="379"/>
      <c r="H18" s="376">
        <f>97466554.88</f>
        <v>97466554.88</v>
      </c>
      <c r="I18" s="376">
        <f>45000000*1.18</f>
        <v>53100000</v>
      </c>
      <c r="J18" s="380">
        <v>0.15</v>
      </c>
      <c r="K18" s="435" t="s">
        <v>142</v>
      </c>
      <c r="L18" s="393"/>
      <c r="M18" s="394"/>
      <c r="N18" s="395"/>
    </row>
    <row r="19" spans="1:14" s="396" customFormat="1" ht="14.25">
      <c r="A19" s="451"/>
      <c r="B19" s="379" t="s">
        <v>162</v>
      </c>
      <c r="C19" s="452">
        <v>31000000</v>
      </c>
      <c r="D19" s="377">
        <v>38877</v>
      </c>
      <c r="E19" s="377">
        <v>38847</v>
      </c>
      <c r="F19" s="399" t="s">
        <v>36</v>
      </c>
      <c r="G19" s="442">
        <v>28</v>
      </c>
      <c r="H19" s="440">
        <v>30277688</v>
      </c>
      <c r="I19" s="440">
        <v>21194381</v>
      </c>
      <c r="J19" s="380">
        <v>0.12</v>
      </c>
      <c r="K19" s="292"/>
      <c r="L19" s="393"/>
      <c r="M19" s="394"/>
      <c r="N19" s="395"/>
    </row>
    <row r="20" spans="1:14" s="396" customFormat="1" ht="14.25">
      <c r="A20" s="451"/>
      <c r="B20" s="379"/>
      <c r="C20" s="452"/>
      <c r="D20" s="377"/>
      <c r="E20" s="377"/>
      <c r="F20" s="399" t="s">
        <v>172</v>
      </c>
      <c r="G20" s="442">
        <v>1</v>
      </c>
      <c r="H20" s="440">
        <v>25500000</v>
      </c>
      <c r="I20" s="440">
        <v>25000000</v>
      </c>
      <c r="J20" s="380"/>
      <c r="K20" s="292"/>
      <c r="L20" s="393"/>
      <c r="M20" s="394"/>
      <c r="N20" s="395"/>
    </row>
    <row r="21" spans="1:14" s="282" customFormat="1" ht="14.25">
      <c r="A21" s="451"/>
      <c r="B21" s="326" t="s">
        <v>41</v>
      </c>
      <c r="C21" s="402">
        <f>SUM(C18:C19)</f>
        <v>68000000</v>
      </c>
      <c r="D21" s="327"/>
      <c r="E21" s="327"/>
      <c r="F21" s="327"/>
      <c r="G21" s="327"/>
      <c r="H21" s="402">
        <f>SUM(H18:H20)</f>
        <v>153244242.88</v>
      </c>
      <c r="I21" s="402">
        <f>SUM(I18:I20)</f>
        <v>99294381</v>
      </c>
      <c r="J21" s="312"/>
      <c r="K21" s="328"/>
      <c r="L21" s="315" t="e">
        <f>SUM(#REF!)</f>
        <v>#REF!</v>
      </c>
      <c r="M21" s="316" t="e">
        <f>SUM(#REF!)</f>
        <v>#REF!</v>
      </c>
      <c r="N21" s="317" t="s">
        <v>42</v>
      </c>
    </row>
    <row r="22" spans="1:14" s="338" customFormat="1" ht="12.75" hidden="1">
      <c r="A22" s="329"/>
      <c r="B22" s="275"/>
      <c r="C22" s="403"/>
      <c r="D22" s="331"/>
      <c r="E22" s="332"/>
      <c r="F22" s="275"/>
      <c r="G22" s="275"/>
      <c r="H22" s="403"/>
      <c r="I22" s="403"/>
      <c r="J22" s="333"/>
      <c r="K22" s="334"/>
      <c r="L22" s="335" t="e">
        <f>C22*J22/365*#REF!</f>
        <v>#REF!</v>
      </c>
      <c r="M22" s="336">
        <v>1272986</v>
      </c>
      <c r="N22" s="337"/>
    </row>
    <row r="23" spans="1:14" s="338" customFormat="1" ht="12.75" hidden="1">
      <c r="A23" s="339"/>
      <c r="B23" s="340"/>
      <c r="C23" s="404"/>
      <c r="D23" s="341"/>
      <c r="E23" s="342"/>
      <c r="F23" s="302"/>
      <c r="G23" s="302"/>
      <c r="H23" s="404"/>
      <c r="I23" s="404"/>
      <c r="J23" s="333"/>
      <c r="K23" s="334"/>
      <c r="L23" s="343"/>
      <c r="M23" s="344"/>
      <c r="N23" s="337"/>
    </row>
    <row r="24" spans="1:14" s="338" customFormat="1" ht="12.75" hidden="1">
      <c r="A24" s="339"/>
      <c r="B24" s="345"/>
      <c r="C24" s="403"/>
      <c r="D24" s="331"/>
      <c r="E24" s="332"/>
      <c r="F24" s="275"/>
      <c r="G24" s="275"/>
      <c r="H24" s="403"/>
      <c r="I24" s="403"/>
      <c r="J24" s="346"/>
      <c r="K24" s="334"/>
      <c r="L24" s="335" t="e">
        <f>C24*J24/365*#REF!</f>
        <v>#REF!</v>
      </c>
      <c r="M24" s="344">
        <v>0</v>
      </c>
      <c r="N24" s="337"/>
    </row>
    <row r="25" spans="1:14" s="282" customFormat="1" ht="12.75" hidden="1">
      <c r="A25" s="310"/>
      <c r="B25" s="311" t="s">
        <v>41</v>
      </c>
      <c r="C25" s="386">
        <f>SUM(C22:C24)</f>
        <v>0</v>
      </c>
      <c r="D25" s="312"/>
      <c r="E25" s="312"/>
      <c r="F25" s="312"/>
      <c r="G25" s="312"/>
      <c r="H25" s="386">
        <f>SUM(H22:H24)</f>
        <v>0</v>
      </c>
      <c r="I25" s="386">
        <f>SUM(I22:I24)</f>
        <v>0</v>
      </c>
      <c r="J25" s="312"/>
      <c r="K25" s="314"/>
      <c r="L25" s="315" t="e">
        <f>SUM(L22:L24)</f>
        <v>#REF!</v>
      </c>
      <c r="M25" s="316">
        <f>SUM(M22:M24)</f>
        <v>1272986</v>
      </c>
      <c r="N25" s="317" t="s">
        <v>42</v>
      </c>
    </row>
    <row r="26" spans="1:14" s="354" customFormat="1" ht="14.25">
      <c r="A26" s="347" t="s">
        <v>59</v>
      </c>
      <c r="B26" s="347"/>
      <c r="C26" s="405">
        <f>C17+C21</f>
        <v>519000000</v>
      </c>
      <c r="D26" s="348"/>
      <c r="E26" s="348"/>
      <c r="F26" s="348"/>
      <c r="G26" s="348"/>
      <c r="H26" s="405">
        <f>H17+H21</f>
        <v>621093794.66</v>
      </c>
      <c r="I26" s="405">
        <f>I17+I21</f>
        <v>466294380.99</v>
      </c>
      <c r="J26" s="406"/>
      <c r="K26" s="437"/>
      <c r="L26" s="351" t="e">
        <f>L17+L21+L25+#REF!+#REF!</f>
        <v>#REF!</v>
      </c>
      <c r="M26" s="352" t="e">
        <f>M17+M21+M25+#REF!+#REF!</f>
        <v>#REF!</v>
      </c>
      <c r="N26" s="353" t="s">
        <v>42</v>
      </c>
    </row>
    <row r="27" spans="1:11" s="282" customFormat="1" ht="14.25">
      <c r="A27" s="355"/>
      <c r="B27" s="355"/>
      <c r="C27" s="356"/>
      <c r="D27" s="357"/>
      <c r="E27" s="358"/>
      <c r="F27" s="358"/>
      <c r="G27" s="358"/>
      <c r="H27" s="358"/>
      <c r="I27" s="358"/>
      <c r="J27" s="358"/>
      <c r="K27" s="358"/>
    </row>
    <row r="28" spans="1:11" s="282" customFormat="1" ht="14.25">
      <c r="A28" s="196"/>
      <c r="B28" s="355"/>
      <c r="C28" s="355"/>
      <c r="D28" s="357"/>
      <c r="E28" s="358"/>
      <c r="F28" s="358"/>
      <c r="G28" s="358"/>
      <c r="H28" s="358"/>
      <c r="I28" s="358"/>
      <c r="J28" s="358"/>
      <c r="K28" s="358"/>
    </row>
    <row r="29" spans="1:11" s="282" customFormat="1" ht="14.25">
      <c r="A29" s="359"/>
      <c r="B29" s="196" t="s">
        <v>240</v>
      </c>
      <c r="C29" s="355">
        <f>C30+C31</f>
        <v>31000000</v>
      </c>
      <c r="D29" s="357"/>
      <c r="E29" s="358"/>
      <c r="F29" s="358"/>
      <c r="G29" s="358"/>
      <c r="H29" s="358"/>
      <c r="I29" s="358"/>
      <c r="J29" s="358"/>
      <c r="K29" s="358"/>
    </row>
    <row r="30" spans="1:11" s="282" customFormat="1" ht="14.25">
      <c r="A30" s="359"/>
      <c r="B30" s="196" t="s">
        <v>162</v>
      </c>
      <c r="C30" s="355">
        <v>0</v>
      </c>
      <c r="D30" s="358"/>
      <c r="E30" s="358"/>
      <c r="F30" s="358"/>
      <c r="G30" s="358"/>
      <c r="H30" s="358"/>
      <c r="I30" s="358"/>
      <c r="J30" s="358"/>
      <c r="K30" s="358"/>
    </row>
    <row r="31" spans="1:11" s="282" customFormat="1" ht="14.25">
      <c r="A31" s="359"/>
      <c r="B31" s="355" t="s">
        <v>38</v>
      </c>
      <c r="C31" s="421">
        <v>31000000</v>
      </c>
      <c r="D31" s="364"/>
      <c r="E31" s="358"/>
      <c r="F31" s="358"/>
      <c r="G31" s="358"/>
      <c r="H31" s="358"/>
      <c r="I31" s="358"/>
      <c r="J31" s="358"/>
      <c r="K31" s="358"/>
    </row>
    <row r="32" spans="1:11" ht="14.25">
      <c r="A32" s="203"/>
      <c r="B32" s="360"/>
      <c r="C32" s="361"/>
      <c r="D32" s="203"/>
      <c r="E32" s="132"/>
      <c r="F32" s="132"/>
      <c r="G32" s="132"/>
      <c r="H32" s="132"/>
      <c r="I32" s="132"/>
      <c r="J32" s="132"/>
      <c r="K32" s="132"/>
    </row>
    <row r="33" spans="1:11" ht="14.25">
      <c r="A33" s="203"/>
      <c r="B33" s="360"/>
      <c r="C33" s="361"/>
      <c r="D33" s="203"/>
      <c r="E33" s="132"/>
      <c r="F33" s="132"/>
      <c r="G33" s="132"/>
      <c r="H33" s="132"/>
      <c r="I33" s="132"/>
      <c r="J33" s="132"/>
      <c r="K33" s="132"/>
    </row>
    <row r="34" spans="1:11" ht="17.25" customHeight="1">
      <c r="A34" s="204"/>
      <c r="B34" s="360"/>
      <c r="C34" s="361"/>
      <c r="D34" s="195"/>
      <c r="E34" s="132"/>
      <c r="F34" s="132"/>
      <c r="G34" s="132"/>
      <c r="H34" s="132"/>
      <c r="I34" s="132"/>
      <c r="J34" s="132"/>
      <c r="K34" s="132"/>
    </row>
    <row r="35" spans="1:11" s="207" customFormat="1" ht="16.5">
      <c r="A35" s="409" t="s">
        <v>241</v>
      </c>
      <c r="B35" s="409"/>
      <c r="C35" s="409"/>
      <c r="D35" s="409"/>
      <c r="E35" s="409"/>
      <c r="F35" s="409"/>
      <c r="G35" s="409"/>
      <c r="H35" s="409"/>
      <c r="I35" s="409"/>
      <c r="J35" s="409"/>
      <c r="K35" s="409"/>
    </row>
    <row r="38" ht="16.5" customHeight="1"/>
    <row r="40" spans="1:2" ht="14.25">
      <c r="A40" s="362" t="s">
        <v>61</v>
      </c>
      <c r="B40" s="363"/>
    </row>
    <row r="41" spans="1:2" ht="14.25">
      <c r="A41" s="362" t="s">
        <v>80</v>
      </c>
      <c r="B41" s="362"/>
    </row>
    <row r="42" ht="14.25">
      <c r="A42" s="208"/>
    </row>
  </sheetData>
  <mergeCells count="35">
    <mergeCell ref="A1:K1"/>
    <mergeCell ref="A2:K2"/>
    <mergeCell ref="A4:K4"/>
    <mergeCell ref="A6:A9"/>
    <mergeCell ref="B6:B9"/>
    <mergeCell ref="C6:C9"/>
    <mergeCell ref="D6:D9"/>
    <mergeCell ref="E6:E9"/>
    <mergeCell ref="F6:G7"/>
    <mergeCell ref="H6:H9"/>
    <mergeCell ref="I6:I9"/>
    <mergeCell ref="J6:J9"/>
    <mergeCell ref="K6:K9"/>
    <mergeCell ref="L6:N6"/>
    <mergeCell ref="L7:N7"/>
    <mergeCell ref="F8:F9"/>
    <mergeCell ref="G8:G9"/>
    <mergeCell ref="A10:A17"/>
    <mergeCell ref="B10:B11"/>
    <mergeCell ref="C10:C11"/>
    <mergeCell ref="D10:D11"/>
    <mergeCell ref="E10:E11"/>
    <mergeCell ref="J10:J11"/>
    <mergeCell ref="K10:K11"/>
    <mergeCell ref="A18:A21"/>
    <mergeCell ref="B19:B20"/>
    <mergeCell ref="C19:C20"/>
    <mergeCell ref="D19:D20"/>
    <mergeCell ref="E19:E20"/>
    <mergeCell ref="J19:J20"/>
    <mergeCell ref="J22:J23"/>
    <mergeCell ref="K22:K24"/>
    <mergeCell ref="A26:B26"/>
    <mergeCell ref="A27:B27"/>
    <mergeCell ref="A35:K35"/>
  </mergeCells>
  <printOptions horizontalCentered="1"/>
  <pageMargins left="0.5" right="0.44027777777777777" top="0.5201388888888889" bottom="0.49027777777777776" header="0.5118055555555555" footer="0.5118055555555555"/>
  <pageSetup fitToHeight="1" fitToWidth="1" horizontalDpi="300" verticalDpi="3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workbookViewId="0" topLeftCell="A19">
      <selection activeCell="F10" sqref="F10"/>
    </sheetView>
  </sheetViews>
  <sheetFormatPr defaultColWidth="9.00390625" defaultRowHeight="12.75"/>
  <cols>
    <col min="1" max="1" width="30.875" style="1" customWidth="1"/>
    <col min="2" max="2" width="28.875" style="0" customWidth="1"/>
    <col min="3" max="3" width="15.125" style="0" customWidth="1"/>
    <col min="4" max="4" width="13.875" style="2" customWidth="1"/>
    <col min="5" max="5" width="14.875" style="0" customWidth="1"/>
    <col min="6" max="6" width="38.25390625" style="0" customWidth="1"/>
    <col min="7" max="7" width="8.25390625" style="0" customWidth="1"/>
    <col min="8" max="8" width="15.125" style="0" customWidth="1"/>
    <col min="9" max="9" width="14.625" style="0" customWidth="1"/>
    <col min="10" max="10" width="11.375" style="0" customWidth="1"/>
    <col min="11" max="14" width="0" style="0" hidden="1" customWidth="1"/>
    <col min="15" max="15" width="22.00390625" style="0" customWidth="1"/>
  </cols>
  <sheetData>
    <row r="1" spans="1:11" ht="16.5">
      <c r="A1" s="365" t="s">
        <v>119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1" ht="16.5">
      <c r="A2" s="365" t="s">
        <v>107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 ht="16.5">
      <c r="A3" s="366"/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11" ht="12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</row>
    <row r="5" ht="12">
      <c r="K5" s="368" t="s">
        <v>121</v>
      </c>
    </row>
    <row r="6" spans="1:14" s="255" customFormat="1" ht="14.25">
      <c r="A6" s="369" t="s">
        <v>122</v>
      </c>
      <c r="B6" s="370" t="s">
        <v>38</v>
      </c>
      <c r="C6" s="370" t="s">
        <v>124</v>
      </c>
      <c r="D6" s="370" t="s">
        <v>125</v>
      </c>
      <c r="E6" s="370" t="s">
        <v>126</v>
      </c>
      <c r="F6" s="371" t="s">
        <v>127</v>
      </c>
      <c r="G6" s="371"/>
      <c r="H6" s="370" t="s">
        <v>128</v>
      </c>
      <c r="I6" s="370" t="s">
        <v>129</v>
      </c>
      <c r="J6" s="370" t="s">
        <v>130</v>
      </c>
      <c r="K6" s="372" t="s">
        <v>131</v>
      </c>
      <c r="L6" s="254" t="s">
        <v>10</v>
      </c>
      <c r="M6" s="254"/>
      <c r="N6" s="254"/>
    </row>
    <row r="7" spans="1:14" s="255" customFormat="1" ht="14.25">
      <c r="A7" s="369"/>
      <c r="B7" s="370"/>
      <c r="C7" s="370"/>
      <c r="D7" s="370"/>
      <c r="E7" s="370"/>
      <c r="F7" s="371"/>
      <c r="G7" s="371"/>
      <c r="H7" s="370"/>
      <c r="I7" s="370"/>
      <c r="J7" s="370"/>
      <c r="K7" s="372"/>
      <c r="L7" s="260" t="s">
        <v>21</v>
      </c>
      <c r="M7" s="260"/>
      <c r="N7" s="260"/>
    </row>
    <row r="8" spans="1:14" s="255" customFormat="1" ht="14.25">
      <c r="A8" s="369"/>
      <c r="B8" s="370"/>
      <c r="C8" s="370"/>
      <c r="D8" s="370"/>
      <c r="E8" s="370"/>
      <c r="F8" s="373" t="s">
        <v>26</v>
      </c>
      <c r="G8" s="373" t="s">
        <v>27</v>
      </c>
      <c r="H8" s="370"/>
      <c r="I8" s="370"/>
      <c r="J8" s="370"/>
      <c r="K8" s="372"/>
      <c r="L8" s="254" t="s">
        <v>31</v>
      </c>
      <c r="M8" s="261" t="s">
        <v>32</v>
      </c>
      <c r="N8" s="262" t="s">
        <v>33</v>
      </c>
    </row>
    <row r="9" spans="1:14" s="270" customFormat="1" ht="14.25">
      <c r="A9" s="369"/>
      <c r="B9" s="370"/>
      <c r="C9" s="370"/>
      <c r="D9" s="370"/>
      <c r="E9" s="370"/>
      <c r="F9" s="373"/>
      <c r="G9" s="373"/>
      <c r="H9" s="370"/>
      <c r="I9" s="370"/>
      <c r="J9" s="370"/>
      <c r="K9" s="372"/>
      <c r="L9" s="268"/>
      <c r="M9" s="269"/>
      <c r="N9" s="268"/>
    </row>
    <row r="10" spans="1:14" s="282" customFormat="1" ht="21" customHeight="1">
      <c r="A10" s="374" t="s">
        <v>241</v>
      </c>
      <c r="B10" s="410" t="s">
        <v>88</v>
      </c>
      <c r="C10" s="411">
        <v>56000000</v>
      </c>
      <c r="D10" s="412">
        <v>38911</v>
      </c>
      <c r="E10" s="413">
        <v>38366</v>
      </c>
      <c r="F10" s="414" t="s">
        <v>38</v>
      </c>
      <c r="G10" s="415">
        <f>25+40+134+52</f>
        <v>251</v>
      </c>
      <c r="H10" s="416">
        <f>2659200+2137000+2800600+2600000</f>
        <v>10196800</v>
      </c>
      <c r="I10" s="417">
        <f>1279998.33+1592780.32+1677474.64+1557321.31</f>
        <v>6107574.6</v>
      </c>
      <c r="J10" s="418">
        <v>0.15</v>
      </c>
      <c r="K10" s="428" t="s">
        <v>82</v>
      </c>
      <c r="L10" s="279"/>
      <c r="M10" s="280"/>
      <c r="N10" s="281"/>
    </row>
    <row r="11" spans="1:14" s="282" customFormat="1" ht="15.75" customHeight="1">
      <c r="A11" s="374"/>
      <c r="B11" s="410"/>
      <c r="C11" s="411"/>
      <c r="D11" s="412"/>
      <c r="E11" s="412"/>
      <c r="F11" s="302" t="s">
        <v>242</v>
      </c>
      <c r="G11" s="303">
        <f>3000+2000+8590+15000</f>
        <v>28590</v>
      </c>
      <c r="H11" s="385">
        <f>2358000+62370000+11733940+25200000</f>
        <v>101661940</v>
      </c>
      <c r="I11" s="385">
        <f>1412370.64+37357742.45+7028274.95+15094037.35</f>
        <v>60892425.39000001</v>
      </c>
      <c r="J11" s="418"/>
      <c r="K11" s="428"/>
      <c r="L11" s="279"/>
      <c r="M11" s="280"/>
      <c r="N11" s="281"/>
    </row>
    <row r="12" spans="1:14" s="282" customFormat="1" ht="51.75">
      <c r="A12" s="374"/>
      <c r="B12" s="453" t="s">
        <v>38</v>
      </c>
      <c r="C12" s="376">
        <v>100000000</v>
      </c>
      <c r="D12" s="377">
        <v>38965</v>
      </c>
      <c r="E12" s="377">
        <v>38429</v>
      </c>
      <c r="F12" s="378" t="s">
        <v>243</v>
      </c>
      <c r="G12" s="379"/>
      <c r="H12" s="376"/>
      <c r="I12" s="376">
        <v>129404472.74</v>
      </c>
      <c r="J12" s="450" t="s">
        <v>232</v>
      </c>
      <c r="K12" s="381" t="s">
        <v>133</v>
      </c>
      <c r="L12" s="279"/>
      <c r="M12" s="280"/>
      <c r="N12" s="281"/>
    </row>
    <row r="13" spans="1:14" s="282" customFormat="1" ht="153.75">
      <c r="A13" s="374"/>
      <c r="B13" s="446" t="s">
        <v>38</v>
      </c>
      <c r="C13" s="440">
        <v>100000000</v>
      </c>
      <c r="D13" s="441">
        <v>39045</v>
      </c>
      <c r="E13" s="441">
        <v>38686</v>
      </c>
      <c r="F13" s="397" t="s">
        <v>38</v>
      </c>
      <c r="G13" s="442"/>
      <c r="H13" s="440">
        <v>226854111.78</v>
      </c>
      <c r="I13" s="440">
        <v>100000000</v>
      </c>
      <c r="J13" s="447">
        <v>0.13</v>
      </c>
      <c r="K13" s="381" t="s">
        <v>202</v>
      </c>
      <c r="L13" s="279"/>
      <c r="M13" s="280"/>
      <c r="N13" s="281"/>
    </row>
    <row r="14" spans="1:14" s="282" customFormat="1" ht="14.25">
      <c r="A14" s="374"/>
      <c r="B14" s="439" t="s">
        <v>137</v>
      </c>
      <c r="C14" s="440">
        <v>100000000</v>
      </c>
      <c r="D14" s="441">
        <v>39071</v>
      </c>
      <c r="E14" s="441">
        <v>38712</v>
      </c>
      <c r="F14" s="397" t="s">
        <v>172</v>
      </c>
      <c r="G14" s="442"/>
      <c r="H14" s="440"/>
      <c r="I14" s="440">
        <v>100000000</v>
      </c>
      <c r="J14" s="447">
        <v>0.115</v>
      </c>
      <c r="K14" s="381"/>
      <c r="L14" s="279"/>
      <c r="M14" s="280"/>
      <c r="N14" s="281"/>
    </row>
    <row r="15" spans="1:14" s="282" customFormat="1" ht="39">
      <c r="A15" s="374"/>
      <c r="B15" s="446" t="s">
        <v>244</v>
      </c>
      <c r="C15" s="440">
        <v>45000000</v>
      </c>
      <c r="D15" s="441">
        <v>39015</v>
      </c>
      <c r="E15" s="441">
        <v>38835</v>
      </c>
      <c r="F15" s="397" t="s">
        <v>172</v>
      </c>
      <c r="G15" s="442"/>
      <c r="H15" s="440"/>
      <c r="I15" s="440"/>
      <c r="J15" s="450" t="s">
        <v>233</v>
      </c>
      <c r="K15" s="381"/>
      <c r="L15" s="279"/>
      <c r="M15" s="280"/>
      <c r="N15" s="281"/>
    </row>
    <row r="16" spans="1:14" s="282" customFormat="1" ht="39">
      <c r="A16" s="374"/>
      <c r="B16" s="446" t="s">
        <v>36</v>
      </c>
      <c r="C16" s="440">
        <v>50000000</v>
      </c>
      <c r="D16" s="441">
        <v>39227</v>
      </c>
      <c r="E16" s="441">
        <v>38868</v>
      </c>
      <c r="F16" s="397" t="s">
        <v>172</v>
      </c>
      <c r="G16" s="442"/>
      <c r="H16" s="440"/>
      <c r="I16" s="440"/>
      <c r="J16" s="450" t="s">
        <v>233</v>
      </c>
      <c r="K16" s="381" t="s">
        <v>215</v>
      </c>
      <c r="L16" s="279"/>
      <c r="M16" s="280"/>
      <c r="N16" s="281"/>
    </row>
    <row r="17" spans="1:14" s="282" customFormat="1" ht="46.5" customHeight="1">
      <c r="A17" s="374"/>
      <c r="B17" s="446" t="s">
        <v>88</v>
      </c>
      <c r="C17" s="440">
        <v>69000000</v>
      </c>
      <c r="D17" s="441">
        <v>38895</v>
      </c>
      <c r="E17" s="441">
        <v>39435</v>
      </c>
      <c r="F17" s="397" t="s">
        <v>231</v>
      </c>
      <c r="G17" s="442"/>
      <c r="H17" s="440"/>
      <c r="I17" s="440"/>
      <c r="J17" s="450" t="s">
        <v>233</v>
      </c>
      <c r="K17" s="381"/>
      <c r="L17" s="279"/>
      <c r="M17" s="280"/>
      <c r="N17" s="281"/>
    </row>
    <row r="18" spans="1:14" s="318" customFormat="1" ht="14.25">
      <c r="A18" s="374"/>
      <c r="B18" s="311" t="s">
        <v>38</v>
      </c>
      <c r="C18" s="386">
        <f>SUM(C10:C17)</f>
        <v>520000000</v>
      </c>
      <c r="D18" s="313"/>
      <c r="E18" s="312"/>
      <c r="F18" s="312" t="s">
        <v>231</v>
      </c>
      <c r="G18" s="312"/>
      <c r="H18" s="386">
        <f>SUM(H10:H16)</f>
        <v>338712851.78</v>
      </c>
      <c r="I18" s="386">
        <f>SUM(I10:I16)</f>
        <v>396404472.73</v>
      </c>
      <c r="J18" s="312"/>
      <c r="K18" s="328"/>
      <c r="L18" s="315">
        <f>SUM(L10:L12)</f>
        <v>0</v>
      </c>
      <c r="M18" s="316">
        <f>SUM(M10:M12)</f>
        <v>0</v>
      </c>
      <c r="N18" s="317" t="s">
        <v>42</v>
      </c>
    </row>
    <row r="19" spans="1:14" s="396" customFormat="1" ht="64.5">
      <c r="A19" s="451" t="s">
        <v>245</v>
      </c>
      <c r="B19" s="272" t="s">
        <v>38</v>
      </c>
      <c r="C19" s="376">
        <v>37000000</v>
      </c>
      <c r="D19" s="377">
        <v>39018</v>
      </c>
      <c r="E19" s="377">
        <v>38447</v>
      </c>
      <c r="F19" s="382" t="s">
        <v>226</v>
      </c>
      <c r="G19" s="379"/>
      <c r="H19" s="376">
        <f>97466554.88</f>
        <v>97466554.88</v>
      </c>
      <c r="I19" s="376">
        <f>45000000*1.18</f>
        <v>53100000</v>
      </c>
      <c r="J19" s="380">
        <v>0.15</v>
      </c>
      <c r="K19" s="435" t="s">
        <v>142</v>
      </c>
      <c r="L19" s="393"/>
      <c r="M19" s="394"/>
      <c r="N19" s="395"/>
    </row>
    <row r="20" spans="1:14" s="396" customFormat="1" ht="14.25">
      <c r="A20" s="451"/>
      <c r="B20" s="379" t="s">
        <v>36</v>
      </c>
      <c r="C20" s="452">
        <v>32000000</v>
      </c>
      <c r="D20" s="377">
        <v>38911</v>
      </c>
      <c r="E20" s="377">
        <v>38881</v>
      </c>
      <c r="F20" s="399" t="s">
        <v>38</v>
      </c>
      <c r="G20" s="442">
        <v>28</v>
      </c>
      <c r="H20" s="440">
        <v>30277688</v>
      </c>
      <c r="I20" s="440">
        <v>21194381</v>
      </c>
      <c r="J20" s="380">
        <v>0.12</v>
      </c>
      <c r="K20" s="292"/>
      <c r="L20" s="393"/>
      <c r="M20" s="394"/>
      <c r="N20" s="395"/>
    </row>
    <row r="21" spans="1:14" s="396" customFormat="1" ht="14.25">
      <c r="A21" s="451"/>
      <c r="B21" s="379"/>
      <c r="C21" s="452"/>
      <c r="D21" s="377"/>
      <c r="E21" s="377"/>
      <c r="F21" s="399" t="s">
        <v>38</v>
      </c>
      <c r="G21" s="442">
        <v>1</v>
      </c>
      <c r="H21" s="440">
        <v>25500000</v>
      </c>
      <c r="I21" s="440">
        <v>25000000</v>
      </c>
      <c r="J21" s="380"/>
      <c r="K21" s="292"/>
      <c r="L21" s="393"/>
      <c r="M21" s="394"/>
      <c r="N21" s="395"/>
    </row>
    <row r="22" spans="1:14" s="282" customFormat="1" ht="14.25">
      <c r="A22" s="451"/>
      <c r="B22" s="326" t="s">
        <v>41</v>
      </c>
      <c r="C22" s="402">
        <f>SUM(C19:C20)</f>
        <v>69000000</v>
      </c>
      <c r="D22" s="327"/>
      <c r="E22" s="327"/>
      <c r="F22" s="327"/>
      <c r="G22" s="327"/>
      <c r="H22" s="402">
        <f>SUM(H19:H21)</f>
        <v>153244242.88</v>
      </c>
      <c r="I22" s="402">
        <f>SUM(I19:I21)</f>
        <v>99294381</v>
      </c>
      <c r="J22" s="312"/>
      <c r="K22" s="328"/>
      <c r="L22" s="315" t="e">
        <f>SUM(#REF!)</f>
        <v>#REF!</v>
      </c>
      <c r="M22" s="316" t="e">
        <f>SUM(#REF!)</f>
        <v>#REF!</v>
      </c>
      <c r="N22" s="317" t="s">
        <v>42</v>
      </c>
    </row>
    <row r="23" spans="1:14" s="338" customFormat="1" ht="12.75" hidden="1">
      <c r="A23" s="329"/>
      <c r="B23" s="275"/>
      <c r="C23" s="403"/>
      <c r="D23" s="331"/>
      <c r="E23" s="332"/>
      <c r="F23" s="275"/>
      <c r="G23" s="275"/>
      <c r="H23" s="403"/>
      <c r="I23" s="403"/>
      <c r="J23" s="333"/>
      <c r="K23" s="334"/>
      <c r="L23" s="335" t="e">
        <f>C23*J23/365*#REF!</f>
        <v>#REF!</v>
      </c>
      <c r="M23" s="336">
        <v>1272986</v>
      </c>
      <c r="N23" s="337"/>
    </row>
    <row r="24" spans="1:14" s="338" customFormat="1" ht="12.75" hidden="1">
      <c r="A24" s="339"/>
      <c r="B24" s="340"/>
      <c r="C24" s="404"/>
      <c r="D24" s="341"/>
      <c r="E24" s="342"/>
      <c r="F24" s="302"/>
      <c r="G24" s="302"/>
      <c r="H24" s="404"/>
      <c r="I24" s="404"/>
      <c r="J24" s="333"/>
      <c r="K24" s="334"/>
      <c r="L24" s="343"/>
      <c r="M24" s="344"/>
      <c r="N24" s="337"/>
    </row>
    <row r="25" spans="1:14" s="338" customFormat="1" ht="12.75" hidden="1">
      <c r="A25" s="339"/>
      <c r="B25" s="345"/>
      <c r="C25" s="403"/>
      <c r="D25" s="331"/>
      <c r="E25" s="332"/>
      <c r="F25" s="275"/>
      <c r="G25" s="275"/>
      <c r="H25" s="403"/>
      <c r="I25" s="403"/>
      <c r="J25" s="346"/>
      <c r="K25" s="334"/>
      <c r="L25" s="335" t="e">
        <f>C25*J25/365*#REF!</f>
        <v>#REF!</v>
      </c>
      <c r="M25" s="344">
        <v>0</v>
      </c>
      <c r="N25" s="337"/>
    </row>
    <row r="26" spans="1:14" s="282" customFormat="1" ht="12.75" hidden="1">
      <c r="A26" s="310"/>
      <c r="B26" s="311" t="s">
        <v>41</v>
      </c>
      <c r="C26" s="386">
        <f>SUM(C23:C25)</f>
        <v>0</v>
      </c>
      <c r="D26" s="312"/>
      <c r="E26" s="312"/>
      <c r="F26" s="312"/>
      <c r="G26" s="312"/>
      <c r="H26" s="386">
        <f>SUM(H23:H25)</f>
        <v>0</v>
      </c>
      <c r="I26" s="386">
        <f>SUM(I23:I25)</f>
        <v>0</v>
      </c>
      <c r="J26" s="312"/>
      <c r="K26" s="314"/>
      <c r="L26" s="315" t="e">
        <f>SUM(L23:L25)</f>
        <v>#REF!</v>
      </c>
      <c r="M26" s="316">
        <f>SUM(M23:M25)</f>
        <v>1272986</v>
      </c>
      <c r="N26" s="317" t="s">
        <v>42</v>
      </c>
    </row>
    <row r="27" spans="1:14" s="354" customFormat="1" ht="14.25">
      <c r="A27" s="347" t="s">
        <v>59</v>
      </c>
      <c r="B27" s="347"/>
      <c r="C27" s="405">
        <f>C18+C22</f>
        <v>589000000</v>
      </c>
      <c r="D27" s="348"/>
      <c r="E27" s="348"/>
      <c r="F27" s="348"/>
      <c r="G27" s="348"/>
      <c r="H27" s="405">
        <f>H18+H22</f>
        <v>491957094.65999997</v>
      </c>
      <c r="I27" s="405">
        <f>I18+I22</f>
        <v>495698853.73</v>
      </c>
      <c r="J27" s="406"/>
      <c r="K27" s="437"/>
      <c r="L27" s="351" t="e">
        <f>L18+L22+L26+#REF!+#REF!</f>
        <v>#REF!</v>
      </c>
      <c r="M27" s="352" t="e">
        <f>M18+M22+M26+#REF!+#REF!</f>
        <v>#REF!</v>
      </c>
      <c r="N27" s="353" t="s">
        <v>42</v>
      </c>
    </row>
    <row r="28" spans="1:11" s="282" customFormat="1" ht="14.25">
      <c r="A28" s="355"/>
      <c r="B28" s="355"/>
      <c r="C28" s="356"/>
      <c r="D28" s="357"/>
      <c r="E28" s="358"/>
      <c r="F28" s="358"/>
      <c r="G28" s="358"/>
      <c r="H28" s="358"/>
      <c r="I28" s="358"/>
      <c r="J28" s="358"/>
      <c r="K28" s="358"/>
    </row>
    <row r="29" spans="1:11" s="282" customFormat="1" ht="14.25">
      <c r="A29" s="196"/>
      <c r="B29" s="355"/>
      <c r="C29" s="355"/>
      <c r="D29" s="357"/>
      <c r="E29" s="358"/>
      <c r="F29" s="358"/>
      <c r="G29" s="358"/>
      <c r="H29" s="358"/>
      <c r="I29" s="358"/>
      <c r="J29" s="358"/>
      <c r="K29" s="358"/>
    </row>
    <row r="30" spans="1:11" s="282" customFormat="1" ht="14.25">
      <c r="A30" s="359"/>
      <c r="B30" s="196" t="s">
        <v>240</v>
      </c>
      <c r="C30" s="355">
        <f>C31+C32</f>
        <v>88000000</v>
      </c>
      <c r="D30" s="357"/>
      <c r="E30" s="358"/>
      <c r="F30" s="358"/>
      <c r="G30" s="358"/>
      <c r="H30" s="358"/>
      <c r="I30" s="358"/>
      <c r="J30" s="358"/>
      <c r="K30" s="358"/>
    </row>
    <row r="31" spans="1:11" s="282" customFormat="1" ht="14.25">
      <c r="A31" s="359"/>
      <c r="B31" s="196" t="s">
        <v>144</v>
      </c>
      <c r="C31" s="355">
        <v>56000000</v>
      </c>
      <c r="D31" s="358"/>
      <c r="E31" s="358"/>
      <c r="F31" s="358"/>
      <c r="G31" s="358"/>
      <c r="H31" s="358"/>
      <c r="I31" s="358"/>
      <c r="J31" s="358"/>
      <c r="K31" s="358"/>
    </row>
    <row r="32" spans="1:11" s="282" customFormat="1" ht="14.25">
      <c r="A32" s="359"/>
      <c r="B32" s="355" t="s">
        <v>145</v>
      </c>
      <c r="C32" s="421">
        <v>32000000</v>
      </c>
      <c r="D32" s="364"/>
      <c r="E32" s="358"/>
      <c r="F32" s="358"/>
      <c r="G32" s="358"/>
      <c r="H32" s="358"/>
      <c r="I32" s="358"/>
      <c r="J32" s="358"/>
      <c r="K32" s="358"/>
    </row>
    <row r="33" spans="1:11" ht="14.25">
      <c r="A33" s="203"/>
      <c r="B33" s="360"/>
      <c r="C33" s="361"/>
      <c r="D33" s="203"/>
      <c r="E33" s="132"/>
      <c r="F33" s="132"/>
      <c r="G33" s="132"/>
      <c r="H33" s="132"/>
      <c r="I33" s="132"/>
      <c r="J33" s="132"/>
      <c r="K33" s="132"/>
    </row>
    <row r="34" spans="1:11" ht="14.25">
      <c r="A34" s="203"/>
      <c r="B34" s="360"/>
      <c r="C34" s="361"/>
      <c r="D34" s="203"/>
      <c r="E34" s="132"/>
      <c r="F34" s="132"/>
      <c r="G34" s="132"/>
      <c r="H34" s="132"/>
      <c r="I34" s="132"/>
      <c r="J34" s="132"/>
      <c r="K34" s="132"/>
    </row>
    <row r="35" spans="1:11" ht="17.25" customHeight="1">
      <c r="A35" s="204"/>
      <c r="B35" s="360"/>
      <c r="C35" s="361"/>
      <c r="D35" s="195"/>
      <c r="E35" s="132"/>
      <c r="F35" s="132"/>
      <c r="G35" s="132"/>
      <c r="H35" s="132"/>
      <c r="I35" s="132"/>
      <c r="J35" s="132"/>
      <c r="K35" s="132"/>
    </row>
    <row r="36" spans="1:11" s="207" customFormat="1" ht="16.5">
      <c r="A36" s="409" t="s">
        <v>245</v>
      </c>
      <c r="B36" s="409"/>
      <c r="C36" s="409"/>
      <c r="D36" s="409"/>
      <c r="E36" s="409"/>
      <c r="F36" s="409"/>
      <c r="G36" s="409"/>
      <c r="H36" s="409"/>
      <c r="I36" s="409"/>
      <c r="J36" s="409"/>
      <c r="K36" s="409"/>
    </row>
    <row r="39" ht="16.5" customHeight="1"/>
    <row r="41" spans="1:2" ht="14.25">
      <c r="A41" s="362" t="s">
        <v>61</v>
      </c>
      <c r="B41" s="363"/>
    </row>
    <row r="42" spans="1:2" ht="14.25">
      <c r="A42" s="362" t="s">
        <v>107</v>
      </c>
      <c r="B42" s="362"/>
    </row>
    <row r="43" ht="14.25">
      <c r="A43" s="208"/>
    </row>
  </sheetData>
  <mergeCells count="35">
    <mergeCell ref="A1:K1"/>
    <mergeCell ref="A2:K2"/>
    <mergeCell ref="A4:K4"/>
    <mergeCell ref="A6:A9"/>
    <mergeCell ref="B6:B9"/>
    <mergeCell ref="C6:C9"/>
    <mergeCell ref="D6:D9"/>
    <mergeCell ref="E6:E9"/>
    <mergeCell ref="F6:G7"/>
    <mergeCell ref="H6:H9"/>
    <mergeCell ref="I6:I9"/>
    <mergeCell ref="J6:J9"/>
    <mergeCell ref="K6:K9"/>
    <mergeCell ref="L6:N6"/>
    <mergeCell ref="L7:N7"/>
    <mergeCell ref="F8:F9"/>
    <mergeCell ref="G8:G9"/>
    <mergeCell ref="A10:A18"/>
    <mergeCell ref="B10:B11"/>
    <mergeCell ref="C10:C11"/>
    <mergeCell ref="D10:D11"/>
    <mergeCell ref="E10:E11"/>
    <mergeCell ref="J10:J11"/>
    <mergeCell ref="K10:K11"/>
    <mergeCell ref="A19:A22"/>
    <mergeCell ref="B20:B21"/>
    <mergeCell ref="C20:C21"/>
    <mergeCell ref="D20:D21"/>
    <mergeCell ref="E20:E21"/>
    <mergeCell ref="J20:J21"/>
    <mergeCell ref="J23:J24"/>
    <mergeCell ref="K23:K25"/>
    <mergeCell ref="A27:B27"/>
    <mergeCell ref="A28:B28"/>
    <mergeCell ref="A36:K36"/>
  </mergeCells>
  <printOptions horizontalCentered="1"/>
  <pageMargins left="0.4722222222222222" right="0.5118055555555555" top="0.5118055555555555" bottom="0.5118055555555555" header="0.5118055555555555" footer="0.5118055555555555"/>
  <pageSetup fitToHeight="1" fitToWidth="1" horizontalDpi="300" verticalDpi="3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workbookViewId="0" topLeftCell="C1">
      <selection activeCell="A35" sqref="A35"/>
    </sheetView>
  </sheetViews>
  <sheetFormatPr defaultColWidth="9.00390625" defaultRowHeight="12.75"/>
  <cols>
    <col min="1" max="1" width="30.875" style="1" customWidth="1"/>
    <col min="2" max="2" width="28.875" style="0" customWidth="1"/>
    <col min="3" max="3" width="15.125" style="0" customWidth="1"/>
    <col min="4" max="4" width="13.875" style="2" customWidth="1"/>
    <col min="5" max="5" width="14.875" style="0" customWidth="1"/>
    <col min="6" max="6" width="38.25390625" style="0" customWidth="1"/>
    <col min="7" max="7" width="8.25390625" style="0" customWidth="1"/>
    <col min="8" max="8" width="15.125" style="0" customWidth="1"/>
    <col min="9" max="9" width="14.625" style="0" customWidth="1"/>
    <col min="10" max="10" width="11.375" style="0" customWidth="1"/>
    <col min="11" max="14" width="0" style="0" hidden="1" customWidth="1"/>
    <col min="15" max="15" width="22.00390625" style="0" customWidth="1"/>
  </cols>
  <sheetData>
    <row r="1" spans="1:11" ht="16.5">
      <c r="A1" s="365" t="s">
        <v>119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1" ht="16.5">
      <c r="A2" s="365" t="s">
        <v>107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 ht="16.5">
      <c r="A3" s="366"/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11" ht="12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</row>
    <row r="5" spans="10:11" ht="12">
      <c r="J5" s="368" t="s">
        <v>121</v>
      </c>
      <c r="K5" s="368" t="s">
        <v>121</v>
      </c>
    </row>
    <row r="6" spans="1:14" s="255" customFormat="1" ht="14.25">
      <c r="A6" s="369" t="s">
        <v>122</v>
      </c>
      <c r="B6" s="370" t="s">
        <v>36</v>
      </c>
      <c r="C6" s="370" t="s">
        <v>124</v>
      </c>
      <c r="D6" s="370" t="s">
        <v>125</v>
      </c>
      <c r="E6" s="370" t="s">
        <v>126</v>
      </c>
      <c r="F6" s="371" t="s">
        <v>127</v>
      </c>
      <c r="G6" s="371"/>
      <c r="H6" s="370" t="s">
        <v>128</v>
      </c>
      <c r="I6" s="370" t="s">
        <v>129</v>
      </c>
      <c r="J6" s="370" t="s">
        <v>130</v>
      </c>
      <c r="K6" s="372" t="s">
        <v>131</v>
      </c>
      <c r="L6" s="254" t="s">
        <v>10</v>
      </c>
      <c r="M6" s="254"/>
      <c r="N6" s="254"/>
    </row>
    <row r="7" spans="1:14" s="255" customFormat="1" ht="14.25">
      <c r="A7" s="369"/>
      <c r="B7" s="370"/>
      <c r="C7" s="370"/>
      <c r="D7" s="370"/>
      <c r="E7" s="370"/>
      <c r="F7" s="371"/>
      <c r="G7" s="371"/>
      <c r="H7" s="370"/>
      <c r="I7" s="370"/>
      <c r="J7" s="370"/>
      <c r="K7" s="372"/>
      <c r="L7" s="260" t="s">
        <v>21</v>
      </c>
      <c r="M7" s="260"/>
      <c r="N7" s="260"/>
    </row>
    <row r="8" spans="1:14" s="255" customFormat="1" ht="14.25">
      <c r="A8" s="369"/>
      <c r="B8" s="370"/>
      <c r="C8" s="370"/>
      <c r="D8" s="370"/>
      <c r="E8" s="370"/>
      <c r="F8" s="373" t="s">
        <v>26</v>
      </c>
      <c r="G8" s="373" t="s">
        <v>27</v>
      </c>
      <c r="H8" s="370"/>
      <c r="I8" s="370"/>
      <c r="J8" s="370"/>
      <c r="K8" s="372"/>
      <c r="L8" s="254" t="s">
        <v>31</v>
      </c>
      <c r="M8" s="261" t="s">
        <v>32</v>
      </c>
      <c r="N8" s="262" t="s">
        <v>33</v>
      </c>
    </row>
    <row r="9" spans="1:14" s="270" customFormat="1" ht="14.25">
      <c r="A9" s="369"/>
      <c r="B9" s="370"/>
      <c r="C9" s="370"/>
      <c r="D9" s="370"/>
      <c r="E9" s="370"/>
      <c r="F9" s="373"/>
      <c r="G9" s="373"/>
      <c r="H9" s="370"/>
      <c r="I9" s="370"/>
      <c r="J9" s="370"/>
      <c r="K9" s="372"/>
      <c r="L9" s="268"/>
      <c r="M9" s="269"/>
      <c r="N9" s="268"/>
    </row>
    <row r="10" spans="1:14" s="282" customFormat="1" ht="51.75">
      <c r="A10" s="454" t="s">
        <v>107</v>
      </c>
      <c r="B10" s="453" t="s">
        <v>88</v>
      </c>
      <c r="C10" s="376">
        <v>100000000</v>
      </c>
      <c r="D10" s="377">
        <v>38965</v>
      </c>
      <c r="E10" s="377">
        <v>38429</v>
      </c>
      <c r="F10" s="378" t="s">
        <v>36</v>
      </c>
      <c r="G10" s="379"/>
      <c r="H10" s="376"/>
      <c r="I10" s="376">
        <v>129404472.74</v>
      </c>
      <c r="J10" s="450" t="s">
        <v>232</v>
      </c>
      <c r="K10" s="381" t="s">
        <v>133</v>
      </c>
      <c r="L10" s="279"/>
      <c r="M10" s="280"/>
      <c r="N10" s="281"/>
    </row>
    <row r="11" spans="1:14" s="282" customFormat="1" ht="153.75">
      <c r="A11" s="454"/>
      <c r="B11" s="446" t="s">
        <v>246</v>
      </c>
      <c r="C11" s="440">
        <v>100000000</v>
      </c>
      <c r="D11" s="441">
        <v>39045</v>
      </c>
      <c r="E11" s="441">
        <v>38686</v>
      </c>
      <c r="F11" s="397" t="s">
        <v>247</v>
      </c>
      <c r="G11" s="442"/>
      <c r="H11" s="440">
        <v>226854111.78</v>
      </c>
      <c r="I11" s="440">
        <v>100000000</v>
      </c>
      <c r="J11" s="447">
        <v>0.13</v>
      </c>
      <c r="K11" s="381" t="s">
        <v>202</v>
      </c>
      <c r="L11" s="279"/>
      <c r="M11" s="280"/>
      <c r="N11" s="281"/>
    </row>
    <row r="12" spans="1:14" s="282" customFormat="1" ht="14.25">
      <c r="A12" s="454"/>
      <c r="B12" s="439" t="s">
        <v>172</v>
      </c>
      <c r="C12" s="440">
        <v>100000000</v>
      </c>
      <c r="D12" s="441">
        <v>39071</v>
      </c>
      <c r="E12" s="441">
        <v>38712</v>
      </c>
      <c r="F12" s="397" t="s">
        <v>137</v>
      </c>
      <c r="G12" s="442"/>
      <c r="H12" s="440"/>
      <c r="I12" s="440">
        <v>100000000</v>
      </c>
      <c r="J12" s="447">
        <v>0.115</v>
      </c>
      <c r="K12" s="381"/>
      <c r="L12" s="279"/>
      <c r="M12" s="280"/>
      <c r="N12" s="281"/>
    </row>
    <row r="13" spans="1:14" s="282" customFormat="1" ht="39">
      <c r="A13" s="454"/>
      <c r="B13" s="446" t="s">
        <v>88</v>
      </c>
      <c r="C13" s="440">
        <v>45000000</v>
      </c>
      <c r="D13" s="441">
        <v>39015</v>
      </c>
      <c r="E13" s="441">
        <v>38835</v>
      </c>
      <c r="F13" s="397" t="s">
        <v>36</v>
      </c>
      <c r="G13" s="442"/>
      <c r="H13" s="440"/>
      <c r="I13" s="440"/>
      <c r="J13" s="450" t="s">
        <v>233</v>
      </c>
      <c r="K13" s="381"/>
      <c r="L13" s="279"/>
      <c r="M13" s="280"/>
      <c r="N13" s="281"/>
    </row>
    <row r="14" spans="1:14" s="282" customFormat="1" ht="39">
      <c r="A14" s="454"/>
      <c r="B14" s="446" t="s">
        <v>248</v>
      </c>
      <c r="C14" s="440">
        <v>50000000</v>
      </c>
      <c r="D14" s="441">
        <v>39227</v>
      </c>
      <c r="E14" s="441">
        <v>38868</v>
      </c>
      <c r="F14" s="397" t="s">
        <v>231</v>
      </c>
      <c r="G14" s="442"/>
      <c r="H14" s="440"/>
      <c r="I14" s="440"/>
      <c r="J14" s="450" t="s">
        <v>233</v>
      </c>
      <c r="K14" s="381" t="s">
        <v>215</v>
      </c>
      <c r="L14" s="279"/>
      <c r="M14" s="280"/>
      <c r="N14" s="281"/>
    </row>
    <row r="15" spans="1:14" s="282" customFormat="1" ht="46.5" customHeight="1">
      <c r="A15" s="454"/>
      <c r="B15" s="446" t="s">
        <v>172</v>
      </c>
      <c r="C15" s="440">
        <v>69000000</v>
      </c>
      <c r="D15" s="441">
        <v>39435</v>
      </c>
      <c r="E15" s="441">
        <v>38895</v>
      </c>
      <c r="F15" s="397" t="s">
        <v>248</v>
      </c>
      <c r="G15" s="442"/>
      <c r="H15" s="440"/>
      <c r="I15" s="440"/>
      <c r="J15" s="450" t="s">
        <v>233</v>
      </c>
      <c r="K15" s="381"/>
      <c r="L15" s="279"/>
      <c r="M15" s="280"/>
      <c r="N15" s="281"/>
    </row>
    <row r="16" spans="1:14" s="282" customFormat="1" ht="46.5" customHeight="1">
      <c r="A16" s="454"/>
      <c r="B16" s="446" t="s">
        <v>172</v>
      </c>
      <c r="C16" s="440">
        <v>74000000</v>
      </c>
      <c r="D16" s="441">
        <v>39076</v>
      </c>
      <c r="E16" s="441">
        <v>38912</v>
      </c>
      <c r="F16" s="397" t="s">
        <v>249</v>
      </c>
      <c r="G16" s="442"/>
      <c r="H16" s="440"/>
      <c r="I16" s="440"/>
      <c r="J16" s="450">
        <v>0.12</v>
      </c>
      <c r="K16" s="381"/>
      <c r="L16" s="279"/>
      <c r="M16" s="280"/>
      <c r="N16" s="281"/>
    </row>
    <row r="17" spans="1:14" s="318" customFormat="1" ht="14.25">
      <c r="A17" s="454"/>
      <c r="B17" s="311" t="s">
        <v>88</v>
      </c>
      <c r="C17" s="386">
        <f>SUM(C10:C16)</f>
        <v>538000000</v>
      </c>
      <c r="D17" s="313"/>
      <c r="E17" s="312"/>
      <c r="F17" s="312" t="s">
        <v>231</v>
      </c>
      <c r="G17" s="312"/>
      <c r="H17" s="386">
        <f>SUM(H10:H14)</f>
        <v>226854111.78</v>
      </c>
      <c r="I17" s="386">
        <f>SUM(I10:I14)</f>
        <v>329404472.74</v>
      </c>
      <c r="J17" s="312"/>
      <c r="K17" s="328"/>
      <c r="L17" s="315">
        <f>SUM(L10:L10)</f>
        <v>0</v>
      </c>
      <c r="M17" s="316">
        <f>SUM(M10:M10)</f>
        <v>0</v>
      </c>
      <c r="N17" s="317" t="s">
        <v>42</v>
      </c>
    </row>
    <row r="18" spans="1:14" s="396" customFormat="1" ht="64.5">
      <c r="A18" s="451" t="s">
        <v>49</v>
      </c>
      <c r="B18" s="272" t="s">
        <v>36</v>
      </c>
      <c r="C18" s="376">
        <v>37000000</v>
      </c>
      <c r="D18" s="377">
        <v>39018</v>
      </c>
      <c r="E18" s="377">
        <v>38447</v>
      </c>
      <c r="F18" s="382" t="s">
        <v>250</v>
      </c>
      <c r="G18" s="379"/>
      <c r="H18" s="376">
        <f>97466554.88</f>
        <v>97466554.88</v>
      </c>
      <c r="I18" s="376">
        <f>45000000*1.18</f>
        <v>53100000</v>
      </c>
      <c r="J18" s="380">
        <v>0.15</v>
      </c>
      <c r="K18" s="435" t="s">
        <v>142</v>
      </c>
      <c r="L18" s="393"/>
      <c r="M18" s="394"/>
      <c r="N18" s="395"/>
    </row>
    <row r="19" spans="1:14" s="396" customFormat="1" ht="14.25">
      <c r="A19" s="451"/>
      <c r="B19" s="379" t="s">
        <v>36</v>
      </c>
      <c r="C19" s="452">
        <v>30000000</v>
      </c>
      <c r="D19" s="377">
        <v>38940</v>
      </c>
      <c r="E19" s="377">
        <v>38910</v>
      </c>
      <c r="F19" s="382" t="s">
        <v>226</v>
      </c>
      <c r="G19" s="382"/>
      <c r="H19" s="455">
        <v>52036774.92</v>
      </c>
      <c r="I19" s="455">
        <v>31205000</v>
      </c>
      <c r="J19" s="380">
        <v>0.12</v>
      </c>
      <c r="K19" s="292"/>
      <c r="L19" s="393"/>
      <c r="M19" s="394"/>
      <c r="N19" s="395"/>
    </row>
    <row r="20" spans="1:14" s="396" customFormat="1" ht="14.25">
      <c r="A20" s="451"/>
      <c r="B20" s="379"/>
      <c r="C20" s="452"/>
      <c r="D20" s="377"/>
      <c r="E20" s="377"/>
      <c r="F20" s="382"/>
      <c r="G20" s="382"/>
      <c r="H20" s="455">
        <v>25500000</v>
      </c>
      <c r="I20" s="455">
        <v>25000000</v>
      </c>
      <c r="J20" s="380"/>
      <c r="K20" s="292"/>
      <c r="L20" s="393"/>
      <c r="M20" s="394"/>
      <c r="N20" s="395"/>
    </row>
    <row r="21" spans="1:14" s="282" customFormat="1" ht="14.25">
      <c r="A21" s="451"/>
      <c r="B21" s="326" t="s">
        <v>41</v>
      </c>
      <c r="C21" s="402">
        <f>SUM(C18:C19)</f>
        <v>67000000</v>
      </c>
      <c r="D21" s="327"/>
      <c r="E21" s="327"/>
      <c r="F21" s="327" t="s">
        <v>95</v>
      </c>
      <c r="G21" s="327"/>
      <c r="H21" s="402">
        <f>SUM(H18:H20)</f>
        <v>175003329.8</v>
      </c>
      <c r="I21" s="402">
        <f>SUM(I18:I20)</f>
        <v>109305000</v>
      </c>
      <c r="J21" s="312"/>
      <c r="K21" s="328"/>
      <c r="L21" s="315" t="e">
        <f>SUM(#REF!)</f>
        <v>#REF!</v>
      </c>
      <c r="M21" s="316" t="e">
        <f>SUM(#REF!)</f>
        <v>#REF!</v>
      </c>
      <c r="N21" s="317" t="s">
        <v>42</v>
      </c>
    </row>
    <row r="22" spans="1:14" s="338" customFormat="1" ht="12.75" hidden="1">
      <c r="A22" s="329"/>
      <c r="B22" s="275"/>
      <c r="C22" s="403"/>
      <c r="D22" s="331"/>
      <c r="E22" s="332"/>
      <c r="F22" s="275"/>
      <c r="G22" s="275"/>
      <c r="H22" s="403"/>
      <c r="I22" s="403"/>
      <c r="J22" s="333"/>
      <c r="K22" s="334"/>
      <c r="L22" s="335" t="e">
        <f>C22*J22/365*#REF!</f>
        <v>#REF!</v>
      </c>
      <c r="M22" s="336">
        <v>1272986</v>
      </c>
      <c r="N22" s="337"/>
    </row>
    <row r="23" spans="1:14" s="338" customFormat="1" ht="12.75" hidden="1">
      <c r="A23" s="339"/>
      <c r="B23" s="340"/>
      <c r="C23" s="404"/>
      <c r="D23" s="341"/>
      <c r="E23" s="342"/>
      <c r="F23" s="302"/>
      <c r="G23" s="302"/>
      <c r="H23" s="404"/>
      <c r="I23" s="404"/>
      <c r="J23" s="333"/>
      <c r="K23" s="334"/>
      <c r="L23" s="343"/>
      <c r="M23" s="344"/>
      <c r="N23" s="337"/>
    </row>
    <row r="24" spans="1:14" s="338" customFormat="1" ht="12.75" hidden="1">
      <c r="A24" s="339"/>
      <c r="B24" s="345"/>
      <c r="C24" s="403"/>
      <c r="D24" s="331"/>
      <c r="E24" s="332"/>
      <c r="F24" s="275"/>
      <c r="G24" s="275"/>
      <c r="H24" s="403"/>
      <c r="I24" s="403"/>
      <c r="J24" s="346"/>
      <c r="K24" s="334"/>
      <c r="L24" s="335" t="e">
        <f>C24*J24/365*#REF!</f>
        <v>#REF!</v>
      </c>
      <c r="M24" s="344">
        <v>0</v>
      </c>
      <c r="N24" s="337"/>
    </row>
    <row r="25" spans="1:14" s="282" customFormat="1" ht="12.75" hidden="1">
      <c r="A25" s="310"/>
      <c r="B25" s="311" t="s">
        <v>41</v>
      </c>
      <c r="C25" s="386">
        <f>SUM(C22:C24)</f>
        <v>0</v>
      </c>
      <c r="D25" s="312"/>
      <c r="E25" s="312"/>
      <c r="F25" s="312"/>
      <c r="G25" s="312"/>
      <c r="H25" s="386">
        <f>SUM(H22:H24)</f>
        <v>0</v>
      </c>
      <c r="I25" s="386">
        <f>SUM(I22:I24)</f>
        <v>0</v>
      </c>
      <c r="J25" s="312"/>
      <c r="K25" s="314"/>
      <c r="L25" s="315" t="e">
        <f>SUM(L22:L24)</f>
        <v>#REF!</v>
      </c>
      <c r="M25" s="316">
        <f>SUM(M22:M24)</f>
        <v>1272986</v>
      </c>
      <c r="N25" s="317" t="s">
        <v>42</v>
      </c>
    </row>
    <row r="26" spans="1:14" s="354" customFormat="1" ht="14.25">
      <c r="A26" s="347" t="s">
        <v>59</v>
      </c>
      <c r="B26" s="347"/>
      <c r="C26" s="405">
        <f>C17+C21</f>
        <v>605000000</v>
      </c>
      <c r="D26" s="348"/>
      <c r="E26" s="348"/>
      <c r="F26" s="348"/>
      <c r="G26" s="348"/>
      <c r="H26" s="405">
        <f>H17+H21</f>
        <v>401857441.58000004</v>
      </c>
      <c r="I26" s="405">
        <f>I17+I21</f>
        <v>438709472.74</v>
      </c>
      <c r="J26" s="406"/>
      <c r="K26" s="437"/>
      <c r="L26" s="351" t="e">
        <f>L17+L21+L25+#REF!+#REF!</f>
        <v>#REF!</v>
      </c>
      <c r="M26" s="352" t="e">
        <f>M17+M21+M25+#REF!+#REF!</f>
        <v>#REF!</v>
      </c>
      <c r="N26" s="353" t="s">
        <v>42</v>
      </c>
    </row>
    <row r="27" spans="1:11" s="282" customFormat="1" ht="14.25">
      <c r="A27" s="355"/>
      <c r="B27" s="355"/>
      <c r="C27" s="356"/>
      <c r="D27" s="357"/>
      <c r="E27" s="358"/>
      <c r="F27" s="358"/>
      <c r="G27" s="358"/>
      <c r="H27" s="358"/>
      <c r="I27" s="358"/>
      <c r="J27" s="358"/>
      <c r="K27" s="358"/>
    </row>
    <row r="28" spans="1:11" s="282" customFormat="1" ht="14.25">
      <c r="A28" s="196"/>
      <c r="B28" s="355"/>
      <c r="C28" s="355"/>
      <c r="D28" s="357"/>
      <c r="E28" s="358"/>
      <c r="F28" s="358"/>
      <c r="G28" s="358"/>
      <c r="H28" s="358"/>
      <c r="I28" s="358"/>
      <c r="J28" s="358"/>
      <c r="K28" s="358"/>
    </row>
    <row r="29" spans="1:11" s="282" customFormat="1" ht="14.25">
      <c r="A29" s="359"/>
      <c r="B29" s="196" t="s">
        <v>251</v>
      </c>
      <c r="C29" s="355">
        <f>C30+C31</f>
        <v>30000000</v>
      </c>
      <c r="D29" s="357"/>
      <c r="E29" s="358"/>
      <c r="F29" s="358"/>
      <c r="G29" s="358"/>
      <c r="H29" s="358"/>
      <c r="I29" s="358"/>
      <c r="J29" s="358"/>
      <c r="K29" s="358"/>
    </row>
    <row r="30" spans="1:11" s="282" customFormat="1" ht="14.25">
      <c r="A30" s="359"/>
      <c r="B30" s="196" t="s">
        <v>36</v>
      </c>
      <c r="C30" s="355">
        <v>0</v>
      </c>
      <c r="D30" s="358"/>
      <c r="E30" s="358"/>
      <c r="F30" s="358"/>
      <c r="G30" s="358"/>
      <c r="H30" s="358"/>
      <c r="I30" s="358"/>
      <c r="J30" s="358"/>
      <c r="K30" s="358"/>
    </row>
    <row r="31" spans="1:11" s="282" customFormat="1" ht="14.25">
      <c r="A31" s="359"/>
      <c r="B31" s="355" t="s">
        <v>80</v>
      </c>
      <c r="C31" s="421">
        <v>30000000</v>
      </c>
      <c r="D31" s="364"/>
      <c r="E31" s="358"/>
      <c r="F31" s="358"/>
      <c r="G31" s="358"/>
      <c r="H31" s="358"/>
      <c r="I31" s="358"/>
      <c r="J31" s="358"/>
      <c r="K31" s="358"/>
    </row>
    <row r="32" spans="1:11" ht="14.25">
      <c r="A32" s="203"/>
      <c r="B32" s="360"/>
      <c r="C32" s="361"/>
      <c r="D32" s="203"/>
      <c r="E32" s="132"/>
      <c r="F32" s="132"/>
      <c r="G32" s="132"/>
      <c r="H32" s="132"/>
      <c r="I32" s="132"/>
      <c r="J32" s="132"/>
      <c r="K32" s="132"/>
    </row>
    <row r="33" spans="1:11" ht="14.25">
      <c r="A33" s="203"/>
      <c r="B33" s="360"/>
      <c r="C33" s="361"/>
      <c r="D33" s="203"/>
      <c r="E33" s="132"/>
      <c r="F33" s="132"/>
      <c r="G33" s="132"/>
      <c r="H33" s="132"/>
      <c r="I33" s="132"/>
      <c r="J33" s="132"/>
      <c r="K33" s="132"/>
    </row>
    <row r="34" spans="1:11" ht="17.25" customHeight="1">
      <c r="A34" s="204"/>
      <c r="B34" s="360"/>
      <c r="C34" s="361"/>
      <c r="D34" s="195"/>
      <c r="E34" s="132"/>
      <c r="F34" s="132"/>
      <c r="G34" s="132"/>
      <c r="H34" s="132"/>
      <c r="I34" s="132"/>
      <c r="J34" s="132"/>
      <c r="K34" s="132"/>
    </row>
    <row r="35" spans="1:11" s="207" customFormat="1" ht="16.5">
      <c r="A35" s="409" t="s">
        <v>107</v>
      </c>
      <c r="B35" s="409"/>
      <c r="C35" s="409"/>
      <c r="D35" s="409"/>
      <c r="E35" s="409"/>
      <c r="F35" s="409"/>
      <c r="G35" s="409"/>
      <c r="H35" s="409"/>
      <c r="I35" s="409"/>
      <c r="J35" s="409"/>
      <c r="K35" s="409"/>
    </row>
    <row r="38" ht="16.5" customHeight="1"/>
    <row r="40" spans="1:2" ht="14.25">
      <c r="A40" s="362" t="s">
        <v>61</v>
      </c>
      <c r="B40" s="363"/>
    </row>
    <row r="41" spans="1:2" ht="14.25">
      <c r="A41" s="362" t="s">
        <v>107</v>
      </c>
      <c r="B41" s="362"/>
    </row>
    <row r="42" ht="14.25">
      <c r="A42" s="208"/>
    </row>
  </sheetData>
  <mergeCells count="33">
    <mergeCell ref="A1:K1"/>
    <mergeCell ref="A2:K2"/>
    <mergeCell ref="A4:K4"/>
    <mergeCell ref="A6:A9"/>
    <mergeCell ref="B6:B9"/>
    <mergeCell ref="C6:C9"/>
    <mergeCell ref="D6:D9"/>
    <mergeCell ref="E6:E9"/>
    <mergeCell ref="F6:G7"/>
    <mergeCell ref="H6:H9"/>
    <mergeCell ref="I6:I9"/>
    <mergeCell ref="J6:J9"/>
    <mergeCell ref="K6:K9"/>
    <mergeCell ref="L6:N6"/>
    <mergeCell ref="L7:N7"/>
    <mergeCell ref="F8:F9"/>
    <mergeCell ref="G8:G9"/>
    <mergeCell ref="A10:A17"/>
    <mergeCell ref="A18:A21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J22:J23"/>
    <mergeCell ref="K22:K24"/>
    <mergeCell ref="A26:B26"/>
    <mergeCell ref="A27:B27"/>
    <mergeCell ref="A35:K35"/>
  </mergeCells>
  <printOptions horizontalCentered="1"/>
  <pageMargins left="0.44027777777777777" right="0.45" top="0.5118055555555555" bottom="0.5" header="0.5118055555555555" footer="0.5118055555555555"/>
  <pageSetup fitToHeight="1" fitToWidth="1" horizontalDpi="300" verticalDpi="3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workbookViewId="0" topLeftCell="B1">
      <selection activeCell="B33" sqref="B33"/>
    </sheetView>
  </sheetViews>
  <sheetFormatPr defaultColWidth="9.00390625" defaultRowHeight="12.75"/>
  <cols>
    <col min="1" max="1" width="30.875" style="1" customWidth="1"/>
    <col min="2" max="2" width="28.875" style="0" customWidth="1"/>
    <col min="3" max="3" width="15.125" style="0" customWidth="1"/>
    <col min="4" max="4" width="13.875" style="2" customWidth="1"/>
    <col min="5" max="5" width="14.875" style="0" customWidth="1"/>
    <col min="6" max="6" width="38.25390625" style="0" customWidth="1"/>
    <col min="7" max="7" width="8.25390625" style="0" customWidth="1"/>
    <col min="8" max="8" width="15.125" style="0" customWidth="1"/>
    <col min="9" max="9" width="14.625" style="0" customWidth="1"/>
    <col min="10" max="10" width="11.375" style="0" customWidth="1"/>
    <col min="11" max="14" width="0" style="0" hidden="1" customWidth="1"/>
    <col min="15" max="15" width="22.00390625" style="0" customWidth="1"/>
  </cols>
  <sheetData>
    <row r="1" spans="1:11" ht="16.5">
      <c r="A1" s="365" t="s">
        <v>119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1" ht="16.5">
      <c r="A2" s="365" t="s">
        <v>80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 ht="16.5">
      <c r="A3" s="366"/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11" ht="12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</row>
    <row r="5" spans="10:11" ht="12">
      <c r="J5" s="368" t="s">
        <v>121</v>
      </c>
      <c r="K5" s="368" t="s">
        <v>121</v>
      </c>
    </row>
    <row r="6" spans="1:14" s="255" customFormat="1" ht="14.25">
      <c r="A6" s="369" t="s">
        <v>122</v>
      </c>
      <c r="B6" s="370" t="s">
        <v>123</v>
      </c>
      <c r="C6" s="370" t="s">
        <v>124</v>
      </c>
      <c r="D6" s="370" t="s">
        <v>125</v>
      </c>
      <c r="E6" s="370" t="s">
        <v>126</v>
      </c>
      <c r="F6" s="371" t="s">
        <v>127</v>
      </c>
      <c r="G6" s="371"/>
      <c r="H6" s="370" t="s">
        <v>128</v>
      </c>
      <c r="I6" s="370" t="s">
        <v>129</v>
      </c>
      <c r="J6" s="370" t="s">
        <v>130</v>
      </c>
      <c r="K6" s="372" t="s">
        <v>131</v>
      </c>
      <c r="L6" s="254" t="s">
        <v>10</v>
      </c>
      <c r="M6" s="254"/>
      <c r="N6" s="254"/>
    </row>
    <row r="7" spans="1:14" s="255" customFormat="1" ht="14.25">
      <c r="A7" s="369"/>
      <c r="B7" s="370"/>
      <c r="C7" s="370"/>
      <c r="D7" s="370"/>
      <c r="E7" s="370"/>
      <c r="F7" s="371"/>
      <c r="G7" s="371"/>
      <c r="H7" s="370"/>
      <c r="I7" s="370"/>
      <c r="J7" s="370"/>
      <c r="K7" s="372"/>
      <c r="L7" s="260" t="s">
        <v>21</v>
      </c>
      <c r="M7" s="260"/>
      <c r="N7" s="260"/>
    </row>
    <row r="8" spans="1:14" s="255" customFormat="1" ht="14.25">
      <c r="A8" s="369"/>
      <c r="B8" s="370"/>
      <c r="C8" s="370"/>
      <c r="D8" s="370"/>
      <c r="E8" s="370"/>
      <c r="F8" s="373" t="s">
        <v>26</v>
      </c>
      <c r="G8" s="373" t="s">
        <v>27</v>
      </c>
      <c r="H8" s="370"/>
      <c r="I8" s="370"/>
      <c r="J8" s="370"/>
      <c r="K8" s="372"/>
      <c r="L8" s="254" t="s">
        <v>31</v>
      </c>
      <c r="M8" s="261" t="s">
        <v>32</v>
      </c>
      <c r="N8" s="262" t="s">
        <v>33</v>
      </c>
    </row>
    <row r="9" spans="1:14" s="270" customFormat="1" ht="14.25">
      <c r="A9" s="369"/>
      <c r="B9" s="370"/>
      <c r="C9" s="370"/>
      <c r="D9" s="370"/>
      <c r="E9" s="370"/>
      <c r="F9" s="373"/>
      <c r="G9" s="373"/>
      <c r="H9" s="370"/>
      <c r="I9" s="370"/>
      <c r="J9" s="370"/>
      <c r="K9" s="372"/>
      <c r="L9" s="268"/>
      <c r="M9" s="269"/>
      <c r="N9" s="268"/>
    </row>
    <row r="10" spans="1:14" s="282" customFormat="1" ht="51.75">
      <c r="A10" s="374" t="s">
        <v>38</v>
      </c>
      <c r="B10" s="453" t="s">
        <v>44</v>
      </c>
      <c r="C10" s="376">
        <v>32000000</v>
      </c>
      <c r="D10" s="377">
        <v>38965</v>
      </c>
      <c r="E10" s="377">
        <v>38429</v>
      </c>
      <c r="F10" s="378" t="s">
        <v>36</v>
      </c>
      <c r="G10" s="379"/>
      <c r="H10" s="376"/>
      <c r="I10" s="376">
        <v>129404472.74</v>
      </c>
      <c r="J10" s="450" t="s">
        <v>232</v>
      </c>
      <c r="K10" s="381" t="s">
        <v>133</v>
      </c>
      <c r="L10" s="279"/>
      <c r="M10" s="280"/>
      <c r="N10" s="281"/>
    </row>
    <row r="11" spans="1:14" s="282" customFormat="1" ht="153.75">
      <c r="A11" s="374"/>
      <c r="B11" s="446" t="s">
        <v>252</v>
      </c>
      <c r="C11" s="440">
        <v>100000000</v>
      </c>
      <c r="D11" s="441">
        <v>39045</v>
      </c>
      <c r="E11" s="441">
        <v>38686</v>
      </c>
      <c r="F11" s="397" t="s">
        <v>36</v>
      </c>
      <c r="G11" s="442"/>
      <c r="H11" s="440">
        <v>226854111.78</v>
      </c>
      <c r="I11" s="440">
        <v>100000000</v>
      </c>
      <c r="J11" s="447">
        <v>0.13</v>
      </c>
      <c r="K11" s="381" t="s">
        <v>202</v>
      </c>
      <c r="L11" s="279"/>
      <c r="M11" s="280"/>
      <c r="N11" s="281"/>
    </row>
    <row r="12" spans="1:14" s="282" customFormat="1" ht="14.25">
      <c r="A12" s="374"/>
      <c r="B12" s="439" t="s">
        <v>253</v>
      </c>
      <c r="C12" s="440">
        <v>100000000</v>
      </c>
      <c r="D12" s="441">
        <v>39071</v>
      </c>
      <c r="E12" s="441">
        <v>38712</v>
      </c>
      <c r="F12" s="397" t="s">
        <v>38</v>
      </c>
      <c r="G12" s="442"/>
      <c r="H12" s="440"/>
      <c r="I12" s="440">
        <v>100000000</v>
      </c>
      <c r="J12" s="447">
        <v>0.115</v>
      </c>
      <c r="K12" s="381"/>
      <c r="L12" s="279"/>
      <c r="M12" s="280"/>
      <c r="N12" s="281"/>
    </row>
    <row r="13" spans="1:14" s="282" customFormat="1" ht="39">
      <c r="A13" s="374"/>
      <c r="B13" s="446" t="s">
        <v>36</v>
      </c>
      <c r="C13" s="440">
        <v>45000000</v>
      </c>
      <c r="D13" s="441">
        <v>39015</v>
      </c>
      <c r="E13" s="441">
        <v>38835</v>
      </c>
      <c r="F13" s="397" t="s">
        <v>36</v>
      </c>
      <c r="G13" s="442"/>
      <c r="H13" s="440"/>
      <c r="I13" s="440"/>
      <c r="J13" s="450" t="s">
        <v>233</v>
      </c>
      <c r="K13" s="381"/>
      <c r="L13" s="279"/>
      <c r="M13" s="280"/>
      <c r="N13" s="281"/>
    </row>
    <row r="14" spans="1:14" s="282" customFormat="1" ht="39">
      <c r="A14" s="374"/>
      <c r="B14" s="446" t="s">
        <v>88</v>
      </c>
      <c r="C14" s="440">
        <v>50000000</v>
      </c>
      <c r="D14" s="441">
        <v>39227</v>
      </c>
      <c r="E14" s="441">
        <v>38868</v>
      </c>
      <c r="F14" s="397" t="s">
        <v>171</v>
      </c>
      <c r="G14" s="442"/>
      <c r="H14" s="440"/>
      <c r="I14" s="440"/>
      <c r="J14" s="450" t="s">
        <v>254</v>
      </c>
      <c r="K14" s="381" t="s">
        <v>215</v>
      </c>
      <c r="L14" s="279"/>
      <c r="M14" s="280"/>
      <c r="N14" s="281"/>
    </row>
    <row r="15" spans="1:14" s="282" customFormat="1" ht="46.5" customHeight="1">
      <c r="A15" s="374"/>
      <c r="B15" s="446" t="s">
        <v>162</v>
      </c>
      <c r="C15" s="440">
        <v>69000000</v>
      </c>
      <c r="D15" s="441">
        <v>39435</v>
      </c>
      <c r="E15" s="441">
        <v>38895</v>
      </c>
      <c r="F15" s="397" t="s">
        <v>171</v>
      </c>
      <c r="G15" s="442"/>
      <c r="H15" s="440"/>
      <c r="I15" s="440"/>
      <c r="J15" s="450" t="s">
        <v>254</v>
      </c>
      <c r="K15" s="381"/>
      <c r="L15" s="279"/>
      <c r="M15" s="280"/>
      <c r="N15" s="281"/>
    </row>
    <row r="16" spans="1:14" s="282" customFormat="1" ht="46.5" customHeight="1">
      <c r="A16" s="374"/>
      <c r="B16" s="446" t="s">
        <v>72</v>
      </c>
      <c r="C16" s="440">
        <v>74000000</v>
      </c>
      <c r="D16" s="441">
        <v>39076</v>
      </c>
      <c r="E16" s="441">
        <v>38912</v>
      </c>
      <c r="F16" s="397" t="s">
        <v>36</v>
      </c>
      <c r="G16" s="442"/>
      <c r="H16" s="440"/>
      <c r="I16" s="440"/>
      <c r="J16" s="450">
        <v>0.12</v>
      </c>
      <c r="K16" s="381"/>
      <c r="L16" s="279"/>
      <c r="M16" s="280"/>
      <c r="N16" s="281"/>
    </row>
    <row r="17" spans="1:14" s="282" customFormat="1" ht="46.5" customHeight="1">
      <c r="A17" s="374"/>
      <c r="B17" s="446" t="s">
        <v>152</v>
      </c>
      <c r="C17" s="440">
        <v>26000000</v>
      </c>
      <c r="D17" s="441">
        <v>39332</v>
      </c>
      <c r="E17" s="441">
        <v>38936</v>
      </c>
      <c r="F17" s="397" t="s">
        <v>36</v>
      </c>
      <c r="G17" s="442"/>
      <c r="H17" s="456"/>
      <c r="I17" s="440"/>
      <c r="J17" s="450">
        <v>0.12</v>
      </c>
      <c r="K17" s="381"/>
      <c r="L17" s="279"/>
      <c r="M17" s="280"/>
      <c r="N17" s="281"/>
    </row>
    <row r="18" spans="1:14" s="282" customFormat="1" ht="46.5" customHeight="1">
      <c r="A18" s="374"/>
      <c r="B18" s="446" t="s">
        <v>36</v>
      </c>
      <c r="C18" s="440">
        <v>36900000</v>
      </c>
      <c r="D18" s="441">
        <v>39291</v>
      </c>
      <c r="E18" s="441">
        <v>38926</v>
      </c>
      <c r="F18" s="397" t="s">
        <v>171</v>
      </c>
      <c r="G18" s="442"/>
      <c r="H18" s="456" t="s">
        <v>255</v>
      </c>
      <c r="I18" s="440">
        <v>44052800</v>
      </c>
      <c r="J18" s="450">
        <v>0.115</v>
      </c>
      <c r="K18" s="381"/>
      <c r="L18" s="279"/>
      <c r="M18" s="280"/>
      <c r="N18" s="281"/>
    </row>
    <row r="19" spans="1:14" s="282" customFormat="1" ht="46.5" customHeight="1">
      <c r="A19" s="374"/>
      <c r="B19" s="446" t="s">
        <v>88</v>
      </c>
      <c r="C19" s="440">
        <v>36900000</v>
      </c>
      <c r="D19" s="441">
        <v>39291</v>
      </c>
      <c r="E19" s="441">
        <v>38926</v>
      </c>
      <c r="F19" s="397" t="s">
        <v>38</v>
      </c>
      <c r="G19" s="442"/>
      <c r="H19" s="456" t="s">
        <v>256</v>
      </c>
      <c r="I19" s="440">
        <v>44422000</v>
      </c>
      <c r="J19" s="450">
        <v>0.115</v>
      </c>
      <c r="K19" s="381"/>
      <c r="L19" s="279"/>
      <c r="M19" s="280"/>
      <c r="N19" s="281"/>
    </row>
    <row r="20" spans="1:14" s="318" customFormat="1" ht="14.25">
      <c r="A20" s="374"/>
      <c r="B20" s="311" t="s">
        <v>104</v>
      </c>
      <c r="C20" s="386">
        <f>SUM(C10:C19)</f>
        <v>569800000</v>
      </c>
      <c r="D20" s="313"/>
      <c r="E20" s="312"/>
      <c r="F20" s="312" t="s">
        <v>36</v>
      </c>
      <c r="G20" s="312"/>
      <c r="H20" s="386">
        <f>SUM(H10:H19)</f>
        <v>226854111.78</v>
      </c>
      <c r="I20" s="386">
        <f>SUM(I10:I19)</f>
        <v>417879272.74</v>
      </c>
      <c r="J20" s="312"/>
      <c r="K20" s="328"/>
      <c r="L20" s="315">
        <f>SUM(L10:L10)</f>
        <v>0</v>
      </c>
      <c r="M20" s="316">
        <f>SUM(M10:M10)</f>
        <v>0</v>
      </c>
      <c r="N20" s="317" t="s">
        <v>42</v>
      </c>
    </row>
    <row r="21" spans="1:14" s="396" customFormat="1" ht="64.5">
      <c r="A21" s="451" t="s">
        <v>80</v>
      </c>
      <c r="B21" s="272" t="s">
        <v>36</v>
      </c>
      <c r="C21" s="376">
        <v>37000000</v>
      </c>
      <c r="D21" s="377">
        <v>39018</v>
      </c>
      <c r="E21" s="377">
        <v>38447</v>
      </c>
      <c r="F21" s="382" t="s">
        <v>72</v>
      </c>
      <c r="G21" s="379"/>
      <c r="H21" s="376">
        <f>97466554.88</f>
        <v>97466554.88</v>
      </c>
      <c r="I21" s="376">
        <f>45000000*1.18</f>
        <v>53100000</v>
      </c>
      <c r="J21" s="380">
        <v>0.15</v>
      </c>
      <c r="K21" s="435" t="s">
        <v>142</v>
      </c>
      <c r="L21" s="393"/>
      <c r="M21" s="394"/>
      <c r="N21" s="395"/>
    </row>
    <row r="22" spans="1:14" s="396" customFormat="1" ht="19.5" customHeight="1">
      <c r="A22" s="451"/>
      <c r="B22" s="379" t="s">
        <v>36</v>
      </c>
      <c r="C22" s="452">
        <v>32500000</v>
      </c>
      <c r="D22" s="377">
        <v>38973</v>
      </c>
      <c r="E22" s="377">
        <v>38943</v>
      </c>
      <c r="F22" s="399" t="s">
        <v>38</v>
      </c>
      <c r="G22" s="399">
        <v>28</v>
      </c>
      <c r="H22" s="457">
        <v>30277688</v>
      </c>
      <c r="I22" s="457">
        <v>21194381</v>
      </c>
      <c r="J22" s="380">
        <v>0.12</v>
      </c>
      <c r="K22" s="292"/>
      <c r="L22" s="393"/>
      <c r="M22" s="394"/>
      <c r="N22" s="395"/>
    </row>
    <row r="23" spans="1:14" s="396" customFormat="1" ht="19.5" customHeight="1">
      <c r="A23" s="451"/>
      <c r="B23" s="379"/>
      <c r="C23" s="452"/>
      <c r="D23" s="377"/>
      <c r="E23" s="377"/>
      <c r="F23" s="458" t="s">
        <v>38</v>
      </c>
      <c r="G23" s="459"/>
      <c r="H23" s="460">
        <v>25500000</v>
      </c>
      <c r="I23" s="460" t="s">
        <v>257</v>
      </c>
      <c r="J23" s="380"/>
      <c r="K23" s="292"/>
      <c r="L23" s="393"/>
      <c r="M23" s="394"/>
      <c r="N23" s="395"/>
    </row>
    <row r="24" spans="1:14" s="282" customFormat="1" ht="14.25">
      <c r="A24" s="451"/>
      <c r="B24" s="326" t="s">
        <v>41</v>
      </c>
      <c r="C24" s="402">
        <f>SUM(C21:C22)</f>
        <v>69500000</v>
      </c>
      <c r="D24" s="327"/>
      <c r="E24" s="327"/>
      <c r="F24" s="327"/>
      <c r="G24" s="327"/>
      <c r="H24" s="402">
        <f>SUM(H21:H23)</f>
        <v>153244242.88</v>
      </c>
      <c r="I24" s="402">
        <f>SUM(I21:I23)</f>
        <v>74294381</v>
      </c>
      <c r="J24" s="312"/>
      <c r="K24" s="328"/>
      <c r="L24" s="315" t="e">
        <f>SUM(#REF!)</f>
        <v>#REF!</v>
      </c>
      <c r="M24" s="316" t="e">
        <f>SUM(#REF!)</f>
        <v>#REF!</v>
      </c>
      <c r="N24" s="317" t="s">
        <v>42</v>
      </c>
    </row>
    <row r="25" spans="1:14" s="338" customFormat="1" ht="12.75" hidden="1">
      <c r="A25" s="329"/>
      <c r="B25" s="275"/>
      <c r="C25" s="403"/>
      <c r="D25" s="331"/>
      <c r="E25" s="332"/>
      <c r="F25" s="275"/>
      <c r="G25" s="275"/>
      <c r="H25" s="403"/>
      <c r="I25" s="403"/>
      <c r="J25" s="333"/>
      <c r="K25" s="334"/>
      <c r="L25" s="335" t="e">
        <f>C25*J25/365*#REF!</f>
        <v>#REF!</v>
      </c>
      <c r="M25" s="336">
        <v>1272986</v>
      </c>
      <c r="N25" s="337"/>
    </row>
    <row r="26" spans="1:14" s="338" customFormat="1" ht="12.75" hidden="1">
      <c r="A26" s="339"/>
      <c r="B26" s="340"/>
      <c r="C26" s="404"/>
      <c r="D26" s="341"/>
      <c r="E26" s="342"/>
      <c r="F26" s="302"/>
      <c r="G26" s="302"/>
      <c r="H26" s="404"/>
      <c r="I26" s="404"/>
      <c r="J26" s="333"/>
      <c r="K26" s="334"/>
      <c r="L26" s="343"/>
      <c r="M26" s="344"/>
      <c r="N26" s="337"/>
    </row>
    <row r="27" spans="1:14" s="338" customFormat="1" ht="12.75" hidden="1">
      <c r="A27" s="339"/>
      <c r="B27" s="345"/>
      <c r="C27" s="403"/>
      <c r="D27" s="331"/>
      <c r="E27" s="332"/>
      <c r="F27" s="275"/>
      <c r="G27" s="275"/>
      <c r="H27" s="403"/>
      <c r="I27" s="403"/>
      <c r="J27" s="346"/>
      <c r="K27" s="334"/>
      <c r="L27" s="335" t="e">
        <f>C27*J27/365*#REF!</f>
        <v>#REF!</v>
      </c>
      <c r="M27" s="344">
        <v>0</v>
      </c>
      <c r="N27" s="337"/>
    </row>
    <row r="28" spans="1:14" s="282" customFormat="1" ht="12.75" hidden="1">
      <c r="A28" s="310"/>
      <c r="B28" s="311" t="s">
        <v>41</v>
      </c>
      <c r="C28" s="386">
        <f>SUM(C25:C27)</f>
        <v>0</v>
      </c>
      <c r="D28" s="312"/>
      <c r="E28" s="312"/>
      <c r="F28" s="312"/>
      <c r="G28" s="312"/>
      <c r="H28" s="386">
        <f>SUM(H25:H27)</f>
        <v>0</v>
      </c>
      <c r="I28" s="386">
        <f>SUM(I25:I27)</f>
        <v>0</v>
      </c>
      <c r="J28" s="312"/>
      <c r="K28" s="314"/>
      <c r="L28" s="315" t="e">
        <f>SUM(L25:L27)</f>
        <v>#REF!</v>
      </c>
      <c r="M28" s="316">
        <f>SUM(M25:M27)</f>
        <v>1272986</v>
      </c>
      <c r="N28" s="317" t="s">
        <v>42</v>
      </c>
    </row>
    <row r="29" spans="1:14" s="354" customFormat="1" ht="14.25">
      <c r="A29" s="347" t="s">
        <v>59</v>
      </c>
      <c r="B29" s="347"/>
      <c r="C29" s="405">
        <f>C20+C24</f>
        <v>639300000</v>
      </c>
      <c r="D29" s="348"/>
      <c r="E29" s="348"/>
      <c r="F29" s="348"/>
      <c r="G29" s="348"/>
      <c r="H29" s="405">
        <f>H20+H24</f>
        <v>380098354.65999997</v>
      </c>
      <c r="I29" s="405">
        <f>I20+I24</f>
        <v>492173653.74</v>
      </c>
      <c r="J29" s="406"/>
      <c r="K29" s="437"/>
      <c r="L29" s="351" t="e">
        <f>L20+L24+L28+#REF!+#REF!</f>
        <v>#REF!</v>
      </c>
      <c r="M29" s="352" t="e">
        <f>M20+M24+M28+#REF!+#REF!</f>
        <v>#REF!</v>
      </c>
      <c r="N29" s="353" t="s">
        <v>42</v>
      </c>
    </row>
    <row r="30" spans="1:11" s="282" customFormat="1" ht="14.25">
      <c r="A30" s="355"/>
      <c r="B30" s="355"/>
      <c r="C30" s="356"/>
      <c r="D30" s="357"/>
      <c r="E30" s="358"/>
      <c r="F30" s="358"/>
      <c r="G30" s="358"/>
      <c r="H30" s="358"/>
      <c r="I30" s="358"/>
      <c r="J30" s="358"/>
      <c r="K30" s="358"/>
    </row>
    <row r="31" spans="1:11" s="282" customFormat="1" ht="14.25">
      <c r="A31" s="196"/>
      <c r="B31" s="355"/>
      <c r="C31" s="355"/>
      <c r="D31" s="357"/>
      <c r="E31" s="358"/>
      <c r="F31" s="358"/>
      <c r="G31" s="358"/>
      <c r="H31" s="358"/>
      <c r="I31" s="358"/>
      <c r="J31" s="358"/>
      <c r="K31" s="358"/>
    </row>
    <row r="32" spans="1:11" s="282" customFormat="1" ht="14.25">
      <c r="A32" s="359"/>
      <c r="B32" s="196" t="s">
        <v>258</v>
      </c>
      <c r="C32" s="355">
        <f>C33+C34</f>
        <v>64500000</v>
      </c>
      <c r="D32" s="357"/>
      <c r="E32" s="358"/>
      <c r="F32" s="358"/>
      <c r="G32" s="358"/>
      <c r="H32" s="358"/>
      <c r="I32" s="358"/>
      <c r="J32" s="358"/>
      <c r="K32" s="358"/>
    </row>
    <row r="33" spans="1:11" s="282" customFormat="1" ht="14.25">
      <c r="A33" s="359"/>
      <c r="B33" s="196" t="s">
        <v>259</v>
      </c>
      <c r="C33" s="355">
        <v>32000000</v>
      </c>
      <c r="D33" s="358"/>
      <c r="E33" s="358"/>
      <c r="F33" s="358"/>
      <c r="G33" s="358"/>
      <c r="H33" s="358"/>
      <c r="I33" s="358"/>
      <c r="J33" s="358"/>
      <c r="K33" s="358"/>
    </row>
    <row r="34" spans="1:11" s="282" customFormat="1" ht="14.25">
      <c r="A34" s="359"/>
      <c r="B34" s="355" t="s">
        <v>260</v>
      </c>
      <c r="C34" s="421">
        <v>32500000</v>
      </c>
      <c r="D34" s="364"/>
      <c r="E34" s="358"/>
      <c r="F34" s="358"/>
      <c r="G34" s="358"/>
      <c r="H34" s="358"/>
      <c r="I34" s="358"/>
      <c r="J34" s="358"/>
      <c r="K34" s="358"/>
    </row>
    <row r="35" spans="1:11" ht="14.25">
      <c r="A35" s="203"/>
      <c r="B35" s="360"/>
      <c r="C35" s="361"/>
      <c r="D35" s="203"/>
      <c r="E35" s="132"/>
      <c r="F35" s="132"/>
      <c r="G35" s="132"/>
      <c r="H35" s="132"/>
      <c r="I35" s="132"/>
      <c r="J35" s="132"/>
      <c r="K35" s="132"/>
    </row>
    <row r="36" spans="1:11" ht="17.25" customHeight="1">
      <c r="A36" s="204"/>
      <c r="B36" s="360"/>
      <c r="C36" s="361"/>
      <c r="D36" s="195"/>
      <c r="E36" s="132"/>
      <c r="F36" s="132"/>
      <c r="G36" s="132"/>
      <c r="H36" s="132"/>
      <c r="I36" s="132"/>
      <c r="J36" s="132"/>
      <c r="K36" s="132"/>
    </row>
    <row r="37" spans="1:11" s="207" customFormat="1" ht="16.5">
      <c r="A37" s="409" t="s">
        <v>80</v>
      </c>
      <c r="B37" s="409"/>
      <c r="C37" s="409"/>
      <c r="D37" s="409"/>
      <c r="E37" s="409"/>
      <c r="F37" s="409"/>
      <c r="G37" s="409"/>
      <c r="H37" s="409"/>
      <c r="I37" s="409"/>
      <c r="J37" s="409"/>
      <c r="K37" s="409"/>
    </row>
    <row r="40" ht="16.5" customHeight="1"/>
    <row r="42" spans="1:2" ht="14.25">
      <c r="A42" s="362" t="s">
        <v>61</v>
      </c>
      <c r="B42" s="363"/>
    </row>
    <row r="43" spans="1:2" ht="14.25">
      <c r="A43" s="362" t="s">
        <v>49</v>
      </c>
      <c r="B43" s="362"/>
    </row>
    <row r="44" ht="13.5">
      <c r="A44" s="208" t="s">
        <v>38</v>
      </c>
    </row>
  </sheetData>
  <mergeCells count="29">
    <mergeCell ref="A1:K1"/>
    <mergeCell ref="A2:K2"/>
    <mergeCell ref="A4:K4"/>
    <mergeCell ref="A6:A9"/>
    <mergeCell ref="B6:B9"/>
    <mergeCell ref="C6:C9"/>
    <mergeCell ref="D6:D9"/>
    <mergeCell ref="E6:E9"/>
    <mergeCell ref="F6:G7"/>
    <mergeCell ref="H6:H9"/>
    <mergeCell ref="I6:I9"/>
    <mergeCell ref="J6:J9"/>
    <mergeCell ref="K6:K9"/>
    <mergeCell ref="L6:N6"/>
    <mergeCell ref="L7:N7"/>
    <mergeCell ref="F8:F9"/>
    <mergeCell ref="G8:G9"/>
    <mergeCell ref="A10:A20"/>
    <mergeCell ref="A21:A24"/>
    <mergeCell ref="B22:B23"/>
    <mergeCell ref="C22:C23"/>
    <mergeCell ref="D22:D23"/>
    <mergeCell ref="E22:E23"/>
    <mergeCell ref="J22:J23"/>
    <mergeCell ref="J25:J26"/>
    <mergeCell ref="K25:K27"/>
    <mergeCell ref="A29:B29"/>
    <mergeCell ref="A30:B30"/>
    <mergeCell ref="A37:K37"/>
  </mergeCells>
  <printOptions horizontalCentered="1"/>
  <pageMargins left="0.2298611111111111" right="0.22013888888888888" top="0.9840277777777777" bottom="0.25972222222222224" header="0.5118055555555555" footer="0.5118055555555555"/>
  <pageSetup fitToHeight="1" fitToWidth="1" horizontalDpi="300" verticalDpi="3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workbookViewId="0" topLeftCell="A1">
      <selection activeCell="B36" sqref="B36"/>
    </sheetView>
  </sheetViews>
  <sheetFormatPr defaultColWidth="9.00390625" defaultRowHeight="12.75"/>
  <cols>
    <col min="1" max="1" width="30.875" style="1" customWidth="1"/>
    <col min="2" max="2" width="28.875" style="0" customWidth="1"/>
    <col min="3" max="3" width="15.125" style="0" customWidth="1"/>
    <col min="4" max="4" width="13.875" style="2" customWidth="1"/>
    <col min="5" max="5" width="14.875" style="0" customWidth="1"/>
    <col min="6" max="6" width="38.25390625" style="0" customWidth="1"/>
    <col min="7" max="7" width="8.25390625" style="0" customWidth="1"/>
    <col min="8" max="8" width="15.125" style="0" customWidth="1"/>
    <col min="9" max="9" width="14.625" style="0" customWidth="1"/>
    <col min="10" max="10" width="11.375" style="0" customWidth="1"/>
    <col min="11" max="14" width="0" style="0" hidden="1" customWidth="1"/>
    <col min="15" max="15" width="22.00390625" style="0" customWidth="1"/>
  </cols>
  <sheetData>
    <row r="1" spans="1:11" ht="16.5">
      <c r="A1" s="365" t="s">
        <v>119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1" ht="16.5">
      <c r="A2" s="365" t="s">
        <v>80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 ht="16.5">
      <c r="A3" s="366"/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11" ht="12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</row>
    <row r="5" spans="10:11" ht="12">
      <c r="J5" s="368" t="s">
        <v>121</v>
      </c>
      <c r="K5" s="368" t="s">
        <v>121</v>
      </c>
    </row>
    <row r="6" spans="1:14" s="255" customFormat="1" ht="14.25">
      <c r="A6" s="369" t="s">
        <v>122</v>
      </c>
      <c r="B6" s="370" t="s">
        <v>38</v>
      </c>
      <c r="C6" s="370" t="s">
        <v>124</v>
      </c>
      <c r="D6" s="370" t="s">
        <v>125</v>
      </c>
      <c r="E6" s="370" t="s">
        <v>126</v>
      </c>
      <c r="F6" s="371" t="s">
        <v>127</v>
      </c>
      <c r="G6" s="371"/>
      <c r="H6" s="370" t="s">
        <v>128</v>
      </c>
      <c r="I6" s="370" t="s">
        <v>129</v>
      </c>
      <c r="J6" s="370" t="s">
        <v>130</v>
      </c>
      <c r="K6" s="372" t="s">
        <v>131</v>
      </c>
      <c r="L6" s="254" t="s">
        <v>10</v>
      </c>
      <c r="M6" s="254"/>
      <c r="N6" s="254"/>
    </row>
    <row r="7" spans="1:14" s="255" customFormat="1" ht="14.25">
      <c r="A7" s="369"/>
      <c r="B7" s="370"/>
      <c r="C7" s="370"/>
      <c r="D7" s="370"/>
      <c r="E7" s="370"/>
      <c r="F7" s="371"/>
      <c r="G7" s="371"/>
      <c r="H7" s="370"/>
      <c r="I7" s="370"/>
      <c r="J7" s="370"/>
      <c r="K7" s="372"/>
      <c r="L7" s="260" t="s">
        <v>21</v>
      </c>
      <c r="M7" s="260"/>
      <c r="N7" s="260"/>
    </row>
    <row r="8" spans="1:14" s="255" customFormat="1" ht="14.25">
      <c r="A8" s="369"/>
      <c r="B8" s="370"/>
      <c r="C8" s="370"/>
      <c r="D8" s="370"/>
      <c r="E8" s="370"/>
      <c r="F8" s="373" t="s">
        <v>26</v>
      </c>
      <c r="G8" s="373" t="s">
        <v>27</v>
      </c>
      <c r="H8" s="370"/>
      <c r="I8" s="370"/>
      <c r="J8" s="370"/>
      <c r="K8" s="372"/>
      <c r="L8" s="254" t="s">
        <v>31</v>
      </c>
      <c r="M8" s="261" t="s">
        <v>32</v>
      </c>
      <c r="N8" s="262" t="s">
        <v>33</v>
      </c>
    </row>
    <row r="9" spans="1:14" s="270" customFormat="1" ht="14.25">
      <c r="A9" s="369"/>
      <c r="B9" s="370"/>
      <c r="C9" s="370"/>
      <c r="D9" s="370"/>
      <c r="E9" s="370"/>
      <c r="F9" s="373"/>
      <c r="G9" s="373"/>
      <c r="H9" s="370"/>
      <c r="I9" s="370"/>
      <c r="J9" s="370"/>
      <c r="K9" s="372"/>
      <c r="L9" s="268"/>
      <c r="M9" s="269"/>
      <c r="N9" s="268"/>
    </row>
    <row r="10" spans="1:14" s="282" customFormat="1" ht="22.5" customHeight="1">
      <c r="A10" s="461" t="s">
        <v>49</v>
      </c>
      <c r="B10" s="446" t="s">
        <v>88</v>
      </c>
      <c r="C10" s="440">
        <v>100000000</v>
      </c>
      <c r="D10" s="441">
        <v>39045</v>
      </c>
      <c r="E10" s="441">
        <v>38686</v>
      </c>
      <c r="F10" s="397" t="s">
        <v>38</v>
      </c>
      <c r="G10" s="442"/>
      <c r="H10" s="440">
        <v>226854111.78</v>
      </c>
      <c r="I10" s="440">
        <v>100000000</v>
      </c>
      <c r="J10" s="447">
        <v>0.13</v>
      </c>
      <c r="K10" s="381" t="s">
        <v>202</v>
      </c>
      <c r="L10" s="279"/>
      <c r="M10" s="280"/>
      <c r="N10" s="281"/>
    </row>
    <row r="11" spans="1:14" s="282" customFormat="1" ht="22.5" customHeight="1">
      <c r="A11" s="461"/>
      <c r="B11" s="439" t="s">
        <v>36</v>
      </c>
      <c r="C11" s="440">
        <v>100000000</v>
      </c>
      <c r="D11" s="441">
        <v>39071</v>
      </c>
      <c r="E11" s="441">
        <v>38712</v>
      </c>
      <c r="F11" s="397" t="s">
        <v>36</v>
      </c>
      <c r="G11" s="442"/>
      <c r="H11" s="440"/>
      <c r="I11" s="440">
        <v>100000000</v>
      </c>
      <c r="J11" s="447">
        <v>0.115</v>
      </c>
      <c r="K11" s="381"/>
      <c r="L11" s="279"/>
      <c r="M11" s="280"/>
      <c r="N11" s="281"/>
    </row>
    <row r="12" spans="1:14" s="282" customFormat="1" ht="22.5" customHeight="1">
      <c r="A12" s="461"/>
      <c r="B12" s="439" t="s">
        <v>172</v>
      </c>
      <c r="C12" s="440">
        <v>70000000</v>
      </c>
      <c r="D12" s="441">
        <v>39367</v>
      </c>
      <c r="E12" s="441">
        <v>39009</v>
      </c>
      <c r="F12" s="397" t="s">
        <v>38</v>
      </c>
      <c r="G12" s="442"/>
      <c r="H12" s="440"/>
      <c r="I12" s="440"/>
      <c r="J12" s="447">
        <v>0.115</v>
      </c>
      <c r="K12" s="381"/>
      <c r="L12" s="279"/>
      <c r="M12" s="280"/>
      <c r="N12" s="281"/>
    </row>
    <row r="13" spans="1:14" s="282" customFormat="1" ht="22.5" customHeight="1">
      <c r="A13" s="461"/>
      <c r="B13" s="446" t="s">
        <v>172</v>
      </c>
      <c r="C13" s="440">
        <v>50000000</v>
      </c>
      <c r="D13" s="441">
        <v>39227</v>
      </c>
      <c r="E13" s="441">
        <v>38868</v>
      </c>
      <c r="F13" s="397" t="s">
        <v>246</v>
      </c>
      <c r="G13" s="442"/>
      <c r="H13" s="440"/>
      <c r="I13" s="440"/>
      <c r="J13" s="450">
        <v>0.11</v>
      </c>
      <c r="K13" s="381"/>
      <c r="L13" s="279"/>
      <c r="M13" s="280"/>
      <c r="N13" s="281"/>
    </row>
    <row r="14" spans="1:14" s="282" customFormat="1" ht="22.5" customHeight="1">
      <c r="A14" s="461"/>
      <c r="B14" s="446" t="s">
        <v>172</v>
      </c>
      <c r="C14" s="440">
        <v>69000000</v>
      </c>
      <c r="D14" s="441">
        <v>39435</v>
      </c>
      <c r="E14" s="441">
        <v>38895</v>
      </c>
      <c r="F14" s="397" t="s">
        <v>167</v>
      </c>
      <c r="G14" s="442"/>
      <c r="H14" s="440"/>
      <c r="I14" s="440"/>
      <c r="J14" s="450">
        <v>0.11</v>
      </c>
      <c r="K14" s="381" t="s">
        <v>215</v>
      </c>
      <c r="L14" s="279"/>
      <c r="M14" s="280"/>
      <c r="N14" s="281"/>
    </row>
    <row r="15" spans="1:14" s="282" customFormat="1" ht="22.5" customHeight="1">
      <c r="A15" s="461"/>
      <c r="B15" s="446" t="s">
        <v>88</v>
      </c>
      <c r="C15" s="440">
        <v>74000000</v>
      </c>
      <c r="D15" s="441">
        <v>39076</v>
      </c>
      <c r="E15" s="441">
        <v>38912</v>
      </c>
      <c r="F15" s="397" t="s">
        <v>36</v>
      </c>
      <c r="G15" s="442"/>
      <c r="H15" s="440"/>
      <c r="I15" s="440">
        <v>65880569.5</v>
      </c>
      <c r="J15" s="450">
        <v>0.12</v>
      </c>
      <c r="K15" s="381"/>
      <c r="L15" s="279"/>
      <c r="M15" s="280"/>
      <c r="N15" s="281"/>
    </row>
    <row r="16" spans="1:14" s="282" customFormat="1" ht="22.5" customHeight="1">
      <c r="A16" s="461"/>
      <c r="B16" s="446" t="s">
        <v>36</v>
      </c>
      <c r="C16" s="440">
        <v>26000000</v>
      </c>
      <c r="D16" s="441">
        <v>39332</v>
      </c>
      <c r="E16" s="441">
        <v>38936</v>
      </c>
      <c r="F16" s="397" t="s">
        <v>38</v>
      </c>
      <c r="G16" s="442"/>
      <c r="H16" s="440"/>
      <c r="I16" s="440">
        <v>63415818</v>
      </c>
      <c r="J16" s="450">
        <v>0.12</v>
      </c>
      <c r="K16" s="381"/>
      <c r="L16" s="279"/>
      <c r="M16" s="280"/>
      <c r="N16" s="281"/>
    </row>
    <row r="17" spans="1:14" s="282" customFormat="1" ht="22.5" customHeight="1">
      <c r="A17" s="461"/>
      <c r="B17" s="446" t="s">
        <v>38</v>
      </c>
      <c r="C17" s="440">
        <v>36900000</v>
      </c>
      <c r="D17" s="441">
        <v>39291</v>
      </c>
      <c r="E17" s="441">
        <v>38926</v>
      </c>
      <c r="F17" s="397" t="s">
        <v>246</v>
      </c>
      <c r="G17" s="442"/>
      <c r="H17" s="440">
        <v>67880000</v>
      </c>
      <c r="I17" s="440">
        <v>44422000</v>
      </c>
      <c r="J17" s="450">
        <v>0.115</v>
      </c>
      <c r="K17" s="381"/>
      <c r="L17" s="279"/>
      <c r="M17" s="280"/>
      <c r="N17" s="281"/>
    </row>
    <row r="18" spans="1:14" s="282" customFormat="1" ht="22.5" customHeight="1">
      <c r="A18" s="461"/>
      <c r="B18" s="446" t="s">
        <v>88</v>
      </c>
      <c r="C18" s="440">
        <v>36900000</v>
      </c>
      <c r="D18" s="441">
        <v>39291</v>
      </c>
      <c r="E18" s="441">
        <v>38926</v>
      </c>
      <c r="F18" s="397" t="s">
        <v>38</v>
      </c>
      <c r="G18" s="442"/>
      <c r="H18" s="440">
        <v>67312000</v>
      </c>
      <c r="I18" s="440">
        <v>44052800</v>
      </c>
      <c r="J18" s="450">
        <v>0.115</v>
      </c>
      <c r="K18" s="381"/>
      <c r="L18" s="279"/>
      <c r="M18" s="280"/>
      <c r="N18" s="281"/>
    </row>
    <row r="19" spans="1:14" s="282" customFormat="1" ht="22.5" customHeight="1">
      <c r="A19" s="461"/>
      <c r="B19" s="446" t="s">
        <v>162</v>
      </c>
      <c r="C19" s="440">
        <v>36500000</v>
      </c>
      <c r="D19" s="441">
        <v>39346</v>
      </c>
      <c r="E19" s="441" t="s">
        <v>261</v>
      </c>
      <c r="F19" s="397" t="s">
        <v>226</v>
      </c>
      <c r="G19" s="442"/>
      <c r="H19" s="440">
        <v>63305084.73</v>
      </c>
      <c r="I19" s="440">
        <v>41158305.08</v>
      </c>
      <c r="J19" s="450">
        <v>0.115</v>
      </c>
      <c r="K19" s="381"/>
      <c r="L19" s="279"/>
      <c r="M19" s="280"/>
      <c r="N19" s="281"/>
    </row>
    <row r="20" spans="1:14" s="282" customFormat="1" ht="22.5" customHeight="1">
      <c r="A20" s="461"/>
      <c r="B20" s="446" t="s">
        <v>137</v>
      </c>
      <c r="C20" s="440">
        <v>36500000</v>
      </c>
      <c r="D20" s="441">
        <v>39346</v>
      </c>
      <c r="E20" s="441" t="s">
        <v>261</v>
      </c>
      <c r="F20" s="397" t="s">
        <v>166</v>
      </c>
      <c r="G20" s="442"/>
      <c r="H20" s="440"/>
      <c r="I20" s="440"/>
      <c r="J20" s="450">
        <v>0.115</v>
      </c>
      <c r="K20" s="381"/>
      <c r="L20" s="279"/>
      <c r="M20" s="280"/>
      <c r="N20" s="281"/>
    </row>
    <row r="21" spans="1:14" s="282" customFormat="1" ht="22.5" customHeight="1">
      <c r="A21" s="461"/>
      <c r="B21" s="446" t="s">
        <v>260</v>
      </c>
      <c r="C21" s="440">
        <v>6000000</v>
      </c>
      <c r="D21" s="441"/>
      <c r="E21" s="441">
        <v>39009</v>
      </c>
      <c r="F21" s="397"/>
      <c r="G21" s="442"/>
      <c r="H21" s="440"/>
      <c r="I21" s="440"/>
      <c r="J21" s="450">
        <v>0.02</v>
      </c>
      <c r="K21" s="381"/>
      <c r="L21" s="279"/>
      <c r="M21" s="280"/>
      <c r="N21" s="281"/>
    </row>
    <row r="22" spans="1:14" s="282" customFormat="1" ht="22.5" customHeight="1">
      <c r="A22" s="461"/>
      <c r="B22" s="311" t="s">
        <v>38</v>
      </c>
      <c r="C22" s="386">
        <f>SUM(C10:C21)</f>
        <v>641800000</v>
      </c>
      <c r="D22" s="313"/>
      <c r="E22" s="312"/>
      <c r="F22" s="312" t="s">
        <v>36</v>
      </c>
      <c r="G22" s="312"/>
      <c r="H22" s="386">
        <f>SUM(H10:H21)</f>
        <v>425351196.51</v>
      </c>
      <c r="I22" s="386">
        <f>SUM(I10:I21)</f>
        <v>458929492.58</v>
      </c>
      <c r="J22" s="312"/>
      <c r="K22" s="381"/>
      <c r="L22" s="279"/>
      <c r="M22" s="280"/>
      <c r="N22" s="281"/>
    </row>
    <row r="23" spans="1:14" s="318" customFormat="1" ht="16.5" customHeight="1">
      <c r="A23" s="462" t="s">
        <v>49</v>
      </c>
      <c r="B23" s="379" t="s">
        <v>36</v>
      </c>
      <c r="C23" s="452">
        <v>32500000</v>
      </c>
      <c r="D23" s="377">
        <v>39030</v>
      </c>
      <c r="E23" s="377">
        <v>39000</v>
      </c>
      <c r="F23" s="399" t="s">
        <v>140</v>
      </c>
      <c r="G23" s="442">
        <v>28</v>
      </c>
      <c r="H23" s="440">
        <v>30277688</v>
      </c>
      <c r="I23" s="440">
        <v>21194381</v>
      </c>
      <c r="J23" s="380">
        <v>0.12</v>
      </c>
      <c r="K23" s="328"/>
      <c r="L23" s="315" t="e">
        <f>SUM(#REF!)</f>
        <v>#REF!</v>
      </c>
      <c r="M23" s="316" t="e">
        <f>SUM(#REF!)</f>
        <v>#REF!</v>
      </c>
      <c r="N23" s="317" t="s">
        <v>42</v>
      </c>
    </row>
    <row r="24" spans="1:14" s="396" customFormat="1" ht="14.25">
      <c r="A24" s="462"/>
      <c r="B24" s="379"/>
      <c r="C24" s="452"/>
      <c r="D24" s="377"/>
      <c r="E24" s="377"/>
      <c r="F24" s="399" t="s">
        <v>172</v>
      </c>
      <c r="G24" s="442">
        <v>1</v>
      </c>
      <c r="H24" s="440">
        <v>25500000</v>
      </c>
      <c r="I24" s="440">
        <v>25000000</v>
      </c>
      <c r="J24" s="380"/>
      <c r="K24" s="292"/>
      <c r="L24" s="393"/>
      <c r="M24" s="394"/>
      <c r="N24" s="395"/>
    </row>
    <row r="25" spans="1:14" s="396" customFormat="1" ht="14.25">
      <c r="A25" s="462"/>
      <c r="B25" s="400" t="s">
        <v>38</v>
      </c>
      <c r="C25" s="463">
        <v>10000000</v>
      </c>
      <c r="D25" s="398"/>
      <c r="E25" s="398">
        <v>39017</v>
      </c>
      <c r="F25" s="399" t="s">
        <v>153</v>
      </c>
      <c r="G25" s="442"/>
      <c r="H25" s="440"/>
      <c r="I25" s="440"/>
      <c r="J25" s="401"/>
      <c r="K25" s="292"/>
      <c r="L25" s="393"/>
      <c r="M25" s="394"/>
      <c r="N25" s="395"/>
    </row>
    <row r="26" spans="1:14" s="396" customFormat="1" ht="14.25">
      <c r="A26" s="462"/>
      <c r="B26" s="326" t="s">
        <v>41</v>
      </c>
      <c r="C26" s="402">
        <f>SUM(C23:C25)</f>
        <v>42500000</v>
      </c>
      <c r="D26" s="327"/>
      <c r="E26" s="327"/>
      <c r="F26" s="327" t="s">
        <v>36</v>
      </c>
      <c r="G26" s="327"/>
      <c r="H26" s="402">
        <f>SUM(H23:H24)</f>
        <v>55777688</v>
      </c>
      <c r="I26" s="402">
        <f>SUM(I23:I24)</f>
        <v>46194381</v>
      </c>
      <c r="J26" s="327"/>
      <c r="K26" s="292"/>
      <c r="L26" s="393"/>
      <c r="M26" s="394"/>
      <c r="N26" s="395"/>
    </row>
    <row r="27" spans="1:14" s="282" customFormat="1" ht="14.25">
      <c r="A27" s="464" t="s">
        <v>262</v>
      </c>
      <c r="B27" s="464"/>
      <c r="C27" s="465">
        <f>SUM(C26,C22)</f>
        <v>684300000</v>
      </c>
      <c r="D27" s="466"/>
      <c r="E27" s="467"/>
      <c r="F27" s="468"/>
      <c r="G27" s="468"/>
      <c r="H27" s="469">
        <f>H22+H26</f>
        <v>481128884.51</v>
      </c>
      <c r="I27" s="469">
        <f>I22+I26</f>
        <v>505123873.58</v>
      </c>
      <c r="J27" s="470"/>
      <c r="K27" s="328"/>
      <c r="L27" s="315" t="e">
        <f>SUM(#REF!)</f>
        <v>#REF!</v>
      </c>
      <c r="M27" s="316" t="e">
        <f>SUM(#REF!)</f>
        <v>#REF!</v>
      </c>
      <c r="N27" s="317" t="s">
        <v>42</v>
      </c>
    </row>
    <row r="28" spans="1:14" s="338" customFormat="1" ht="12.75" hidden="1">
      <c r="A28" s="471"/>
      <c r="B28" s="472"/>
      <c r="C28" s="473"/>
      <c r="D28" s="474"/>
      <c r="E28" s="475"/>
      <c r="F28" s="476"/>
      <c r="G28" s="476"/>
      <c r="H28" s="473"/>
      <c r="I28" s="473"/>
      <c r="J28" s="470"/>
      <c r="K28" s="334"/>
      <c r="L28" s="335" t="e">
        <f>C27*J27/365*#REF!</f>
        <v>#REF!</v>
      </c>
      <c r="M28" s="336">
        <v>1272986</v>
      </c>
      <c r="N28" s="337"/>
    </row>
    <row r="29" spans="1:14" s="338" customFormat="1" ht="12.75" hidden="1">
      <c r="A29" s="339"/>
      <c r="B29" s="345"/>
      <c r="C29" s="403"/>
      <c r="D29" s="331"/>
      <c r="E29" s="332"/>
      <c r="F29" s="275"/>
      <c r="G29" s="275"/>
      <c r="H29" s="403"/>
      <c r="I29" s="403"/>
      <c r="J29" s="346"/>
      <c r="K29" s="334"/>
      <c r="L29" s="343"/>
      <c r="M29" s="344"/>
      <c r="N29" s="337"/>
    </row>
    <row r="30" spans="1:14" s="338" customFormat="1" ht="12.75" hidden="1">
      <c r="A30" s="339"/>
      <c r="B30" s="311" t="s">
        <v>41</v>
      </c>
      <c r="C30" s="386">
        <f>SUM(C27:C29)</f>
        <v>684300000</v>
      </c>
      <c r="D30" s="312"/>
      <c r="E30" s="312"/>
      <c r="F30" s="312"/>
      <c r="G30" s="312"/>
      <c r="H30" s="386">
        <f>SUM(H27:H29)</f>
        <v>481128884.51</v>
      </c>
      <c r="I30" s="386">
        <f>SUM(I27:I29)</f>
        <v>505123873.58</v>
      </c>
      <c r="J30" s="312"/>
      <c r="K30" s="334"/>
      <c r="L30" s="335" t="e">
        <f>C29*J29/365*#REF!</f>
        <v>#REF!</v>
      </c>
      <c r="M30" s="344">
        <v>0</v>
      </c>
      <c r="N30" s="337"/>
    </row>
    <row r="31" spans="1:14" s="282" customFormat="1" ht="12.75" hidden="1">
      <c r="A31" s="429"/>
      <c r="B31" s="477"/>
      <c r="C31" s="405">
        <f>C22+C26</f>
        <v>684300000</v>
      </c>
      <c r="D31" s="348"/>
      <c r="E31" s="348"/>
      <c r="F31" s="348"/>
      <c r="G31" s="348"/>
      <c r="H31" s="405">
        <f>H22+H26</f>
        <v>481128884.51</v>
      </c>
      <c r="I31" s="405">
        <f>I22+I26</f>
        <v>505123873.58</v>
      </c>
      <c r="J31" s="406"/>
      <c r="K31" s="314"/>
      <c r="L31" s="315" t="e">
        <f>SUM(L28:L30)</f>
        <v>#REF!</v>
      </c>
      <c r="M31" s="316">
        <f>SUM(M28:M30)</f>
        <v>1272986</v>
      </c>
      <c r="N31" s="317" t="s">
        <v>42</v>
      </c>
    </row>
    <row r="32" spans="1:14" s="354" customFormat="1" ht="14.25">
      <c r="A32" s="478"/>
      <c r="B32" s="355"/>
      <c r="C32" s="356"/>
      <c r="D32" s="357"/>
      <c r="E32" s="358"/>
      <c r="F32" s="358"/>
      <c r="G32" s="358"/>
      <c r="H32" s="358"/>
      <c r="I32" s="358"/>
      <c r="J32" s="358"/>
      <c r="K32" s="437"/>
      <c r="L32" s="351" t="e">
        <f>L23+L27+L31+#REF!+#REF!</f>
        <v>#REF!</v>
      </c>
      <c r="M32" s="352" t="e">
        <f>M23+M27+M31+#REF!+#REF!</f>
        <v>#REF!</v>
      </c>
      <c r="N32" s="353" t="s">
        <v>42</v>
      </c>
    </row>
    <row r="33" spans="1:11" s="282" customFormat="1" ht="14.25">
      <c r="A33" s="355"/>
      <c r="B33" s="355"/>
      <c r="C33" s="355"/>
      <c r="D33" s="357"/>
      <c r="E33" s="358"/>
      <c r="F33" s="358"/>
      <c r="G33" s="358"/>
      <c r="H33" s="358"/>
      <c r="I33" s="358"/>
      <c r="J33" s="358"/>
      <c r="K33" s="358"/>
    </row>
    <row r="34" spans="1:11" s="282" customFormat="1" ht="14.25">
      <c r="A34" s="196"/>
      <c r="B34" s="196" t="s">
        <v>263</v>
      </c>
      <c r="C34" s="355">
        <v>132500000</v>
      </c>
      <c r="D34" s="357"/>
      <c r="E34" s="358"/>
      <c r="F34" s="358"/>
      <c r="G34" s="358"/>
      <c r="H34" s="358"/>
      <c r="I34" s="358"/>
      <c r="J34" s="358"/>
      <c r="K34" s="358"/>
    </row>
    <row r="35" spans="1:11" s="282" customFormat="1" ht="14.25">
      <c r="A35" s="359"/>
      <c r="B35" s="196" t="s">
        <v>38</v>
      </c>
      <c r="C35" s="355">
        <v>100000000</v>
      </c>
      <c r="D35" s="358"/>
      <c r="E35" s="358"/>
      <c r="F35" s="358"/>
      <c r="G35" s="358"/>
      <c r="H35" s="358"/>
      <c r="I35" s="358"/>
      <c r="J35" s="358"/>
      <c r="K35" s="358"/>
    </row>
    <row r="36" spans="1:11" s="282" customFormat="1" ht="14.25">
      <c r="A36" s="359"/>
      <c r="B36" s="355" t="s">
        <v>264</v>
      </c>
      <c r="C36" s="479">
        <v>32500000</v>
      </c>
      <c r="D36" s="364"/>
      <c r="E36" s="358"/>
      <c r="F36" s="358"/>
      <c r="G36" s="358"/>
      <c r="H36" s="358"/>
      <c r="I36" s="358"/>
      <c r="J36" s="358"/>
      <c r="K36" s="358"/>
    </row>
    <row r="37" spans="1:11" s="282" customFormat="1" ht="14.25">
      <c r="A37" s="359"/>
      <c r="B37" s="360" t="s">
        <v>88</v>
      </c>
      <c r="C37" s="361"/>
      <c r="D37" s="203"/>
      <c r="E37" s="132"/>
      <c r="F37" s="132"/>
      <c r="G37" s="132"/>
      <c r="H37" s="132"/>
      <c r="I37" s="132"/>
      <c r="J37" s="132"/>
      <c r="K37" s="358"/>
    </row>
    <row r="38" spans="1:11" ht="14.25">
      <c r="A38" s="203"/>
      <c r="B38" s="360"/>
      <c r="C38" s="361"/>
      <c r="D38" s="195"/>
      <c r="E38" s="132"/>
      <c r="F38" s="132"/>
      <c r="G38" s="132"/>
      <c r="H38" s="132"/>
      <c r="I38" s="132"/>
      <c r="J38" s="132"/>
      <c r="K38" s="132"/>
    </row>
    <row r="39" spans="1:11" ht="17.25" customHeight="1">
      <c r="A39" s="204"/>
      <c r="B39" s="480"/>
      <c r="C39" s="480"/>
      <c r="D39" s="480"/>
      <c r="E39" s="480"/>
      <c r="F39" s="480"/>
      <c r="G39" s="480"/>
      <c r="H39" s="480"/>
      <c r="I39" s="480"/>
      <c r="J39" s="480"/>
      <c r="K39" s="132"/>
    </row>
    <row r="40" spans="1:11" s="207" customFormat="1" ht="16.5">
      <c r="A40" s="409" t="s">
        <v>80</v>
      </c>
      <c r="B40" s="409"/>
      <c r="C40" s="409"/>
      <c r="D40" s="409"/>
      <c r="E40" s="409"/>
      <c r="F40" s="409"/>
      <c r="G40" s="409"/>
      <c r="H40" s="409"/>
      <c r="I40" s="409"/>
      <c r="J40" s="409"/>
      <c r="K40" s="409"/>
    </row>
    <row r="43" ht="16.5" customHeight="1"/>
    <row r="44" ht="12">
      <c r="B44" s="363"/>
    </row>
    <row r="45" spans="1:2" ht="14.25">
      <c r="A45" s="362" t="s">
        <v>61</v>
      </c>
      <c r="B45" s="362"/>
    </row>
    <row r="46" ht="13.5">
      <c r="A46" s="362" t="s">
        <v>265</v>
      </c>
    </row>
    <row r="47" ht="14.25">
      <c r="A47" s="208"/>
    </row>
  </sheetData>
  <mergeCells count="28">
    <mergeCell ref="A1:K1"/>
    <mergeCell ref="A2:K2"/>
    <mergeCell ref="A4:K4"/>
    <mergeCell ref="A6:A9"/>
    <mergeCell ref="B6:B9"/>
    <mergeCell ref="C6:C9"/>
    <mergeCell ref="D6:D9"/>
    <mergeCell ref="E6:E9"/>
    <mergeCell ref="F6:G7"/>
    <mergeCell ref="H6:H9"/>
    <mergeCell ref="I6:I9"/>
    <mergeCell ref="J6:J9"/>
    <mergeCell ref="K6:K9"/>
    <mergeCell ref="L6:N6"/>
    <mergeCell ref="L7:N7"/>
    <mergeCell ref="F8:F9"/>
    <mergeCell ref="G8:G9"/>
    <mergeCell ref="A10:A22"/>
    <mergeCell ref="A23:A26"/>
    <mergeCell ref="B23:B24"/>
    <mergeCell ref="C23:C24"/>
    <mergeCell ref="D23:D24"/>
    <mergeCell ref="E23:E24"/>
    <mergeCell ref="J23:J24"/>
    <mergeCell ref="A27:B27"/>
    <mergeCell ref="J27:J28"/>
    <mergeCell ref="K28:K30"/>
    <mergeCell ref="A40:K40"/>
  </mergeCells>
  <printOptions horizont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workbookViewId="0" topLeftCell="A22">
      <selection activeCell="B34" sqref="B34"/>
    </sheetView>
  </sheetViews>
  <sheetFormatPr defaultColWidth="9.00390625" defaultRowHeight="12.75"/>
  <cols>
    <col min="1" max="1" width="30.875" style="1" customWidth="1"/>
    <col min="2" max="2" width="28.875" style="0" customWidth="1"/>
    <col min="3" max="3" width="15.125" style="0" customWidth="1"/>
    <col min="4" max="4" width="13.875" style="2" customWidth="1"/>
    <col min="5" max="5" width="14.875" style="0" customWidth="1"/>
    <col min="6" max="6" width="38.25390625" style="0" customWidth="1"/>
    <col min="7" max="7" width="8.25390625" style="0" customWidth="1"/>
    <col min="8" max="8" width="15.125" style="0" customWidth="1"/>
    <col min="9" max="9" width="14.625" style="0" customWidth="1"/>
    <col min="10" max="10" width="11.375" style="0" customWidth="1"/>
    <col min="11" max="14" width="0" style="0" hidden="1" customWidth="1"/>
    <col min="15" max="15" width="22.00390625" style="0" customWidth="1"/>
  </cols>
  <sheetData>
    <row r="1" spans="1:11" ht="16.5">
      <c r="A1" s="365" t="s">
        <v>119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1" ht="16.5">
      <c r="A2" s="365" t="s">
        <v>111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 ht="16.5">
      <c r="A3" s="366"/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11" ht="12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</row>
    <row r="5" spans="10:11" ht="12">
      <c r="J5" s="368" t="s">
        <v>121</v>
      </c>
      <c r="K5" s="368" t="s">
        <v>121</v>
      </c>
    </row>
    <row r="6" spans="1:14" s="255" customFormat="1" ht="14.25">
      <c r="A6" s="369" t="s">
        <v>122</v>
      </c>
      <c r="B6" s="370" t="s">
        <v>123</v>
      </c>
      <c r="C6" s="370" t="s">
        <v>124</v>
      </c>
      <c r="D6" s="370" t="s">
        <v>125</v>
      </c>
      <c r="E6" s="370" t="s">
        <v>126</v>
      </c>
      <c r="F6" s="371" t="s">
        <v>127</v>
      </c>
      <c r="G6" s="371"/>
      <c r="H6" s="370" t="s">
        <v>128</v>
      </c>
      <c r="I6" s="370" t="s">
        <v>129</v>
      </c>
      <c r="J6" s="370" t="s">
        <v>130</v>
      </c>
      <c r="K6" s="372" t="s">
        <v>131</v>
      </c>
      <c r="L6" s="254" t="s">
        <v>10</v>
      </c>
      <c r="M6" s="254"/>
      <c r="N6" s="254"/>
    </row>
    <row r="7" spans="1:14" s="255" customFormat="1" ht="14.25">
      <c r="A7" s="369"/>
      <c r="B7" s="370"/>
      <c r="C7" s="370"/>
      <c r="D7" s="370"/>
      <c r="E7" s="370"/>
      <c r="F7" s="371"/>
      <c r="G7" s="371"/>
      <c r="H7" s="370"/>
      <c r="I7" s="370"/>
      <c r="J7" s="370"/>
      <c r="K7" s="372"/>
      <c r="L7" s="260" t="s">
        <v>21</v>
      </c>
      <c r="M7" s="260"/>
      <c r="N7" s="260"/>
    </row>
    <row r="8" spans="1:14" s="255" customFormat="1" ht="14.25">
      <c r="A8" s="369"/>
      <c r="B8" s="370"/>
      <c r="C8" s="370"/>
      <c r="D8" s="370"/>
      <c r="E8" s="370"/>
      <c r="F8" s="373" t="s">
        <v>26</v>
      </c>
      <c r="G8" s="373" t="s">
        <v>27</v>
      </c>
      <c r="H8" s="370"/>
      <c r="I8" s="370"/>
      <c r="J8" s="370"/>
      <c r="K8" s="372"/>
      <c r="L8" s="254" t="s">
        <v>31</v>
      </c>
      <c r="M8" s="261" t="s">
        <v>32</v>
      </c>
      <c r="N8" s="262" t="s">
        <v>33</v>
      </c>
    </row>
    <row r="9" spans="1:14" s="270" customFormat="1" ht="14.25">
      <c r="A9" s="369"/>
      <c r="B9" s="370"/>
      <c r="C9" s="370"/>
      <c r="D9" s="370"/>
      <c r="E9" s="370"/>
      <c r="F9" s="373"/>
      <c r="G9" s="373"/>
      <c r="H9" s="370"/>
      <c r="I9" s="370"/>
      <c r="J9" s="370"/>
      <c r="K9" s="372"/>
      <c r="L9" s="268"/>
      <c r="M9" s="269"/>
      <c r="N9" s="268"/>
    </row>
    <row r="10" spans="1:14" s="282" customFormat="1" ht="153.75">
      <c r="A10" s="374" t="s">
        <v>111</v>
      </c>
      <c r="B10" s="446" t="s">
        <v>38</v>
      </c>
      <c r="C10" s="440">
        <v>100000000</v>
      </c>
      <c r="D10" s="441">
        <v>39045</v>
      </c>
      <c r="E10" s="441">
        <v>38686</v>
      </c>
      <c r="F10" s="397" t="s">
        <v>94</v>
      </c>
      <c r="G10" s="442"/>
      <c r="H10" s="440">
        <v>226854111.78</v>
      </c>
      <c r="I10" s="440">
        <v>100000000</v>
      </c>
      <c r="J10" s="447">
        <v>0.13</v>
      </c>
      <c r="K10" s="381" t="s">
        <v>202</v>
      </c>
      <c r="L10" s="279"/>
      <c r="M10" s="280"/>
      <c r="N10" s="281"/>
    </row>
    <row r="11" spans="1:14" s="282" customFormat="1" ht="14.25">
      <c r="A11" s="374"/>
      <c r="B11" s="439" t="s">
        <v>38</v>
      </c>
      <c r="C11" s="440">
        <v>100000000</v>
      </c>
      <c r="D11" s="441">
        <v>39071</v>
      </c>
      <c r="E11" s="441">
        <v>38712</v>
      </c>
      <c r="F11" s="397" t="s">
        <v>252</v>
      </c>
      <c r="G11" s="442"/>
      <c r="H11" s="440"/>
      <c r="I11" s="440">
        <v>100000000</v>
      </c>
      <c r="J11" s="447">
        <v>0.115</v>
      </c>
      <c r="K11" s="381"/>
      <c r="L11" s="279"/>
      <c r="M11" s="280"/>
      <c r="N11" s="281"/>
    </row>
    <row r="12" spans="1:14" s="282" customFormat="1" ht="39">
      <c r="A12" s="374"/>
      <c r="B12" s="446" t="s">
        <v>88</v>
      </c>
      <c r="C12" s="440">
        <v>45000000</v>
      </c>
      <c r="D12" s="441">
        <v>39015</v>
      </c>
      <c r="E12" s="441">
        <v>38835</v>
      </c>
      <c r="F12" s="397" t="s">
        <v>266</v>
      </c>
      <c r="G12" s="442"/>
      <c r="H12" s="440"/>
      <c r="I12" s="440"/>
      <c r="J12" s="450" t="s">
        <v>233</v>
      </c>
      <c r="K12" s="381"/>
      <c r="L12" s="279"/>
      <c r="M12" s="280"/>
      <c r="N12" s="281"/>
    </row>
    <row r="13" spans="1:14" s="282" customFormat="1" ht="39">
      <c r="A13" s="374"/>
      <c r="B13" s="446" t="s">
        <v>231</v>
      </c>
      <c r="C13" s="440">
        <v>50000000</v>
      </c>
      <c r="D13" s="441">
        <v>39227</v>
      </c>
      <c r="E13" s="441">
        <v>38868</v>
      </c>
      <c r="F13" s="397" t="s">
        <v>252</v>
      </c>
      <c r="G13" s="442"/>
      <c r="H13" s="440"/>
      <c r="I13" s="440"/>
      <c r="J13" s="450" t="s">
        <v>233</v>
      </c>
      <c r="K13" s="381" t="s">
        <v>215</v>
      </c>
      <c r="L13" s="279"/>
      <c r="M13" s="280"/>
      <c r="N13" s="281"/>
    </row>
    <row r="14" spans="1:14" s="282" customFormat="1" ht="46.5" customHeight="1">
      <c r="A14" s="374"/>
      <c r="B14" s="446" t="s">
        <v>38</v>
      </c>
      <c r="C14" s="440">
        <v>69000000</v>
      </c>
      <c r="D14" s="441">
        <v>39435</v>
      </c>
      <c r="E14" s="441">
        <v>38895</v>
      </c>
      <c r="F14" s="397" t="s">
        <v>44</v>
      </c>
      <c r="G14" s="442"/>
      <c r="H14" s="440"/>
      <c r="I14" s="440"/>
      <c r="J14" s="450" t="s">
        <v>233</v>
      </c>
      <c r="K14" s="381"/>
      <c r="L14" s="279"/>
      <c r="M14" s="280"/>
      <c r="N14" s="281"/>
    </row>
    <row r="15" spans="1:14" s="282" customFormat="1" ht="46.5" customHeight="1">
      <c r="A15" s="374"/>
      <c r="B15" s="446" t="s">
        <v>36</v>
      </c>
      <c r="C15" s="440">
        <v>74000000</v>
      </c>
      <c r="D15" s="441">
        <v>39076</v>
      </c>
      <c r="E15" s="441">
        <v>38912</v>
      </c>
      <c r="F15" s="397" t="s">
        <v>172</v>
      </c>
      <c r="G15" s="442"/>
      <c r="H15" s="440"/>
      <c r="I15" s="440"/>
      <c r="J15" s="450">
        <v>0.12</v>
      </c>
      <c r="K15" s="381"/>
      <c r="L15" s="279"/>
      <c r="M15" s="280"/>
      <c r="N15" s="281"/>
    </row>
    <row r="16" spans="1:14" s="282" customFormat="1" ht="46.5" customHeight="1">
      <c r="A16" s="374"/>
      <c r="B16" s="446" t="s">
        <v>88</v>
      </c>
      <c r="C16" s="440">
        <v>26000000</v>
      </c>
      <c r="D16" s="441">
        <v>39332</v>
      </c>
      <c r="E16" s="441">
        <v>38936</v>
      </c>
      <c r="F16" s="397" t="s">
        <v>172</v>
      </c>
      <c r="G16" s="442"/>
      <c r="H16" s="440">
        <v>32069501</v>
      </c>
      <c r="I16" s="440">
        <v>63415818</v>
      </c>
      <c r="J16" s="450">
        <v>0.12</v>
      </c>
      <c r="K16" s="381"/>
      <c r="L16" s="279"/>
      <c r="M16" s="280"/>
      <c r="N16" s="281"/>
    </row>
    <row r="17" spans="1:14" s="282" customFormat="1" ht="46.5" customHeight="1">
      <c r="A17" s="374"/>
      <c r="B17" s="446" t="s">
        <v>253</v>
      </c>
      <c r="C17" s="440">
        <v>36900000</v>
      </c>
      <c r="D17" s="441">
        <v>39291</v>
      </c>
      <c r="E17" s="441">
        <v>38926</v>
      </c>
      <c r="F17" s="397" t="s">
        <v>171</v>
      </c>
      <c r="G17" s="442"/>
      <c r="H17" s="440"/>
      <c r="I17" s="440"/>
      <c r="J17" s="450">
        <v>0.115</v>
      </c>
      <c r="K17" s="381"/>
      <c r="L17" s="279"/>
      <c r="M17" s="280"/>
      <c r="N17" s="281"/>
    </row>
    <row r="18" spans="1:14" s="282" customFormat="1" ht="46.5" customHeight="1">
      <c r="A18" s="374"/>
      <c r="B18" s="446" t="s">
        <v>36</v>
      </c>
      <c r="C18" s="440">
        <v>36900000</v>
      </c>
      <c r="D18" s="441">
        <v>39291</v>
      </c>
      <c r="E18" s="441">
        <v>38926</v>
      </c>
      <c r="F18" s="397" t="s">
        <v>252</v>
      </c>
      <c r="G18" s="442"/>
      <c r="H18" s="440"/>
      <c r="I18" s="440"/>
      <c r="J18" s="450">
        <v>0.115</v>
      </c>
      <c r="K18" s="381"/>
      <c r="L18" s="279"/>
      <c r="M18" s="280"/>
      <c r="N18" s="281"/>
    </row>
    <row r="19" spans="1:14" s="282" customFormat="1" ht="46.5" customHeight="1">
      <c r="A19" s="374"/>
      <c r="B19" s="446" t="s">
        <v>36</v>
      </c>
      <c r="C19" s="440">
        <v>36500000</v>
      </c>
      <c r="D19" s="441">
        <v>39346</v>
      </c>
      <c r="E19" s="441" t="s">
        <v>261</v>
      </c>
      <c r="F19" s="397" t="s">
        <v>44</v>
      </c>
      <c r="G19" s="442"/>
      <c r="H19" s="440"/>
      <c r="I19" s="440"/>
      <c r="J19" s="450">
        <v>0.115</v>
      </c>
      <c r="K19" s="381"/>
      <c r="L19" s="279"/>
      <c r="M19" s="280"/>
      <c r="N19" s="281"/>
    </row>
    <row r="20" spans="1:14" s="282" customFormat="1" ht="46.5" customHeight="1">
      <c r="A20" s="374"/>
      <c r="B20" s="446" t="s">
        <v>88</v>
      </c>
      <c r="C20" s="440">
        <v>36500000</v>
      </c>
      <c r="D20" s="441">
        <v>39346</v>
      </c>
      <c r="E20" s="441" t="s">
        <v>261</v>
      </c>
      <c r="F20" s="397" t="s">
        <v>94</v>
      </c>
      <c r="G20" s="442"/>
      <c r="H20" s="440"/>
      <c r="I20" s="440"/>
      <c r="J20" s="450">
        <v>0.115</v>
      </c>
      <c r="K20" s="381"/>
      <c r="L20" s="279"/>
      <c r="M20" s="280"/>
      <c r="N20" s="281"/>
    </row>
    <row r="21" spans="1:14" s="318" customFormat="1" ht="14.25">
      <c r="A21" s="374"/>
      <c r="B21" s="311" t="s">
        <v>36</v>
      </c>
      <c r="C21" s="386">
        <f>SUM(C10:C20)</f>
        <v>610800000</v>
      </c>
      <c r="D21" s="313"/>
      <c r="E21" s="312"/>
      <c r="F21" s="312" t="s">
        <v>171</v>
      </c>
      <c r="G21" s="312"/>
      <c r="H21" s="386">
        <f>SUM(H10:H20)</f>
        <v>258923612.78</v>
      </c>
      <c r="I21" s="386">
        <f>SUM(I10:I20)</f>
        <v>263415818</v>
      </c>
      <c r="J21" s="312"/>
      <c r="K21" s="328"/>
      <c r="L21" s="315" t="e">
        <f>SUM(#REF!)</f>
        <v>#REF!</v>
      </c>
      <c r="M21" s="316" t="e">
        <f>SUM(#REF!)</f>
        <v>#REF!</v>
      </c>
      <c r="N21" s="317" t="s">
        <v>42</v>
      </c>
    </row>
    <row r="22" spans="1:14" s="396" customFormat="1" ht="64.5">
      <c r="A22" s="451" t="s">
        <v>235</v>
      </c>
      <c r="B22" s="272" t="s">
        <v>36</v>
      </c>
      <c r="C22" s="376">
        <v>37000000</v>
      </c>
      <c r="D22" s="377">
        <v>39018</v>
      </c>
      <c r="E22" s="377">
        <v>38447</v>
      </c>
      <c r="F22" s="382" t="s">
        <v>252</v>
      </c>
      <c r="G22" s="379"/>
      <c r="H22" s="376">
        <f>97466554.88</f>
        <v>97466554.88</v>
      </c>
      <c r="I22" s="376">
        <f>45000000*1.18</f>
        <v>53100000</v>
      </c>
      <c r="J22" s="380">
        <v>0.15</v>
      </c>
      <c r="K22" s="435" t="s">
        <v>142</v>
      </c>
      <c r="L22" s="393"/>
      <c r="M22" s="394"/>
      <c r="N22" s="395"/>
    </row>
    <row r="23" spans="1:14" s="396" customFormat="1" ht="14.25">
      <c r="A23" s="451"/>
      <c r="B23" s="379" t="s">
        <v>38</v>
      </c>
      <c r="C23" s="452">
        <v>28500000</v>
      </c>
      <c r="D23" s="377">
        <v>39002</v>
      </c>
      <c r="E23" s="377">
        <v>38972</v>
      </c>
      <c r="F23" s="382" t="s">
        <v>94</v>
      </c>
      <c r="G23" s="382"/>
      <c r="H23" s="455">
        <v>52036774.92</v>
      </c>
      <c r="I23" s="455">
        <v>29644000</v>
      </c>
      <c r="J23" s="380">
        <v>0.12</v>
      </c>
      <c r="K23" s="292"/>
      <c r="L23" s="393"/>
      <c r="M23" s="394"/>
      <c r="N23" s="395"/>
    </row>
    <row r="24" spans="1:14" s="396" customFormat="1" ht="14.25">
      <c r="A24" s="451"/>
      <c r="B24" s="379"/>
      <c r="C24" s="452"/>
      <c r="D24" s="377"/>
      <c r="E24" s="377"/>
      <c r="F24" s="382"/>
      <c r="G24" s="382"/>
      <c r="H24" s="455">
        <v>25500000</v>
      </c>
      <c r="I24" s="455">
        <v>25000000</v>
      </c>
      <c r="J24" s="380"/>
      <c r="K24" s="292"/>
      <c r="L24" s="393"/>
      <c r="M24" s="394"/>
      <c r="N24" s="395"/>
    </row>
    <row r="25" spans="1:14" s="282" customFormat="1" ht="14.25">
      <c r="A25" s="451"/>
      <c r="B25" s="326" t="s">
        <v>41</v>
      </c>
      <c r="C25" s="402">
        <f>SUM(C22:C23)</f>
        <v>65500000</v>
      </c>
      <c r="D25" s="327"/>
      <c r="E25" s="327"/>
      <c r="F25" s="327"/>
      <c r="G25" s="327"/>
      <c r="H25" s="402">
        <f>SUM(H22:H24)</f>
        <v>175003329.8</v>
      </c>
      <c r="I25" s="402">
        <f>SUM(I22:I24)</f>
        <v>107744000</v>
      </c>
      <c r="J25" s="312"/>
      <c r="K25" s="328"/>
      <c r="L25" s="315" t="e">
        <f>SUM(#REF!)</f>
        <v>#REF!</v>
      </c>
      <c r="M25" s="316" t="e">
        <f>SUM(#REF!)</f>
        <v>#REF!</v>
      </c>
      <c r="N25" s="317" t="s">
        <v>42</v>
      </c>
    </row>
    <row r="26" spans="1:14" s="338" customFormat="1" ht="12.75" hidden="1">
      <c r="A26" s="329"/>
      <c r="B26" s="275"/>
      <c r="C26" s="403"/>
      <c r="D26" s="331"/>
      <c r="E26" s="332"/>
      <c r="F26" s="275"/>
      <c r="G26" s="275"/>
      <c r="H26" s="403"/>
      <c r="I26" s="403"/>
      <c r="J26" s="333"/>
      <c r="K26" s="334"/>
      <c r="L26" s="335" t="e">
        <f>C26*J26/365*#REF!</f>
        <v>#REF!</v>
      </c>
      <c r="M26" s="336">
        <v>1272986</v>
      </c>
      <c r="N26" s="337"/>
    </row>
    <row r="27" spans="1:14" s="338" customFormat="1" ht="12.75" hidden="1">
      <c r="A27" s="339"/>
      <c r="B27" s="340"/>
      <c r="C27" s="404"/>
      <c r="D27" s="341"/>
      <c r="E27" s="342"/>
      <c r="F27" s="302"/>
      <c r="G27" s="302"/>
      <c r="H27" s="404"/>
      <c r="I27" s="404"/>
      <c r="J27" s="333"/>
      <c r="K27" s="334"/>
      <c r="L27" s="343"/>
      <c r="M27" s="344"/>
      <c r="N27" s="337"/>
    </row>
    <row r="28" spans="1:14" s="338" customFormat="1" ht="12.75" hidden="1">
      <c r="A28" s="339"/>
      <c r="B28" s="345"/>
      <c r="C28" s="403"/>
      <c r="D28" s="331"/>
      <c r="E28" s="332"/>
      <c r="F28" s="275"/>
      <c r="G28" s="275"/>
      <c r="H28" s="403"/>
      <c r="I28" s="403"/>
      <c r="J28" s="346"/>
      <c r="K28" s="334"/>
      <c r="L28" s="335" t="e">
        <f>C28*J28/365*#REF!</f>
        <v>#REF!</v>
      </c>
      <c r="M28" s="344">
        <v>0</v>
      </c>
      <c r="N28" s="337"/>
    </row>
    <row r="29" spans="1:14" s="282" customFormat="1" ht="12.75" hidden="1">
      <c r="A29" s="310"/>
      <c r="B29" s="311" t="s">
        <v>41</v>
      </c>
      <c r="C29" s="386">
        <f>SUM(C26:C28)</f>
        <v>0</v>
      </c>
      <c r="D29" s="312"/>
      <c r="E29" s="312"/>
      <c r="F29" s="312"/>
      <c r="G29" s="312"/>
      <c r="H29" s="386">
        <f>SUM(H26:H28)</f>
        <v>0</v>
      </c>
      <c r="I29" s="386">
        <f>SUM(I26:I28)</f>
        <v>0</v>
      </c>
      <c r="J29" s="312"/>
      <c r="K29" s="314"/>
      <c r="L29" s="315" t="e">
        <f>SUM(L26:L28)</f>
        <v>#REF!</v>
      </c>
      <c r="M29" s="316">
        <f>SUM(M26:M28)</f>
        <v>1272986</v>
      </c>
      <c r="N29" s="317" t="s">
        <v>42</v>
      </c>
    </row>
    <row r="30" spans="1:14" s="354" customFormat="1" ht="14.25">
      <c r="A30" s="347" t="s">
        <v>59</v>
      </c>
      <c r="B30" s="347"/>
      <c r="C30" s="405">
        <f>C21+C25</f>
        <v>676300000</v>
      </c>
      <c r="D30" s="348"/>
      <c r="E30" s="348"/>
      <c r="F30" s="348"/>
      <c r="G30" s="348"/>
      <c r="H30" s="405">
        <f>H21+H25</f>
        <v>433926942.58000004</v>
      </c>
      <c r="I30" s="405">
        <f>I21+I25</f>
        <v>371159818</v>
      </c>
      <c r="J30" s="406"/>
      <c r="K30" s="437"/>
      <c r="L30" s="351" t="e">
        <f>L21+L25+L29+#REF!+#REF!</f>
        <v>#REF!</v>
      </c>
      <c r="M30" s="352" t="e">
        <f>M21+M25+M29+#REF!+#REF!</f>
        <v>#REF!</v>
      </c>
      <c r="N30" s="353" t="s">
        <v>42</v>
      </c>
    </row>
    <row r="31" spans="1:11" s="282" customFormat="1" ht="14.25">
      <c r="A31" s="355"/>
      <c r="B31" s="355"/>
      <c r="C31" s="356"/>
      <c r="D31" s="357"/>
      <c r="E31" s="358"/>
      <c r="F31" s="358"/>
      <c r="G31" s="358"/>
      <c r="H31" s="358"/>
      <c r="I31" s="358"/>
      <c r="J31" s="358"/>
      <c r="K31" s="358"/>
    </row>
    <row r="32" spans="1:11" s="282" customFormat="1" ht="14.25">
      <c r="A32" s="196"/>
      <c r="B32" s="355"/>
      <c r="C32" s="355"/>
      <c r="D32" s="357"/>
      <c r="E32" s="358"/>
      <c r="F32" s="358"/>
      <c r="G32" s="358"/>
      <c r="H32" s="358"/>
      <c r="I32" s="358"/>
      <c r="J32" s="358"/>
      <c r="K32" s="358"/>
    </row>
    <row r="33" spans="1:11" s="282" customFormat="1" ht="14.25">
      <c r="A33" s="359"/>
      <c r="B33" s="196" t="s">
        <v>267</v>
      </c>
      <c r="C33" s="355">
        <f>C34+C35</f>
        <v>110500000</v>
      </c>
      <c r="D33" s="357"/>
      <c r="E33" s="358"/>
      <c r="F33" s="358"/>
      <c r="G33" s="358"/>
      <c r="H33" s="358"/>
      <c r="I33" s="358"/>
      <c r="J33" s="358"/>
      <c r="K33" s="358"/>
    </row>
    <row r="34" spans="1:11" s="282" customFormat="1" ht="14.25">
      <c r="A34" s="359"/>
      <c r="B34" s="196" t="s">
        <v>166</v>
      </c>
      <c r="C34" s="355">
        <v>45000000</v>
      </c>
      <c r="D34" s="358"/>
      <c r="E34" s="358"/>
      <c r="F34" s="358"/>
      <c r="G34" s="358"/>
      <c r="H34" s="358"/>
      <c r="I34" s="358"/>
      <c r="J34" s="358"/>
      <c r="K34" s="358"/>
    </row>
    <row r="35" spans="1:11" s="282" customFormat="1" ht="14.25">
      <c r="A35" s="359"/>
      <c r="B35" s="355" t="s">
        <v>260</v>
      </c>
      <c r="C35" s="421">
        <v>65500000</v>
      </c>
      <c r="D35" s="364"/>
      <c r="E35" s="358"/>
      <c r="F35" s="358"/>
      <c r="G35" s="358"/>
      <c r="H35" s="358"/>
      <c r="I35" s="358"/>
      <c r="J35" s="358"/>
      <c r="K35" s="358"/>
    </row>
    <row r="36" spans="1:11" ht="14.25">
      <c r="A36" s="203"/>
      <c r="B36" s="360"/>
      <c r="C36" s="361"/>
      <c r="D36" s="203"/>
      <c r="E36" s="132"/>
      <c r="F36" s="132"/>
      <c r="G36" s="132"/>
      <c r="H36" s="132"/>
      <c r="I36" s="132"/>
      <c r="J36" s="132"/>
      <c r="K36" s="132"/>
    </row>
    <row r="37" spans="1:11" ht="17.25" customHeight="1">
      <c r="A37" s="204"/>
      <c r="B37" s="360"/>
      <c r="C37" s="361"/>
      <c r="D37" s="195"/>
      <c r="E37" s="132"/>
      <c r="F37" s="132"/>
      <c r="G37" s="132"/>
      <c r="H37" s="132"/>
      <c r="I37" s="132"/>
      <c r="J37" s="132"/>
      <c r="K37" s="132"/>
    </row>
    <row r="38" spans="1:11" s="207" customFormat="1" ht="16.5">
      <c r="A38" s="409" t="s">
        <v>268</v>
      </c>
      <c r="B38" s="409"/>
      <c r="C38" s="409"/>
      <c r="D38" s="409"/>
      <c r="E38" s="409"/>
      <c r="F38" s="409"/>
      <c r="G38" s="409"/>
      <c r="H38" s="409"/>
      <c r="I38" s="409"/>
      <c r="J38" s="409"/>
      <c r="K38" s="409"/>
    </row>
    <row r="41" ht="16.5" customHeight="1"/>
    <row r="43" spans="1:2" ht="14.25">
      <c r="A43" s="362" t="s">
        <v>61</v>
      </c>
      <c r="B43" s="363"/>
    </row>
    <row r="44" spans="1:2" ht="14.25">
      <c r="A44" s="362" t="s">
        <v>269</v>
      </c>
      <c r="B44" s="362"/>
    </row>
    <row r="45" ht="14.25">
      <c r="A45" s="208"/>
    </row>
  </sheetData>
  <mergeCells count="33">
    <mergeCell ref="A1:K1"/>
    <mergeCell ref="A2:K2"/>
    <mergeCell ref="A4:K4"/>
    <mergeCell ref="A6:A9"/>
    <mergeCell ref="B6:B9"/>
    <mergeCell ref="C6:C9"/>
    <mergeCell ref="D6:D9"/>
    <mergeCell ref="E6:E9"/>
    <mergeCell ref="F6:G7"/>
    <mergeCell ref="H6:H9"/>
    <mergeCell ref="I6:I9"/>
    <mergeCell ref="J6:J9"/>
    <mergeCell ref="K6:K9"/>
    <mergeCell ref="L6:N6"/>
    <mergeCell ref="L7:N7"/>
    <mergeCell ref="F8:F9"/>
    <mergeCell ref="G8:G9"/>
    <mergeCell ref="A10:A21"/>
    <mergeCell ref="A22:A25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J26:J27"/>
    <mergeCell ref="K26:K28"/>
    <mergeCell ref="A30:B30"/>
    <mergeCell ref="A31:B31"/>
    <mergeCell ref="A38:K38"/>
  </mergeCells>
  <printOptions horizontalCentered="1"/>
  <pageMargins left="0.1798611111111111" right="0.19027777777777777" top="0.7798611111111111" bottom="0.19652777777777777" header="0.5118055555555555" footer="0.5118055555555555"/>
  <pageSetup fitToHeight="1" fitToWidth="1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workbookViewId="0" topLeftCell="A13">
      <selection activeCell="A49" sqref="A49"/>
    </sheetView>
  </sheetViews>
  <sheetFormatPr defaultColWidth="9.00390625" defaultRowHeight="12.75"/>
  <cols>
    <col min="1" max="1" width="30.875" style="1" customWidth="1"/>
    <col min="2" max="2" width="28.875" style="0" customWidth="1"/>
    <col min="3" max="3" width="15.125" style="0" customWidth="1"/>
    <col min="4" max="4" width="13.875" style="2" customWidth="1"/>
    <col min="5" max="5" width="14.875" style="0" customWidth="1"/>
    <col min="6" max="6" width="38.25390625" style="0" customWidth="1"/>
    <col min="7" max="7" width="8.25390625" style="0" customWidth="1"/>
    <col min="8" max="8" width="15.125" style="0" customWidth="1"/>
    <col min="9" max="9" width="14.625" style="0" customWidth="1"/>
    <col min="10" max="10" width="11.375" style="0" customWidth="1"/>
    <col min="11" max="14" width="0" style="0" hidden="1" customWidth="1"/>
    <col min="15" max="15" width="22.00390625" style="0" customWidth="1"/>
  </cols>
  <sheetData>
    <row r="1" spans="1:11" ht="16.5">
      <c r="A1" s="365" t="s">
        <v>119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1" ht="16.5">
      <c r="A2" s="365" t="s">
        <v>80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 ht="16.5">
      <c r="A3" s="366"/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11" ht="12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</row>
    <row r="5" spans="10:11" ht="12">
      <c r="J5" s="368" t="s">
        <v>121</v>
      </c>
      <c r="K5" s="368" t="s">
        <v>121</v>
      </c>
    </row>
    <row r="6" spans="1:14" s="255" customFormat="1" ht="14.25">
      <c r="A6" s="481" t="s">
        <v>122</v>
      </c>
      <c r="B6" s="370" t="s">
        <v>123</v>
      </c>
      <c r="C6" s="370" t="s">
        <v>124</v>
      </c>
      <c r="D6" s="370" t="s">
        <v>125</v>
      </c>
      <c r="E6" s="370" t="s">
        <v>126</v>
      </c>
      <c r="F6" s="371" t="s">
        <v>127</v>
      </c>
      <c r="G6" s="371"/>
      <c r="H6" s="370" t="s">
        <v>128</v>
      </c>
      <c r="I6" s="370" t="s">
        <v>129</v>
      </c>
      <c r="J6" s="370" t="s">
        <v>130</v>
      </c>
      <c r="K6" s="372" t="s">
        <v>131</v>
      </c>
      <c r="L6" s="254" t="s">
        <v>10</v>
      </c>
      <c r="M6" s="254"/>
      <c r="N6" s="254"/>
    </row>
    <row r="7" spans="1:14" s="255" customFormat="1" ht="14.25">
      <c r="A7" s="481"/>
      <c r="B7" s="370"/>
      <c r="C7" s="370"/>
      <c r="D7" s="370"/>
      <c r="E7" s="370"/>
      <c r="F7" s="371"/>
      <c r="G7" s="371"/>
      <c r="H7" s="370"/>
      <c r="I7" s="370"/>
      <c r="J7" s="370"/>
      <c r="K7" s="372"/>
      <c r="L7" s="260" t="s">
        <v>21</v>
      </c>
      <c r="M7" s="260"/>
      <c r="N7" s="260"/>
    </row>
    <row r="8" spans="1:14" s="255" customFormat="1" ht="14.25">
      <c r="A8" s="481"/>
      <c r="B8" s="370"/>
      <c r="C8" s="370"/>
      <c r="D8" s="370"/>
      <c r="E8" s="370"/>
      <c r="F8" s="373" t="s">
        <v>26</v>
      </c>
      <c r="G8" s="373" t="s">
        <v>27</v>
      </c>
      <c r="H8" s="370"/>
      <c r="I8" s="370"/>
      <c r="J8" s="370"/>
      <c r="K8" s="372"/>
      <c r="L8" s="254" t="s">
        <v>31</v>
      </c>
      <c r="M8" s="261" t="s">
        <v>32</v>
      </c>
      <c r="N8" s="262" t="s">
        <v>33</v>
      </c>
    </row>
    <row r="9" spans="1:14" s="270" customFormat="1" ht="14.25">
      <c r="A9" s="481"/>
      <c r="B9" s="370"/>
      <c r="C9" s="370"/>
      <c r="D9" s="370"/>
      <c r="E9" s="370"/>
      <c r="F9" s="373"/>
      <c r="G9" s="373"/>
      <c r="H9" s="370"/>
      <c r="I9" s="370"/>
      <c r="J9" s="370"/>
      <c r="K9" s="372"/>
      <c r="L9" s="268"/>
      <c r="M9" s="269"/>
      <c r="N9" s="268"/>
    </row>
    <row r="10" spans="1:14" s="282" customFormat="1" ht="22.5" customHeight="1">
      <c r="A10" s="482" t="s">
        <v>49</v>
      </c>
      <c r="B10" s="446" t="s">
        <v>38</v>
      </c>
      <c r="C10" s="440">
        <f>100000000-45000000</f>
        <v>55000000</v>
      </c>
      <c r="D10" s="441">
        <v>39045</v>
      </c>
      <c r="E10" s="441">
        <v>38686</v>
      </c>
      <c r="F10" s="397" t="s">
        <v>36</v>
      </c>
      <c r="G10" s="442"/>
      <c r="H10" s="440">
        <v>226854111.78</v>
      </c>
      <c r="I10" s="440">
        <v>100000000</v>
      </c>
      <c r="J10" s="447">
        <v>0.13</v>
      </c>
      <c r="K10" s="381" t="s">
        <v>202</v>
      </c>
      <c r="L10" s="279"/>
      <c r="M10" s="280"/>
      <c r="N10" s="281"/>
    </row>
    <row r="11" spans="1:14" s="282" customFormat="1" ht="22.5" customHeight="1">
      <c r="A11" s="482"/>
      <c r="B11" s="439" t="s">
        <v>270</v>
      </c>
      <c r="C11" s="440">
        <v>100000000</v>
      </c>
      <c r="D11" s="441">
        <v>39071</v>
      </c>
      <c r="E11" s="441">
        <v>38712</v>
      </c>
      <c r="F11" s="397" t="s">
        <v>36</v>
      </c>
      <c r="G11" s="442"/>
      <c r="H11" s="440"/>
      <c r="I11" s="440">
        <v>100000000</v>
      </c>
      <c r="J11" s="447">
        <v>0.115</v>
      </c>
      <c r="K11" s="381"/>
      <c r="L11" s="279"/>
      <c r="M11" s="280"/>
      <c r="N11" s="281"/>
    </row>
    <row r="12" spans="1:14" s="282" customFormat="1" ht="22.5" customHeight="1">
      <c r="A12" s="482"/>
      <c r="B12" s="439" t="s">
        <v>171</v>
      </c>
      <c r="C12" s="440">
        <v>70000000</v>
      </c>
      <c r="D12" s="441">
        <v>39367</v>
      </c>
      <c r="E12" s="441">
        <v>39009</v>
      </c>
      <c r="F12" s="397" t="s">
        <v>271</v>
      </c>
      <c r="G12" s="442"/>
      <c r="H12" s="440"/>
      <c r="I12" s="440"/>
      <c r="J12" s="447">
        <v>0.115</v>
      </c>
      <c r="K12" s="381"/>
      <c r="L12" s="279"/>
      <c r="M12" s="280"/>
      <c r="N12" s="281"/>
    </row>
    <row r="13" spans="1:14" s="282" customFormat="1" ht="22.5" customHeight="1">
      <c r="A13" s="482"/>
      <c r="B13" s="446" t="s">
        <v>171</v>
      </c>
      <c r="C13" s="440">
        <v>50000000</v>
      </c>
      <c r="D13" s="441">
        <v>39227</v>
      </c>
      <c r="E13" s="441">
        <v>38868</v>
      </c>
      <c r="F13" s="397" t="s">
        <v>272</v>
      </c>
      <c r="G13" s="442"/>
      <c r="H13" s="440"/>
      <c r="I13" s="440"/>
      <c r="J13" s="450">
        <v>0.11</v>
      </c>
      <c r="K13" s="381"/>
      <c r="L13" s="279"/>
      <c r="M13" s="280"/>
      <c r="N13" s="281"/>
    </row>
    <row r="14" spans="1:14" s="282" customFormat="1" ht="31.5" customHeight="1">
      <c r="A14" s="482"/>
      <c r="B14" s="446" t="s">
        <v>44</v>
      </c>
      <c r="C14" s="440">
        <v>69000000</v>
      </c>
      <c r="D14" s="441">
        <v>39435</v>
      </c>
      <c r="E14" s="441">
        <v>38895</v>
      </c>
      <c r="F14" s="397" t="s">
        <v>72</v>
      </c>
      <c r="G14" s="442"/>
      <c r="H14" s="440"/>
      <c r="I14" s="440"/>
      <c r="J14" s="450">
        <v>0.11</v>
      </c>
      <c r="K14" s="381" t="s">
        <v>215</v>
      </c>
      <c r="L14" s="279"/>
      <c r="M14" s="280"/>
      <c r="N14" s="281"/>
    </row>
    <row r="15" spans="1:14" s="282" customFormat="1" ht="22.5" customHeight="1">
      <c r="A15" s="482"/>
      <c r="B15" s="446" t="s">
        <v>172</v>
      </c>
      <c r="C15" s="440">
        <v>74000000</v>
      </c>
      <c r="D15" s="441">
        <v>39076</v>
      </c>
      <c r="E15" s="441">
        <v>38912</v>
      </c>
      <c r="F15" s="397" t="s">
        <v>72</v>
      </c>
      <c r="G15" s="442"/>
      <c r="H15" s="440"/>
      <c r="I15" s="440">
        <v>65880569.5</v>
      </c>
      <c r="J15" s="450">
        <v>0.12</v>
      </c>
      <c r="K15" s="381"/>
      <c r="L15" s="279"/>
      <c r="M15" s="280"/>
      <c r="N15" s="281"/>
    </row>
    <row r="16" spans="1:14" s="282" customFormat="1" ht="22.5" customHeight="1">
      <c r="A16" s="482"/>
      <c r="B16" s="446" t="s">
        <v>172</v>
      </c>
      <c r="C16" s="440">
        <v>26000000</v>
      </c>
      <c r="D16" s="441">
        <v>39332</v>
      </c>
      <c r="E16" s="441">
        <v>38936</v>
      </c>
      <c r="F16" s="397" t="s">
        <v>44</v>
      </c>
      <c r="G16" s="442"/>
      <c r="H16" s="440"/>
      <c r="I16" s="440">
        <v>63415818</v>
      </c>
      <c r="J16" s="450">
        <v>0.12</v>
      </c>
      <c r="K16" s="381"/>
      <c r="L16" s="279"/>
      <c r="M16" s="280"/>
      <c r="N16" s="281"/>
    </row>
    <row r="17" spans="1:14" s="282" customFormat="1" ht="22.5" customHeight="1">
      <c r="A17" s="482"/>
      <c r="B17" s="446" t="s">
        <v>172</v>
      </c>
      <c r="C17" s="440">
        <v>36900000</v>
      </c>
      <c r="D17" s="441">
        <v>39291</v>
      </c>
      <c r="E17" s="441">
        <v>38926</v>
      </c>
      <c r="F17" s="397" t="s">
        <v>252</v>
      </c>
      <c r="G17" s="442"/>
      <c r="H17" s="440">
        <v>67880000</v>
      </c>
      <c r="I17" s="440">
        <v>44422000</v>
      </c>
      <c r="J17" s="450">
        <v>0.115</v>
      </c>
      <c r="K17" s="381"/>
      <c r="L17" s="279"/>
      <c r="M17" s="280"/>
      <c r="N17" s="281"/>
    </row>
    <row r="18" spans="1:14" s="282" customFormat="1" ht="22.5" customHeight="1">
      <c r="A18" s="482"/>
      <c r="B18" s="446" t="s">
        <v>38</v>
      </c>
      <c r="C18" s="440">
        <v>36900000</v>
      </c>
      <c r="D18" s="441">
        <v>39291</v>
      </c>
      <c r="E18" s="441">
        <v>38926</v>
      </c>
      <c r="F18" s="397" t="s">
        <v>273</v>
      </c>
      <c r="G18" s="442"/>
      <c r="H18" s="440">
        <v>67312000</v>
      </c>
      <c r="I18" s="440">
        <v>44052800</v>
      </c>
      <c r="J18" s="450">
        <v>0.115</v>
      </c>
      <c r="K18" s="381"/>
      <c r="L18" s="279"/>
      <c r="M18" s="280"/>
      <c r="N18" s="281"/>
    </row>
    <row r="19" spans="1:14" s="282" customFormat="1" ht="22.5" customHeight="1">
      <c r="A19" s="482"/>
      <c r="B19" s="446" t="s">
        <v>38</v>
      </c>
      <c r="C19" s="440">
        <v>36500000</v>
      </c>
      <c r="D19" s="441">
        <v>39346</v>
      </c>
      <c r="E19" s="441" t="s">
        <v>261</v>
      </c>
      <c r="F19" s="397" t="s">
        <v>274</v>
      </c>
      <c r="G19" s="442"/>
      <c r="H19" s="440">
        <v>63305084.73</v>
      </c>
      <c r="I19" s="440">
        <v>41158305.08</v>
      </c>
      <c r="J19" s="450">
        <v>0.115</v>
      </c>
      <c r="K19" s="381"/>
      <c r="L19" s="279"/>
      <c r="M19" s="280"/>
      <c r="N19" s="281"/>
    </row>
    <row r="20" spans="1:14" s="282" customFormat="1" ht="22.5" customHeight="1">
      <c r="A20" s="482"/>
      <c r="B20" s="446" t="s">
        <v>171</v>
      </c>
      <c r="C20" s="440">
        <v>36500000</v>
      </c>
      <c r="D20" s="441">
        <v>39346</v>
      </c>
      <c r="E20" s="441" t="s">
        <v>261</v>
      </c>
      <c r="F20" s="397" t="s">
        <v>36</v>
      </c>
      <c r="G20" s="442"/>
      <c r="H20" s="440"/>
      <c r="I20" s="440"/>
      <c r="J20" s="450">
        <v>0.115</v>
      </c>
      <c r="K20" s="381"/>
      <c r="L20" s="279"/>
      <c r="M20" s="280"/>
      <c r="N20" s="281"/>
    </row>
    <row r="21" spans="1:14" s="282" customFormat="1" ht="22.5" customHeight="1">
      <c r="A21" s="482"/>
      <c r="B21" s="446" t="s">
        <v>171</v>
      </c>
      <c r="C21" s="440">
        <v>20000000</v>
      </c>
      <c r="D21" s="441">
        <v>39388</v>
      </c>
      <c r="E21" s="441">
        <v>39024</v>
      </c>
      <c r="F21" s="397" t="s">
        <v>244</v>
      </c>
      <c r="G21" s="442"/>
      <c r="H21" s="440"/>
      <c r="I21" s="440"/>
      <c r="J21" s="450">
        <v>0.12</v>
      </c>
      <c r="K21" s="381"/>
      <c r="L21" s="279"/>
      <c r="M21" s="280"/>
      <c r="N21" s="281"/>
    </row>
    <row r="22" spans="1:14" s="282" customFormat="1" ht="22.5" customHeight="1">
      <c r="A22" s="482"/>
      <c r="B22" s="446" t="s">
        <v>171</v>
      </c>
      <c r="C22" s="440">
        <v>30000000</v>
      </c>
      <c r="D22" s="441">
        <v>39388</v>
      </c>
      <c r="E22" s="441">
        <v>39024</v>
      </c>
      <c r="F22" s="397" t="s">
        <v>72</v>
      </c>
      <c r="G22" s="442"/>
      <c r="H22" s="440"/>
      <c r="I22" s="440"/>
      <c r="J22" s="450">
        <v>0.12</v>
      </c>
      <c r="K22" s="381"/>
      <c r="L22" s="279"/>
      <c r="M22" s="280"/>
      <c r="N22" s="281"/>
    </row>
    <row r="23" spans="1:14" s="282" customFormat="1" ht="22.5" customHeight="1">
      <c r="A23" s="482"/>
      <c r="B23" s="446" t="s">
        <v>275</v>
      </c>
      <c r="C23" s="440">
        <f>6000000-5500000</f>
        <v>500000</v>
      </c>
      <c r="D23" s="441"/>
      <c r="E23" s="441">
        <v>39009</v>
      </c>
      <c r="F23" s="397" t="s">
        <v>276</v>
      </c>
      <c r="G23" s="442"/>
      <c r="H23" s="440"/>
      <c r="I23" s="440"/>
      <c r="J23" s="450">
        <v>0.02</v>
      </c>
      <c r="K23" s="381"/>
      <c r="L23" s="279"/>
      <c r="M23" s="280"/>
      <c r="N23" s="281"/>
    </row>
    <row r="24" spans="1:14" s="282" customFormat="1" ht="22.5" customHeight="1">
      <c r="A24" s="482"/>
      <c r="B24" s="326" t="s">
        <v>41</v>
      </c>
      <c r="C24" s="402">
        <f>SUM(C10:C23)</f>
        <v>641300000</v>
      </c>
      <c r="D24" s="483"/>
      <c r="E24" s="327"/>
      <c r="F24" s="327" t="s">
        <v>273</v>
      </c>
      <c r="G24" s="327"/>
      <c r="H24" s="402">
        <f>SUM(H10:H23)</f>
        <v>425351196.51</v>
      </c>
      <c r="I24" s="402">
        <f>SUM(I10:I23)</f>
        <v>458929492.58</v>
      </c>
      <c r="J24" s="327"/>
      <c r="K24" s="381"/>
      <c r="L24" s="279"/>
      <c r="M24" s="280"/>
      <c r="N24" s="281"/>
    </row>
    <row r="25" spans="1:14" s="318" customFormat="1" ht="16.5" customHeight="1">
      <c r="A25" s="462" t="s">
        <v>277</v>
      </c>
      <c r="B25" s="379" t="s">
        <v>38</v>
      </c>
      <c r="C25" s="452">
        <v>32500000</v>
      </c>
      <c r="D25" s="377">
        <v>39051</v>
      </c>
      <c r="E25" s="377">
        <v>39000</v>
      </c>
      <c r="F25" s="382" t="s">
        <v>38</v>
      </c>
      <c r="G25" s="379">
        <v>28</v>
      </c>
      <c r="H25" s="376">
        <v>30277688</v>
      </c>
      <c r="I25" s="376">
        <v>21194381</v>
      </c>
      <c r="J25" s="380">
        <v>0.14</v>
      </c>
      <c r="K25" s="328"/>
      <c r="L25" s="315" t="e">
        <f>SUM(#REF!)</f>
        <v>#REF!</v>
      </c>
      <c r="M25" s="316" t="e">
        <f>SUM(#REF!)</f>
        <v>#REF!</v>
      </c>
      <c r="N25" s="317" t="s">
        <v>42</v>
      </c>
    </row>
    <row r="26" spans="1:14" s="396" customFormat="1" ht="14.25">
      <c r="A26" s="462"/>
      <c r="B26" s="379"/>
      <c r="C26" s="452"/>
      <c r="D26" s="377"/>
      <c r="E26" s="377"/>
      <c r="F26" s="382" t="s">
        <v>38</v>
      </c>
      <c r="G26" s="379">
        <v>1</v>
      </c>
      <c r="H26" s="376">
        <v>25500000</v>
      </c>
      <c r="I26" s="376">
        <v>25000000</v>
      </c>
      <c r="J26" s="380"/>
      <c r="K26" s="292"/>
      <c r="L26" s="393"/>
      <c r="M26" s="394"/>
      <c r="N26" s="395"/>
    </row>
    <row r="27" spans="1:14" s="396" customFormat="1" ht="14.25">
      <c r="A27" s="462"/>
      <c r="B27" s="379" t="s">
        <v>163</v>
      </c>
      <c r="C27" s="452">
        <v>28500000</v>
      </c>
      <c r="D27" s="377">
        <v>39060</v>
      </c>
      <c r="E27" s="377">
        <v>39031</v>
      </c>
      <c r="F27" s="382"/>
      <c r="G27" s="379"/>
      <c r="H27" s="376"/>
      <c r="I27" s="376"/>
      <c r="J27" s="380">
        <v>0.12</v>
      </c>
      <c r="K27" s="292"/>
      <c r="L27" s="393"/>
      <c r="M27" s="394"/>
      <c r="N27" s="395"/>
    </row>
    <row r="28" spans="1:14" s="396" customFormat="1" ht="14.25">
      <c r="A28" s="462"/>
      <c r="B28" s="379" t="s">
        <v>166</v>
      </c>
      <c r="C28" s="452">
        <v>10000000</v>
      </c>
      <c r="D28" s="377"/>
      <c r="E28" s="377">
        <v>39017</v>
      </c>
      <c r="F28" s="382"/>
      <c r="G28" s="379"/>
      <c r="H28" s="376"/>
      <c r="I28" s="376"/>
      <c r="J28" s="380"/>
      <c r="K28" s="292"/>
      <c r="L28" s="393"/>
      <c r="M28" s="394"/>
      <c r="N28" s="395"/>
    </row>
    <row r="29" spans="1:14" s="396" customFormat="1" ht="14.25">
      <c r="A29" s="462"/>
      <c r="B29" s="484" t="s">
        <v>41</v>
      </c>
      <c r="C29" s="485">
        <f>SUM(C25:C28)</f>
        <v>71000000</v>
      </c>
      <c r="D29" s="486"/>
      <c r="E29" s="486"/>
      <c r="F29" s="486"/>
      <c r="G29" s="486"/>
      <c r="H29" s="485">
        <f>SUM(H25:H26)</f>
        <v>55777688</v>
      </c>
      <c r="I29" s="485">
        <f>SUM(I25:I26)</f>
        <v>46194381</v>
      </c>
      <c r="J29" s="486"/>
      <c r="K29" s="292"/>
      <c r="L29" s="393"/>
      <c r="M29" s="394"/>
      <c r="N29" s="395"/>
    </row>
    <row r="30" spans="1:14" s="282" customFormat="1" ht="14.25">
      <c r="A30" s="464" t="s">
        <v>262</v>
      </c>
      <c r="B30" s="464"/>
      <c r="C30" s="465">
        <f>SUM(C29,C24)</f>
        <v>712300000</v>
      </c>
      <c r="D30" s="466"/>
      <c r="E30" s="467"/>
      <c r="F30" s="468"/>
      <c r="G30" s="468"/>
      <c r="H30" s="469">
        <f>H24+H29</f>
        <v>481128884.51</v>
      </c>
      <c r="I30" s="469">
        <f>I24+I29</f>
        <v>505123873.58</v>
      </c>
      <c r="J30" s="470"/>
      <c r="K30" s="328"/>
      <c r="L30" s="315" t="e">
        <f>SUM(#REF!)</f>
        <v>#REF!</v>
      </c>
      <c r="M30" s="316" t="e">
        <f>SUM(#REF!)</f>
        <v>#REF!</v>
      </c>
      <c r="N30" s="317" t="s">
        <v>42</v>
      </c>
    </row>
    <row r="31" spans="1:14" s="338" customFormat="1" ht="12.75" hidden="1">
      <c r="A31" s="471"/>
      <c r="B31" s="472"/>
      <c r="C31" s="473"/>
      <c r="D31" s="474"/>
      <c r="E31" s="475"/>
      <c r="F31" s="476"/>
      <c r="G31" s="476"/>
      <c r="H31" s="473"/>
      <c r="I31" s="473"/>
      <c r="J31" s="470"/>
      <c r="K31" s="334"/>
      <c r="L31" s="335" t="e">
        <f>C30*J30/365*#REF!</f>
        <v>#REF!</v>
      </c>
      <c r="M31" s="336">
        <v>1272986</v>
      </c>
      <c r="N31" s="337"/>
    </row>
    <row r="32" spans="1:14" s="338" customFormat="1" ht="12.75" hidden="1">
      <c r="A32" s="339"/>
      <c r="B32" s="345"/>
      <c r="C32" s="403"/>
      <c r="D32" s="331"/>
      <c r="E32" s="332"/>
      <c r="F32" s="275"/>
      <c r="G32" s="275"/>
      <c r="H32" s="403"/>
      <c r="I32" s="403"/>
      <c r="J32" s="346"/>
      <c r="K32" s="334"/>
      <c r="L32" s="343"/>
      <c r="M32" s="344"/>
      <c r="N32" s="337"/>
    </row>
    <row r="33" spans="1:14" s="338" customFormat="1" ht="12.75" hidden="1">
      <c r="A33" s="339"/>
      <c r="B33" s="311" t="s">
        <v>41</v>
      </c>
      <c r="C33" s="386">
        <f>SUM(C30:C32)</f>
        <v>712300000</v>
      </c>
      <c r="D33" s="312"/>
      <c r="E33" s="312"/>
      <c r="F33" s="312"/>
      <c r="G33" s="312"/>
      <c r="H33" s="386">
        <f>SUM(H30:H32)</f>
        <v>481128884.51</v>
      </c>
      <c r="I33" s="386">
        <f>SUM(I30:I32)</f>
        <v>505123873.58</v>
      </c>
      <c r="J33" s="312"/>
      <c r="K33" s="334"/>
      <c r="L33" s="335" t="e">
        <f>C32*J32/365*#REF!</f>
        <v>#REF!</v>
      </c>
      <c r="M33" s="344">
        <v>0</v>
      </c>
      <c r="N33" s="337"/>
    </row>
    <row r="34" spans="1:14" s="282" customFormat="1" ht="12.75" hidden="1">
      <c r="A34" s="429"/>
      <c r="B34" s="477"/>
      <c r="C34" s="405">
        <f>C24+C29</f>
        <v>712300000</v>
      </c>
      <c r="D34" s="348"/>
      <c r="E34" s="348"/>
      <c r="F34" s="348"/>
      <c r="G34" s="348"/>
      <c r="H34" s="405">
        <f>H24+H29</f>
        <v>481128884.51</v>
      </c>
      <c r="I34" s="405">
        <f>I24+I29</f>
        <v>505123873.58</v>
      </c>
      <c r="J34" s="406"/>
      <c r="K34" s="314"/>
      <c r="L34" s="315" t="e">
        <f>SUM(L31:L33)</f>
        <v>#REF!</v>
      </c>
      <c r="M34" s="316">
        <f>SUM(M31:M33)</f>
        <v>1272986</v>
      </c>
      <c r="N34" s="317" t="s">
        <v>42</v>
      </c>
    </row>
    <row r="35" spans="1:14" s="354" customFormat="1" ht="14.25">
      <c r="A35" s="478"/>
      <c r="B35" s="355"/>
      <c r="C35" s="356"/>
      <c r="D35" s="357"/>
      <c r="E35" s="358"/>
      <c r="F35" s="358"/>
      <c r="G35" s="358"/>
      <c r="H35" s="358"/>
      <c r="I35" s="358"/>
      <c r="J35" s="358"/>
      <c r="K35" s="437"/>
      <c r="L35" s="351" t="e">
        <f>L25+L30+L34+#REF!+#REF!</f>
        <v>#REF!</v>
      </c>
      <c r="M35" s="352" t="e">
        <f>M25+M30+M34+#REF!+#REF!</f>
        <v>#REF!</v>
      </c>
      <c r="N35" s="353" t="s">
        <v>42</v>
      </c>
    </row>
    <row r="36" spans="1:11" s="282" customFormat="1" ht="15" customHeight="1">
      <c r="A36" s="355"/>
      <c r="B36" s="355"/>
      <c r="C36" s="355"/>
      <c r="D36" s="357"/>
      <c r="E36" s="358"/>
      <c r="F36" s="358"/>
      <c r="G36" s="358"/>
      <c r="H36" s="358"/>
      <c r="I36" s="358"/>
      <c r="J36" s="358"/>
      <c r="K36" s="358"/>
    </row>
    <row r="37" spans="1:11" s="282" customFormat="1" ht="12.75" hidden="1">
      <c r="A37" s="196"/>
      <c r="B37" s="196" t="s">
        <v>263</v>
      </c>
      <c r="C37" s="355">
        <v>132500000</v>
      </c>
      <c r="D37" s="357"/>
      <c r="E37" s="358"/>
      <c r="F37" s="358"/>
      <c r="G37" s="358"/>
      <c r="H37" s="358"/>
      <c r="I37" s="358"/>
      <c r="J37" s="358"/>
      <c r="K37" s="358"/>
    </row>
    <row r="38" spans="1:11" s="282" customFormat="1" ht="12.75" hidden="1">
      <c r="A38" s="359"/>
      <c r="B38" s="196" t="s">
        <v>144</v>
      </c>
      <c r="C38" s="355">
        <v>100000000</v>
      </c>
      <c r="D38" s="358"/>
      <c r="E38" s="358"/>
      <c r="F38" s="358"/>
      <c r="G38" s="358"/>
      <c r="H38" s="358"/>
      <c r="I38" s="358"/>
      <c r="J38" s="358"/>
      <c r="K38" s="358"/>
    </row>
    <row r="39" spans="1:11" s="282" customFormat="1" ht="12.75" hidden="1">
      <c r="A39" s="359"/>
      <c r="B39" s="355" t="s">
        <v>145</v>
      </c>
      <c r="C39" s="479">
        <v>32500000</v>
      </c>
      <c r="D39" s="364"/>
      <c r="E39" s="358"/>
      <c r="F39" s="358"/>
      <c r="G39" s="358"/>
      <c r="H39" s="358"/>
      <c r="I39" s="358"/>
      <c r="J39" s="358"/>
      <c r="K39" s="358"/>
    </row>
    <row r="40" spans="1:11" s="282" customFormat="1" ht="14.25">
      <c r="A40" s="359"/>
      <c r="B40" s="360"/>
      <c r="C40" s="361"/>
      <c r="D40" s="203"/>
      <c r="E40" s="132"/>
      <c r="F40" s="132"/>
      <c r="G40" s="132"/>
      <c r="H40" s="132"/>
      <c r="I40" s="132"/>
      <c r="J40" s="132"/>
      <c r="K40" s="358"/>
    </row>
    <row r="41" spans="1:11" ht="14.25">
      <c r="A41" s="203"/>
      <c r="B41" s="360"/>
      <c r="C41" s="361"/>
      <c r="D41" s="195"/>
      <c r="E41" s="132"/>
      <c r="F41" s="132"/>
      <c r="G41" s="132"/>
      <c r="H41" s="132"/>
      <c r="I41" s="132"/>
      <c r="J41" s="132"/>
      <c r="K41" s="132"/>
    </row>
    <row r="42" spans="1:11" ht="17.25" customHeight="1">
      <c r="A42" s="204"/>
      <c r="B42" s="480"/>
      <c r="C42" s="480"/>
      <c r="D42" s="480"/>
      <c r="E42" s="480"/>
      <c r="F42" s="480"/>
      <c r="G42" s="480"/>
      <c r="H42" s="480"/>
      <c r="I42" s="480"/>
      <c r="J42" s="480"/>
      <c r="K42" s="132"/>
    </row>
    <row r="43" spans="1:11" s="207" customFormat="1" ht="16.5">
      <c r="A43" s="409" t="s">
        <v>49</v>
      </c>
      <c r="B43" s="409"/>
      <c r="C43" s="409"/>
      <c r="D43" s="409"/>
      <c r="E43" s="409"/>
      <c r="F43" s="409"/>
      <c r="G43" s="409"/>
      <c r="H43" s="409"/>
      <c r="I43" s="409"/>
      <c r="J43" s="409"/>
      <c r="K43" s="409"/>
    </row>
    <row r="46" ht="16.5" customHeight="1"/>
    <row r="47" ht="12">
      <c r="B47" s="363"/>
    </row>
    <row r="48" spans="1:2" ht="14.25">
      <c r="A48" s="362" t="s">
        <v>61</v>
      </c>
      <c r="B48" s="362"/>
    </row>
    <row r="49" ht="13.5">
      <c r="A49" s="362" t="s">
        <v>278</v>
      </c>
    </row>
    <row r="50" ht="13.5">
      <c r="A50" s="208" t="s">
        <v>277</v>
      </c>
    </row>
  </sheetData>
  <mergeCells count="28">
    <mergeCell ref="A1:K1"/>
    <mergeCell ref="A2:K2"/>
    <mergeCell ref="A4:K4"/>
    <mergeCell ref="A6:A9"/>
    <mergeCell ref="B6:B9"/>
    <mergeCell ref="C6:C9"/>
    <mergeCell ref="D6:D9"/>
    <mergeCell ref="E6:E9"/>
    <mergeCell ref="F6:G7"/>
    <mergeCell ref="H6:H9"/>
    <mergeCell ref="I6:I9"/>
    <mergeCell ref="J6:J9"/>
    <mergeCell ref="K6:K9"/>
    <mergeCell ref="L6:N6"/>
    <mergeCell ref="L7:N7"/>
    <mergeCell ref="F8:F9"/>
    <mergeCell ref="G8:G9"/>
    <mergeCell ref="A10:A24"/>
    <mergeCell ref="A25:A29"/>
    <mergeCell ref="B25:B26"/>
    <mergeCell ref="C25:C26"/>
    <mergeCell ref="D25:D26"/>
    <mergeCell ref="E25:E26"/>
    <mergeCell ref="J25:J26"/>
    <mergeCell ref="A30:B30"/>
    <mergeCell ref="J30:J31"/>
    <mergeCell ref="K31:K33"/>
    <mergeCell ref="A43:K43"/>
  </mergeCells>
  <printOptions horizontalCentered="1"/>
  <pageMargins left="0.5118055555555555" right="0.43333333333333335" top="0.4722222222222222" bottom="0.4722222222222222" header="0.5118055555555555" footer="0.5118055555555555"/>
  <pageSetup fitToHeight="1" fitToWidth="1" horizontalDpi="300" verticalDpi="300" orientation="landscape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workbookViewId="0" topLeftCell="C1">
      <selection activeCell="A47" sqref="A47"/>
    </sheetView>
  </sheetViews>
  <sheetFormatPr defaultColWidth="9.00390625" defaultRowHeight="12.75"/>
  <cols>
    <col min="1" max="1" width="30.875" style="1" customWidth="1"/>
    <col min="2" max="2" width="28.875" style="0" customWidth="1"/>
    <col min="3" max="3" width="15.125" style="0" customWidth="1"/>
    <col min="4" max="4" width="13.875" style="2" customWidth="1"/>
    <col min="5" max="5" width="14.875" style="0" customWidth="1"/>
    <col min="6" max="6" width="38.25390625" style="0" customWidth="1"/>
    <col min="7" max="7" width="8.25390625" style="0" customWidth="1"/>
    <col min="8" max="8" width="15.125" style="0" customWidth="1"/>
    <col min="9" max="9" width="14.625" style="0" customWidth="1"/>
    <col min="10" max="10" width="11.375" style="0" customWidth="1"/>
    <col min="11" max="14" width="0" style="0" hidden="1" customWidth="1"/>
    <col min="15" max="15" width="22.00390625" style="0" customWidth="1"/>
  </cols>
  <sheetData>
    <row r="1" spans="1:11" ht="16.5">
      <c r="A1" s="365" t="s">
        <v>119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1" ht="16.5">
      <c r="A2" s="365" t="s">
        <v>49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 ht="16.5">
      <c r="A3" s="366"/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11" ht="12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</row>
    <row r="5" spans="10:11" ht="12">
      <c r="J5" s="368" t="s">
        <v>121</v>
      </c>
      <c r="K5" s="368" t="s">
        <v>121</v>
      </c>
    </row>
    <row r="6" spans="1:14" s="255" customFormat="1" ht="14.25">
      <c r="A6" s="481" t="s">
        <v>122</v>
      </c>
      <c r="B6" s="370" t="s">
        <v>123</v>
      </c>
      <c r="C6" s="370" t="s">
        <v>124</v>
      </c>
      <c r="D6" s="370" t="s">
        <v>125</v>
      </c>
      <c r="E6" s="370" t="s">
        <v>126</v>
      </c>
      <c r="F6" s="371" t="s">
        <v>127</v>
      </c>
      <c r="G6" s="371"/>
      <c r="H6" s="370" t="s">
        <v>128</v>
      </c>
      <c r="I6" s="370" t="s">
        <v>129</v>
      </c>
      <c r="J6" s="370" t="s">
        <v>130</v>
      </c>
      <c r="K6" s="372" t="s">
        <v>131</v>
      </c>
      <c r="L6" s="254" t="s">
        <v>10</v>
      </c>
      <c r="M6" s="254"/>
      <c r="N6" s="254"/>
    </row>
    <row r="7" spans="1:14" s="255" customFormat="1" ht="14.25">
      <c r="A7" s="481"/>
      <c r="B7" s="370"/>
      <c r="C7" s="370"/>
      <c r="D7" s="370"/>
      <c r="E7" s="370"/>
      <c r="F7" s="371"/>
      <c r="G7" s="371"/>
      <c r="H7" s="370"/>
      <c r="I7" s="370"/>
      <c r="J7" s="370"/>
      <c r="K7" s="372"/>
      <c r="L7" s="260" t="s">
        <v>21</v>
      </c>
      <c r="M7" s="260"/>
      <c r="N7" s="260"/>
    </row>
    <row r="8" spans="1:14" s="255" customFormat="1" ht="14.25">
      <c r="A8" s="481"/>
      <c r="B8" s="370"/>
      <c r="C8" s="370"/>
      <c r="D8" s="370"/>
      <c r="E8" s="370"/>
      <c r="F8" s="373" t="s">
        <v>172</v>
      </c>
      <c r="G8" s="373" t="s">
        <v>27</v>
      </c>
      <c r="H8" s="370"/>
      <c r="I8" s="370"/>
      <c r="J8" s="370"/>
      <c r="K8" s="372"/>
      <c r="L8" s="254" t="s">
        <v>31</v>
      </c>
      <c r="M8" s="261" t="s">
        <v>32</v>
      </c>
      <c r="N8" s="262" t="s">
        <v>33</v>
      </c>
    </row>
    <row r="9" spans="1:14" s="270" customFormat="1" ht="14.25">
      <c r="A9" s="481"/>
      <c r="B9" s="370"/>
      <c r="C9" s="370"/>
      <c r="D9" s="370"/>
      <c r="E9" s="370"/>
      <c r="F9" s="373"/>
      <c r="G9" s="373"/>
      <c r="H9" s="370"/>
      <c r="I9" s="370"/>
      <c r="J9" s="370"/>
      <c r="K9" s="372"/>
      <c r="L9" s="268"/>
      <c r="M9" s="269"/>
      <c r="N9" s="268"/>
    </row>
    <row r="10" spans="1:14" s="282" customFormat="1" ht="15" customHeight="1">
      <c r="A10" s="487" t="s">
        <v>49</v>
      </c>
      <c r="B10" s="439" t="s">
        <v>36</v>
      </c>
      <c r="C10" s="440">
        <v>70000000</v>
      </c>
      <c r="D10" s="441">
        <v>39367</v>
      </c>
      <c r="E10" s="441">
        <v>39009</v>
      </c>
      <c r="F10" s="397" t="s">
        <v>276</v>
      </c>
      <c r="G10" s="442"/>
      <c r="H10" s="440"/>
      <c r="I10" s="440"/>
      <c r="J10" s="447">
        <v>0.115</v>
      </c>
      <c r="K10" s="381"/>
      <c r="L10" s="279"/>
      <c r="M10" s="280"/>
      <c r="N10" s="281"/>
    </row>
    <row r="11" spans="1:14" s="282" customFormat="1" ht="15" customHeight="1">
      <c r="A11" s="487"/>
      <c r="B11" s="446" t="s">
        <v>36</v>
      </c>
      <c r="C11" s="440">
        <v>50000000</v>
      </c>
      <c r="D11" s="441">
        <v>39227</v>
      </c>
      <c r="E11" s="441">
        <v>38868</v>
      </c>
      <c r="F11" s="397" t="s">
        <v>252</v>
      </c>
      <c r="G11" s="442"/>
      <c r="H11" s="440"/>
      <c r="I11" s="440"/>
      <c r="J11" s="450">
        <v>0.11</v>
      </c>
      <c r="K11" s="381"/>
      <c r="L11" s="279"/>
      <c r="M11" s="280"/>
      <c r="N11" s="281"/>
    </row>
    <row r="12" spans="1:14" s="282" customFormat="1" ht="30.75" customHeight="1">
      <c r="A12" s="487"/>
      <c r="B12" s="446" t="s">
        <v>163</v>
      </c>
      <c r="C12" s="440">
        <f>69000000+30000000</f>
        <v>99000000</v>
      </c>
      <c r="D12" s="441">
        <v>39435</v>
      </c>
      <c r="E12" s="441">
        <v>38895</v>
      </c>
      <c r="F12" s="397" t="s">
        <v>36</v>
      </c>
      <c r="G12" s="442"/>
      <c r="H12" s="440"/>
      <c r="I12" s="440"/>
      <c r="J12" s="450">
        <v>0.11</v>
      </c>
      <c r="K12" s="381" t="s">
        <v>215</v>
      </c>
      <c r="L12" s="279"/>
      <c r="M12" s="280"/>
      <c r="N12" s="281"/>
    </row>
    <row r="13" spans="1:14" s="282" customFormat="1" ht="15" customHeight="1">
      <c r="A13" s="487"/>
      <c r="B13" s="446" t="s">
        <v>163</v>
      </c>
      <c r="C13" s="440">
        <v>26000000</v>
      </c>
      <c r="D13" s="441">
        <v>39332</v>
      </c>
      <c r="E13" s="441">
        <v>38936</v>
      </c>
      <c r="F13" s="397" t="s">
        <v>38</v>
      </c>
      <c r="G13" s="442"/>
      <c r="H13" s="440"/>
      <c r="I13" s="440">
        <v>63415818</v>
      </c>
      <c r="J13" s="450">
        <v>0.12</v>
      </c>
      <c r="K13" s="381"/>
      <c r="L13" s="279"/>
      <c r="M13" s="280"/>
      <c r="N13" s="281"/>
    </row>
    <row r="14" spans="1:14" s="282" customFormat="1" ht="15" customHeight="1">
      <c r="A14" s="487"/>
      <c r="B14" s="446" t="s">
        <v>163</v>
      </c>
      <c r="C14" s="440">
        <v>36900000</v>
      </c>
      <c r="D14" s="441">
        <v>39291</v>
      </c>
      <c r="E14" s="441">
        <v>38926</v>
      </c>
      <c r="F14" s="397" t="s">
        <v>38</v>
      </c>
      <c r="G14" s="442"/>
      <c r="H14" s="440">
        <v>67880000</v>
      </c>
      <c r="I14" s="440">
        <v>44422000</v>
      </c>
      <c r="J14" s="450">
        <v>0.115</v>
      </c>
      <c r="K14" s="381"/>
      <c r="L14" s="279"/>
      <c r="M14" s="280"/>
      <c r="N14" s="281"/>
    </row>
    <row r="15" spans="1:14" s="282" customFormat="1" ht="15" customHeight="1">
      <c r="A15" s="487"/>
      <c r="B15" s="446" t="s">
        <v>137</v>
      </c>
      <c r="C15" s="440">
        <v>36900000</v>
      </c>
      <c r="D15" s="441">
        <v>39291</v>
      </c>
      <c r="E15" s="441">
        <v>38926</v>
      </c>
      <c r="F15" s="397" t="s">
        <v>36</v>
      </c>
      <c r="G15" s="442"/>
      <c r="H15" s="440">
        <v>67312000</v>
      </c>
      <c r="I15" s="440">
        <v>44052800</v>
      </c>
      <c r="J15" s="450">
        <v>0.115</v>
      </c>
      <c r="K15" s="381"/>
      <c r="L15" s="279"/>
      <c r="M15" s="280"/>
      <c r="N15" s="281"/>
    </row>
    <row r="16" spans="1:14" s="282" customFormat="1" ht="15" customHeight="1">
      <c r="A16" s="487"/>
      <c r="B16" s="446" t="s">
        <v>279</v>
      </c>
      <c r="C16" s="440">
        <v>36500000</v>
      </c>
      <c r="D16" s="441">
        <v>39346</v>
      </c>
      <c r="E16" s="441" t="s">
        <v>261</v>
      </c>
      <c r="F16" s="397" t="s">
        <v>104</v>
      </c>
      <c r="G16" s="442"/>
      <c r="H16" s="440">
        <v>63305084.73</v>
      </c>
      <c r="I16" s="440">
        <v>41158305.08</v>
      </c>
      <c r="J16" s="450">
        <v>0.115</v>
      </c>
      <c r="K16" s="381"/>
      <c r="L16" s="279"/>
      <c r="M16" s="280"/>
      <c r="N16" s="281"/>
    </row>
    <row r="17" spans="1:14" s="282" customFormat="1" ht="15" customHeight="1">
      <c r="A17" s="487"/>
      <c r="B17" s="446" t="s">
        <v>137</v>
      </c>
      <c r="C17" s="440">
        <v>36500000</v>
      </c>
      <c r="D17" s="441">
        <v>39346</v>
      </c>
      <c r="E17" s="441" t="s">
        <v>261</v>
      </c>
      <c r="F17" s="397" t="s">
        <v>36</v>
      </c>
      <c r="G17" s="442"/>
      <c r="H17" s="440"/>
      <c r="I17" s="440"/>
      <c r="J17" s="450">
        <v>0.115</v>
      </c>
      <c r="K17" s="381"/>
      <c r="L17" s="279"/>
      <c r="M17" s="280"/>
      <c r="N17" s="281"/>
    </row>
    <row r="18" spans="1:14" s="282" customFormat="1" ht="15" customHeight="1">
      <c r="A18" s="487"/>
      <c r="B18" s="446" t="s">
        <v>172</v>
      </c>
      <c r="C18" s="440">
        <v>20000000</v>
      </c>
      <c r="D18" s="441">
        <v>39388</v>
      </c>
      <c r="E18" s="441">
        <v>39024</v>
      </c>
      <c r="F18" s="397"/>
      <c r="G18" s="442"/>
      <c r="H18" s="440"/>
      <c r="I18" s="440"/>
      <c r="J18" s="450">
        <v>0.12</v>
      </c>
      <c r="K18" s="381"/>
      <c r="L18" s="279"/>
      <c r="M18" s="280"/>
      <c r="N18" s="281"/>
    </row>
    <row r="19" spans="1:14" s="282" customFormat="1" ht="15" customHeight="1">
      <c r="A19" s="487"/>
      <c r="B19" s="446" t="s">
        <v>104</v>
      </c>
      <c r="C19" s="440">
        <v>30000000</v>
      </c>
      <c r="D19" s="441">
        <v>39388</v>
      </c>
      <c r="E19" s="441">
        <v>39038</v>
      </c>
      <c r="F19" s="397"/>
      <c r="G19" s="442"/>
      <c r="H19" s="440"/>
      <c r="I19" s="440"/>
      <c r="J19" s="450">
        <v>0.12</v>
      </c>
      <c r="K19" s="381"/>
      <c r="L19" s="279"/>
      <c r="M19" s="280"/>
      <c r="N19" s="281"/>
    </row>
    <row r="20" spans="1:14" s="282" customFormat="1" ht="15" customHeight="1">
      <c r="A20" s="487"/>
      <c r="B20" s="446" t="s">
        <v>280</v>
      </c>
      <c r="C20" s="440">
        <v>400000</v>
      </c>
      <c r="D20" s="441">
        <v>39173</v>
      </c>
      <c r="E20" s="441">
        <v>39044</v>
      </c>
      <c r="F20" s="397"/>
      <c r="G20" s="442"/>
      <c r="H20" s="440"/>
      <c r="I20" s="440"/>
      <c r="J20" s="450">
        <v>0.02</v>
      </c>
      <c r="K20" s="381"/>
      <c r="L20" s="279"/>
      <c r="M20" s="280"/>
      <c r="N20" s="281"/>
    </row>
    <row r="21" spans="1:14" s="282" customFormat="1" ht="15" customHeight="1">
      <c r="A21" s="487"/>
      <c r="B21" s="446" t="s">
        <v>163</v>
      </c>
      <c r="C21" s="440">
        <v>600000</v>
      </c>
      <c r="D21" s="441">
        <v>39173</v>
      </c>
      <c r="E21" s="441">
        <v>39045</v>
      </c>
      <c r="F21" s="397"/>
      <c r="G21" s="442"/>
      <c r="H21" s="440"/>
      <c r="I21" s="440"/>
      <c r="J21" s="450">
        <v>0.02</v>
      </c>
      <c r="K21" s="381"/>
      <c r="L21" s="279"/>
      <c r="M21" s="280"/>
      <c r="N21" s="281"/>
    </row>
    <row r="22" spans="1:14" s="282" customFormat="1" ht="15" customHeight="1">
      <c r="A22" s="487"/>
      <c r="B22" s="326" t="s">
        <v>36</v>
      </c>
      <c r="C22" s="402">
        <f>SUM(C10:C21)</f>
        <v>442800000</v>
      </c>
      <c r="D22" s="483"/>
      <c r="E22" s="327"/>
      <c r="F22" s="327" t="s">
        <v>104</v>
      </c>
      <c r="G22" s="327"/>
      <c r="H22" s="402">
        <f>SUM(H10:H21)</f>
        <v>198497084.73</v>
      </c>
      <c r="I22" s="402">
        <f>SUM(I10:I21)</f>
        <v>193048923.07999998</v>
      </c>
      <c r="J22" s="327"/>
      <c r="K22" s="381"/>
      <c r="L22" s="279"/>
      <c r="M22" s="280"/>
      <c r="N22" s="281"/>
    </row>
    <row r="23" spans="1:14" s="318" customFormat="1" ht="16.5" customHeight="1">
      <c r="A23" s="462" t="s">
        <v>281</v>
      </c>
      <c r="B23" s="379" t="s">
        <v>38</v>
      </c>
      <c r="C23" s="452">
        <v>32500000</v>
      </c>
      <c r="D23" s="377">
        <v>39081</v>
      </c>
      <c r="E23" s="377">
        <v>39000</v>
      </c>
      <c r="F23" s="382" t="s">
        <v>36</v>
      </c>
      <c r="G23" s="379">
        <v>28</v>
      </c>
      <c r="H23" s="376">
        <v>30277688</v>
      </c>
      <c r="I23" s="376">
        <v>21194381</v>
      </c>
      <c r="J23" s="380">
        <v>0.14</v>
      </c>
      <c r="K23" s="328"/>
      <c r="L23" s="315" t="e">
        <f>SUM(#REF!)</f>
        <v>#REF!</v>
      </c>
      <c r="M23" s="316" t="e">
        <f>SUM(#REF!)</f>
        <v>#REF!</v>
      </c>
      <c r="N23" s="317" t="s">
        <v>42</v>
      </c>
    </row>
    <row r="24" spans="1:14" s="396" customFormat="1" ht="14.25">
      <c r="A24" s="462"/>
      <c r="B24" s="379"/>
      <c r="C24" s="452"/>
      <c r="D24" s="377"/>
      <c r="E24" s="377"/>
      <c r="F24" s="382" t="s">
        <v>36</v>
      </c>
      <c r="G24" s="379">
        <v>1</v>
      </c>
      <c r="H24" s="376">
        <v>25500000</v>
      </c>
      <c r="I24" s="376">
        <v>25000000</v>
      </c>
      <c r="J24" s="380"/>
      <c r="K24" s="292"/>
      <c r="L24" s="393"/>
      <c r="M24" s="394"/>
      <c r="N24" s="395"/>
    </row>
    <row r="25" spans="1:14" s="396" customFormat="1" ht="14.25">
      <c r="A25" s="462"/>
      <c r="B25" s="379" t="s">
        <v>36</v>
      </c>
      <c r="C25" s="452">
        <v>28500000</v>
      </c>
      <c r="D25" s="377">
        <v>39060</v>
      </c>
      <c r="E25" s="377">
        <v>39031</v>
      </c>
      <c r="F25" s="382"/>
      <c r="G25" s="379"/>
      <c r="H25" s="376"/>
      <c r="I25" s="376"/>
      <c r="J25" s="380">
        <v>0.12</v>
      </c>
      <c r="K25" s="292"/>
      <c r="L25" s="393"/>
      <c r="M25" s="394"/>
      <c r="N25" s="395"/>
    </row>
    <row r="26" spans="1:14" s="396" customFormat="1" ht="14.25">
      <c r="A26" s="462"/>
      <c r="B26" s="379" t="s">
        <v>36</v>
      </c>
      <c r="C26" s="452">
        <v>10000000</v>
      </c>
      <c r="D26" s="377"/>
      <c r="E26" s="377">
        <v>39017</v>
      </c>
      <c r="F26" s="382"/>
      <c r="G26" s="379"/>
      <c r="H26" s="376"/>
      <c r="I26" s="376"/>
      <c r="J26" s="488">
        <v>0.105</v>
      </c>
      <c r="K26" s="292"/>
      <c r="L26" s="393"/>
      <c r="M26" s="394"/>
      <c r="N26" s="395"/>
    </row>
    <row r="27" spans="1:14" s="396" customFormat="1" ht="14.25">
      <c r="A27" s="462"/>
      <c r="B27" s="484" t="s">
        <v>104</v>
      </c>
      <c r="C27" s="485">
        <f>SUM(C23:C26)</f>
        <v>71000000</v>
      </c>
      <c r="D27" s="486"/>
      <c r="E27" s="486"/>
      <c r="F27" s="486"/>
      <c r="G27" s="486"/>
      <c r="H27" s="485">
        <f>SUM(H23:H24)</f>
        <v>55777688</v>
      </c>
      <c r="I27" s="485">
        <f>SUM(I23:I24)</f>
        <v>46194381</v>
      </c>
      <c r="J27" s="486"/>
      <c r="K27" s="292"/>
      <c r="L27" s="393"/>
      <c r="M27" s="394"/>
      <c r="N27" s="395"/>
    </row>
    <row r="28" spans="1:14" s="282" customFormat="1" ht="14.25">
      <c r="A28" s="489" t="s">
        <v>262</v>
      </c>
      <c r="B28" s="489"/>
      <c r="C28" s="465">
        <f>SUM(C27,C22)</f>
        <v>513800000</v>
      </c>
      <c r="D28" s="466"/>
      <c r="E28" s="467"/>
      <c r="F28" s="468"/>
      <c r="G28" s="468"/>
      <c r="H28" s="469">
        <f>H22+H27</f>
        <v>254274772.73</v>
      </c>
      <c r="I28" s="469">
        <f>I22+I27</f>
        <v>239243304.07999998</v>
      </c>
      <c r="J28" s="470"/>
      <c r="K28" s="328"/>
      <c r="L28" s="315" t="e">
        <f>SUM(#REF!)</f>
        <v>#REF!</v>
      </c>
      <c r="M28" s="316" t="e">
        <f>SUM(#REF!)</f>
        <v>#REF!</v>
      </c>
      <c r="N28" s="317" t="s">
        <v>42</v>
      </c>
    </row>
    <row r="29" spans="1:14" s="338" customFormat="1" ht="12.75" hidden="1">
      <c r="A29" s="490"/>
      <c r="B29" s="472"/>
      <c r="C29" s="473"/>
      <c r="D29" s="474"/>
      <c r="E29" s="475"/>
      <c r="F29" s="476"/>
      <c r="G29" s="476"/>
      <c r="H29" s="473"/>
      <c r="I29" s="473"/>
      <c r="J29" s="470"/>
      <c r="K29" s="334"/>
      <c r="L29" s="335" t="e">
        <f>C28*J28/365*#REF!</f>
        <v>#REF!</v>
      </c>
      <c r="M29" s="336">
        <v>1272986</v>
      </c>
      <c r="N29" s="337"/>
    </row>
    <row r="30" spans="1:14" s="338" customFormat="1" ht="12.75" hidden="1">
      <c r="A30" s="339"/>
      <c r="B30" s="345"/>
      <c r="C30" s="403"/>
      <c r="D30" s="331"/>
      <c r="E30" s="332"/>
      <c r="F30" s="275"/>
      <c r="G30" s="275"/>
      <c r="H30" s="403"/>
      <c r="I30" s="403"/>
      <c r="J30" s="346"/>
      <c r="K30" s="334"/>
      <c r="L30" s="343"/>
      <c r="M30" s="344"/>
      <c r="N30" s="337"/>
    </row>
    <row r="31" spans="1:14" s="338" customFormat="1" ht="12.75" hidden="1">
      <c r="A31" s="339"/>
      <c r="B31" s="311" t="s">
        <v>41</v>
      </c>
      <c r="C31" s="386">
        <f>SUM(C28:C30)</f>
        <v>513800000</v>
      </c>
      <c r="D31" s="312"/>
      <c r="E31" s="312"/>
      <c r="F31" s="312"/>
      <c r="G31" s="312"/>
      <c r="H31" s="386">
        <f>SUM(H28:H30)</f>
        <v>254274772.73</v>
      </c>
      <c r="I31" s="386">
        <f>SUM(I28:I30)</f>
        <v>239243304.07999998</v>
      </c>
      <c r="J31" s="312"/>
      <c r="K31" s="334"/>
      <c r="L31" s="335" t="e">
        <f>C30*J30/365*#REF!</f>
        <v>#REF!</v>
      </c>
      <c r="M31" s="344">
        <v>0</v>
      </c>
      <c r="N31" s="337"/>
    </row>
    <row r="32" spans="1:14" s="282" customFormat="1" ht="12.75" hidden="1">
      <c r="A32" s="429"/>
      <c r="B32" s="477"/>
      <c r="C32" s="405">
        <f>C22+C27</f>
        <v>513800000</v>
      </c>
      <c r="D32" s="348"/>
      <c r="E32" s="348"/>
      <c r="F32" s="348"/>
      <c r="G32" s="348"/>
      <c r="H32" s="405">
        <f>H22+H27</f>
        <v>254274772.73</v>
      </c>
      <c r="I32" s="405">
        <f>I22+I27</f>
        <v>239243304.07999998</v>
      </c>
      <c r="J32" s="406"/>
      <c r="K32" s="314"/>
      <c r="L32" s="315" t="e">
        <f>SUM(L29:L31)</f>
        <v>#REF!</v>
      </c>
      <c r="M32" s="316">
        <f>SUM(M29:M31)</f>
        <v>1272986</v>
      </c>
      <c r="N32" s="317" t="s">
        <v>42</v>
      </c>
    </row>
    <row r="33" spans="1:14" s="354" customFormat="1" ht="14.25">
      <c r="A33" s="478"/>
      <c r="B33" s="355"/>
      <c r="C33" s="356"/>
      <c r="D33" s="357"/>
      <c r="E33" s="358"/>
      <c r="F33" s="358"/>
      <c r="G33" s="358"/>
      <c r="H33" s="358"/>
      <c r="I33" s="358"/>
      <c r="J33" s="358"/>
      <c r="K33" s="437"/>
      <c r="L33" s="351" t="e">
        <f>L23+L28+L32+#REF!+#REF!</f>
        <v>#REF!</v>
      </c>
      <c r="M33" s="352" t="e">
        <f>M23+M28+M32+#REF!+#REF!</f>
        <v>#REF!</v>
      </c>
      <c r="N33" s="353" t="s">
        <v>42</v>
      </c>
    </row>
    <row r="34" spans="1:11" s="282" customFormat="1" ht="15" customHeight="1">
      <c r="A34" s="355"/>
      <c r="B34" s="355"/>
      <c r="C34" s="355"/>
      <c r="D34" s="357"/>
      <c r="E34" s="358"/>
      <c r="F34" s="358"/>
      <c r="G34" s="358"/>
      <c r="H34" s="358"/>
      <c r="I34" s="358"/>
      <c r="J34" s="358"/>
      <c r="K34" s="358"/>
    </row>
    <row r="35" spans="1:11" s="282" customFormat="1" ht="14.25">
      <c r="A35" s="196"/>
      <c r="B35" s="196" t="s">
        <v>282</v>
      </c>
      <c r="C35" s="355">
        <v>132500000</v>
      </c>
      <c r="D35" s="357"/>
      <c r="E35" s="358"/>
      <c r="F35" s="358"/>
      <c r="G35" s="358"/>
      <c r="H35" s="358"/>
      <c r="I35" s="358"/>
      <c r="J35" s="358"/>
      <c r="K35" s="358"/>
    </row>
    <row r="36" spans="1:11" s="282" customFormat="1" ht="14.25">
      <c r="A36" s="359"/>
      <c r="B36" s="196" t="s">
        <v>38</v>
      </c>
      <c r="C36" s="355" t="e">
        <f>100000000+74000000+#REF!+#REF!+#REF!+#REF!+#REF!</f>
        <v>#REF!</v>
      </c>
      <c r="D36" s="358"/>
      <c r="E36" s="358"/>
      <c r="F36" s="358"/>
      <c r="G36" s="358"/>
      <c r="H36" s="358"/>
      <c r="I36" s="358"/>
      <c r="J36" s="358"/>
      <c r="K36" s="358"/>
    </row>
    <row r="37" spans="1:11" s="282" customFormat="1" ht="14.25">
      <c r="A37" s="359"/>
      <c r="B37" s="355" t="s">
        <v>38</v>
      </c>
      <c r="C37" s="479">
        <f>32500000+28500000</f>
        <v>61000000</v>
      </c>
      <c r="D37" s="364"/>
      <c r="E37" s="358"/>
      <c r="F37" s="358"/>
      <c r="G37" s="358"/>
      <c r="H37" s="358"/>
      <c r="I37" s="358"/>
      <c r="J37" s="358"/>
      <c r="K37" s="358"/>
    </row>
    <row r="38" spans="1:11" s="282" customFormat="1" ht="14.25">
      <c r="A38" s="359"/>
      <c r="B38" s="360"/>
      <c r="C38" s="361"/>
      <c r="D38" s="203"/>
      <c r="E38" s="132"/>
      <c r="F38" s="132"/>
      <c r="G38" s="132"/>
      <c r="H38" s="132"/>
      <c r="I38" s="132"/>
      <c r="J38" s="132"/>
      <c r="K38" s="358"/>
    </row>
    <row r="39" spans="1:11" ht="14.25">
      <c r="A39" s="203"/>
      <c r="B39" s="360"/>
      <c r="C39" s="361"/>
      <c r="D39" s="195"/>
      <c r="E39" s="132"/>
      <c r="F39" s="132"/>
      <c r="G39" s="132"/>
      <c r="H39" s="132"/>
      <c r="I39" s="132"/>
      <c r="J39" s="132"/>
      <c r="K39" s="132"/>
    </row>
    <row r="40" spans="1:11" ht="17.25" customHeight="1">
      <c r="A40" s="204"/>
      <c r="B40" s="480"/>
      <c r="C40" s="480"/>
      <c r="D40" s="480"/>
      <c r="E40" s="480"/>
      <c r="F40" s="480"/>
      <c r="G40" s="480"/>
      <c r="H40" s="480"/>
      <c r="I40" s="480"/>
      <c r="J40" s="480"/>
      <c r="K40" s="132"/>
    </row>
    <row r="41" spans="1:11" s="207" customFormat="1" ht="16.5">
      <c r="A41" s="409" t="s">
        <v>283</v>
      </c>
      <c r="B41" s="409"/>
      <c r="C41" s="409"/>
      <c r="D41" s="409"/>
      <c r="E41" s="409"/>
      <c r="F41" s="409"/>
      <c r="G41" s="409"/>
      <c r="H41" s="409"/>
      <c r="I41" s="409"/>
      <c r="J41" s="409"/>
      <c r="K41" s="409"/>
    </row>
    <row r="44" ht="16.5" customHeight="1"/>
    <row r="45" ht="12">
      <c r="B45" s="363"/>
    </row>
    <row r="46" spans="1:2" ht="14.25">
      <c r="A46" s="362" t="s">
        <v>61</v>
      </c>
      <c r="B46" s="362"/>
    </row>
    <row r="47" ht="13.5">
      <c r="A47" s="362" t="s">
        <v>284</v>
      </c>
    </row>
    <row r="48" ht="14.25">
      <c r="A48" s="208"/>
    </row>
  </sheetData>
  <mergeCells count="28">
    <mergeCell ref="A1:K1"/>
    <mergeCell ref="A2:K2"/>
    <mergeCell ref="A4:K4"/>
    <mergeCell ref="A6:A9"/>
    <mergeCell ref="B6:B9"/>
    <mergeCell ref="C6:C9"/>
    <mergeCell ref="D6:D9"/>
    <mergeCell ref="E6:E9"/>
    <mergeCell ref="F6:G7"/>
    <mergeCell ref="H6:H9"/>
    <mergeCell ref="I6:I9"/>
    <mergeCell ref="J6:J9"/>
    <mergeCell ref="K6:K9"/>
    <mergeCell ref="L6:N6"/>
    <mergeCell ref="L7:N7"/>
    <mergeCell ref="F8:F9"/>
    <mergeCell ref="G8:G9"/>
    <mergeCell ref="A10:A22"/>
    <mergeCell ref="A23:A27"/>
    <mergeCell ref="B23:B24"/>
    <mergeCell ref="C23:C24"/>
    <mergeCell ref="D23:D24"/>
    <mergeCell ref="E23:E24"/>
    <mergeCell ref="J23:J24"/>
    <mergeCell ref="A28:B28"/>
    <mergeCell ref="J28:J29"/>
    <mergeCell ref="K29:K31"/>
    <mergeCell ref="A41:K41"/>
  </mergeCells>
  <printOptions horizontalCentered="1"/>
  <pageMargins left="0.1798611111111111" right="0.19027777777777777" top="0.6902777777777778" bottom="0.1798611111111111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workbookViewId="0" topLeftCell="A1">
      <selection activeCell="A41" sqref="A41"/>
    </sheetView>
  </sheetViews>
  <sheetFormatPr defaultColWidth="9.00390625" defaultRowHeight="12.75"/>
  <cols>
    <col min="1" max="1" width="29.875" style="1" customWidth="1"/>
    <col min="2" max="2" width="27.00390625" style="0" customWidth="1"/>
    <col min="3" max="3" width="18.375" style="0" customWidth="1"/>
    <col min="4" max="4" width="21.125" style="2" customWidth="1"/>
    <col min="5" max="5" width="14.875" style="0" customWidth="1"/>
    <col min="6" max="6" width="44.25390625" style="0" customWidth="1"/>
    <col min="7" max="7" width="11.25390625" style="0" customWidth="1"/>
    <col min="8" max="8" width="17.875" style="0" customWidth="1"/>
    <col min="9" max="9" width="19.625" style="0" customWidth="1"/>
    <col min="10" max="10" width="11.875" style="0" customWidth="1"/>
    <col min="11" max="11" width="20.625" style="0" customWidth="1"/>
    <col min="12" max="14" width="0" style="0" hidden="1" customWidth="1"/>
    <col min="15" max="15" width="22.00390625" style="0" customWidth="1"/>
  </cols>
  <sheetData>
    <row r="1" spans="1:14" s="255" customFormat="1" ht="14.25">
      <c r="A1" s="249" t="s">
        <v>0</v>
      </c>
      <c r="B1" s="250" t="s">
        <v>0</v>
      </c>
      <c r="C1" s="251" t="s">
        <v>1</v>
      </c>
      <c r="D1" s="251" t="s">
        <v>2</v>
      </c>
      <c r="E1" s="251" t="s">
        <v>3</v>
      </c>
      <c r="F1" s="252" t="s">
        <v>4</v>
      </c>
      <c r="G1" s="252"/>
      <c r="H1" s="251" t="s">
        <v>5</v>
      </c>
      <c r="I1" s="251" t="s">
        <v>6</v>
      </c>
      <c r="J1" s="251" t="s">
        <v>7</v>
      </c>
      <c r="K1" s="253" t="s">
        <v>9</v>
      </c>
      <c r="L1" s="254" t="s">
        <v>10</v>
      </c>
      <c r="M1" s="254"/>
      <c r="N1" s="254"/>
    </row>
    <row r="2" spans="1:14" s="255" customFormat="1" ht="14.25">
      <c r="A2" s="256" t="s">
        <v>11</v>
      </c>
      <c r="B2" s="257" t="s">
        <v>12</v>
      </c>
      <c r="C2" s="258" t="s">
        <v>13</v>
      </c>
      <c r="D2" s="258" t="s">
        <v>14</v>
      </c>
      <c r="E2" s="258" t="s">
        <v>15</v>
      </c>
      <c r="F2" s="252"/>
      <c r="G2" s="252"/>
      <c r="H2" s="258" t="s">
        <v>16</v>
      </c>
      <c r="I2" s="258" t="s">
        <v>17</v>
      </c>
      <c r="J2" s="258" t="s">
        <v>18</v>
      </c>
      <c r="K2" s="259" t="s">
        <v>20</v>
      </c>
      <c r="L2" s="260" t="s">
        <v>21</v>
      </c>
      <c r="M2" s="260"/>
      <c r="N2" s="260"/>
    </row>
    <row r="3" spans="1:14" s="255" customFormat="1" ht="14.25">
      <c r="A3" s="256"/>
      <c r="B3" s="257" t="s">
        <v>22</v>
      </c>
      <c r="C3" s="258" t="s">
        <v>23</v>
      </c>
      <c r="D3" s="258"/>
      <c r="E3" s="258" t="s">
        <v>25</v>
      </c>
      <c r="F3" s="258" t="s">
        <v>26</v>
      </c>
      <c r="G3" s="258" t="s">
        <v>27</v>
      </c>
      <c r="H3" s="258" t="s">
        <v>23</v>
      </c>
      <c r="I3" s="258" t="s">
        <v>28</v>
      </c>
      <c r="J3" s="258"/>
      <c r="K3" s="259"/>
      <c r="L3" s="254" t="s">
        <v>31</v>
      </c>
      <c r="M3" s="261" t="s">
        <v>32</v>
      </c>
      <c r="N3" s="262" t="s">
        <v>33</v>
      </c>
    </row>
    <row r="4" spans="1:14" s="270" customFormat="1" ht="14.25">
      <c r="A4" s="263"/>
      <c r="B4" s="264"/>
      <c r="C4" s="265"/>
      <c r="D4" s="265"/>
      <c r="E4" s="266" t="s">
        <v>34</v>
      </c>
      <c r="F4" s="265"/>
      <c r="G4" s="265" t="s">
        <v>35</v>
      </c>
      <c r="H4" s="265"/>
      <c r="I4" s="265"/>
      <c r="J4" s="265"/>
      <c r="K4" s="267"/>
      <c r="L4" s="268"/>
      <c r="M4" s="269"/>
      <c r="N4" s="268"/>
    </row>
    <row r="5" spans="1:14" s="282" customFormat="1" ht="14.25">
      <c r="A5" s="271"/>
      <c r="B5" s="272" t="s">
        <v>81</v>
      </c>
      <c r="C5" s="273">
        <v>56000000</v>
      </c>
      <c r="D5" s="274">
        <v>38913</v>
      </c>
      <c r="E5" s="274">
        <v>38366</v>
      </c>
      <c r="F5" s="275" t="s">
        <v>36</v>
      </c>
      <c r="G5" s="276"/>
      <c r="H5" s="273">
        <v>111858740</v>
      </c>
      <c r="I5" s="273">
        <v>67000000</v>
      </c>
      <c r="J5" s="277">
        <v>0.15</v>
      </c>
      <c r="K5" s="278" t="s">
        <v>82</v>
      </c>
      <c r="L5" s="279"/>
      <c r="M5" s="280"/>
      <c r="N5" s="281"/>
    </row>
    <row r="6" spans="1:14" s="282" customFormat="1" ht="14.25">
      <c r="A6" s="271"/>
      <c r="B6" s="272" t="s">
        <v>83</v>
      </c>
      <c r="C6" s="273">
        <v>25000000</v>
      </c>
      <c r="D6" s="274">
        <v>38513</v>
      </c>
      <c r="E6" s="274">
        <v>38135</v>
      </c>
      <c r="F6" s="275" t="s">
        <v>36</v>
      </c>
      <c r="G6" s="276"/>
      <c r="H6" s="273">
        <v>30099571.54</v>
      </c>
      <c r="I6" s="273"/>
      <c r="J6" s="277">
        <v>0.18</v>
      </c>
      <c r="K6" s="278"/>
      <c r="L6" s="279"/>
      <c r="M6" s="280"/>
      <c r="N6" s="281" t="s">
        <v>39</v>
      </c>
    </row>
    <row r="7" spans="1:14" s="282" customFormat="1" ht="14.25">
      <c r="A7" s="271"/>
      <c r="B7" s="283" t="s">
        <v>84</v>
      </c>
      <c r="C7" s="273">
        <f>35000000-3414538</f>
        <v>31585462</v>
      </c>
      <c r="D7" s="274">
        <v>38526</v>
      </c>
      <c r="E7" s="274">
        <v>37981</v>
      </c>
      <c r="F7" s="275" t="s">
        <v>36</v>
      </c>
      <c r="G7" s="276"/>
      <c r="H7" s="273">
        <v>83613157</v>
      </c>
      <c r="I7" s="273">
        <v>48347712</v>
      </c>
      <c r="J7" s="284">
        <v>0.195</v>
      </c>
      <c r="K7" s="285" t="s">
        <v>39</v>
      </c>
      <c r="L7" s="279"/>
      <c r="M7" s="280"/>
      <c r="N7" s="281"/>
    </row>
    <row r="8" spans="1:14" s="282" customFormat="1" ht="14.25">
      <c r="A8" s="271"/>
      <c r="B8" s="286" t="s">
        <v>85</v>
      </c>
      <c r="C8" s="287"/>
      <c r="D8" s="288"/>
      <c r="E8" s="288"/>
      <c r="F8" s="289" t="s">
        <v>36</v>
      </c>
      <c r="G8" s="290">
        <v>255</v>
      </c>
      <c r="H8" s="287">
        <v>15045000</v>
      </c>
      <c r="I8" s="287">
        <v>7522500</v>
      </c>
      <c r="J8" s="291"/>
      <c r="K8" s="292"/>
      <c r="L8" s="279"/>
      <c r="M8" s="280"/>
      <c r="N8" s="281"/>
    </row>
    <row r="9" spans="1:14" s="282" customFormat="1" ht="14.25">
      <c r="A9" s="271" t="s">
        <v>86</v>
      </c>
      <c r="B9" s="293" t="s">
        <v>87</v>
      </c>
      <c r="C9" s="280">
        <v>15000000</v>
      </c>
      <c r="D9" s="294">
        <v>38704</v>
      </c>
      <c r="E9" s="294">
        <v>38371</v>
      </c>
      <c r="F9" s="295" t="s">
        <v>88</v>
      </c>
      <c r="G9" s="296">
        <v>2192</v>
      </c>
      <c r="H9" s="280">
        <v>68357520</v>
      </c>
      <c r="I9" s="280">
        <v>34178760</v>
      </c>
      <c r="J9" s="297">
        <v>0.18</v>
      </c>
      <c r="K9" s="298" t="s">
        <v>89</v>
      </c>
      <c r="L9" s="279"/>
      <c r="M9" s="280"/>
      <c r="N9" s="281"/>
    </row>
    <row r="10" spans="1:14" s="282" customFormat="1" ht="14.25">
      <c r="A10" s="271" t="s">
        <v>36</v>
      </c>
      <c r="B10" s="299"/>
      <c r="C10" s="300"/>
      <c r="D10" s="301"/>
      <c r="E10" s="301"/>
      <c r="F10" s="302" t="s">
        <v>80</v>
      </c>
      <c r="G10" s="303">
        <v>119</v>
      </c>
      <c r="H10" s="300">
        <v>7021000</v>
      </c>
      <c r="I10" s="300">
        <v>3510500</v>
      </c>
      <c r="J10" s="304"/>
      <c r="K10" s="305"/>
      <c r="L10" s="279"/>
      <c r="M10" s="280"/>
      <c r="N10" s="281"/>
    </row>
    <row r="11" spans="1:14" s="282" customFormat="1" ht="14.25">
      <c r="A11" s="271"/>
      <c r="B11" s="290"/>
      <c r="C11" s="287"/>
      <c r="D11" s="288"/>
      <c r="E11" s="288"/>
      <c r="F11" s="289" t="s">
        <v>90</v>
      </c>
      <c r="G11" s="290">
        <v>7</v>
      </c>
      <c r="H11" s="287" t="s">
        <v>91</v>
      </c>
      <c r="I11" s="287">
        <v>11363700</v>
      </c>
      <c r="J11" s="291"/>
      <c r="K11" s="292"/>
      <c r="L11" s="279"/>
      <c r="M11" s="280"/>
      <c r="N11" s="281"/>
    </row>
    <row r="12" spans="1:14" s="282" customFormat="1" ht="14.25">
      <c r="A12" s="271"/>
      <c r="B12" s="296" t="s">
        <v>84</v>
      </c>
      <c r="C12" s="280">
        <v>18000000</v>
      </c>
      <c r="D12" s="294">
        <v>38736</v>
      </c>
      <c r="E12" s="294">
        <v>38366</v>
      </c>
      <c r="F12" s="295" t="s">
        <v>80</v>
      </c>
      <c r="G12" s="296">
        <v>21</v>
      </c>
      <c r="H12" s="280">
        <v>5455800</v>
      </c>
      <c r="I12" s="280">
        <v>2727900</v>
      </c>
      <c r="J12" s="297">
        <v>0.18</v>
      </c>
      <c r="K12" s="298" t="s">
        <v>39</v>
      </c>
      <c r="L12" s="279"/>
      <c r="M12" s="280"/>
      <c r="N12" s="281"/>
    </row>
    <row r="13" spans="1:14" s="282" customFormat="1" ht="14.25">
      <c r="A13" s="271"/>
      <c r="B13" s="303"/>
      <c r="C13" s="300"/>
      <c r="D13" s="301"/>
      <c r="E13" s="301"/>
      <c r="F13" s="302" t="s">
        <v>92</v>
      </c>
      <c r="G13" s="303">
        <v>268</v>
      </c>
      <c r="H13" s="300">
        <v>16080000</v>
      </c>
      <c r="I13" s="300">
        <v>7236000</v>
      </c>
      <c r="J13" s="304"/>
      <c r="K13" s="305"/>
      <c r="L13" s="279"/>
      <c r="M13" s="280"/>
      <c r="N13" s="281"/>
    </row>
    <row r="14" spans="1:14" s="282" customFormat="1" ht="14.25">
      <c r="A14" s="271"/>
      <c r="B14" s="302" t="s">
        <v>93</v>
      </c>
      <c r="C14" s="300">
        <v>400000</v>
      </c>
      <c r="D14" s="301"/>
      <c r="E14" s="301"/>
      <c r="F14" s="299"/>
      <c r="G14" s="303"/>
      <c r="H14" s="300"/>
      <c r="I14" s="300"/>
      <c r="J14" s="306"/>
      <c r="K14" s="307"/>
      <c r="L14" s="308"/>
      <c r="M14" s="309"/>
      <c r="N14" s="281"/>
    </row>
    <row r="15" spans="1:14" s="318" customFormat="1" ht="14.25">
      <c r="A15" s="310"/>
      <c r="B15" s="311" t="s">
        <v>41</v>
      </c>
      <c r="C15" s="312">
        <f>SUM(C5:C14)</f>
        <v>145985462</v>
      </c>
      <c r="D15" s="313"/>
      <c r="E15" s="312"/>
      <c r="F15" s="312"/>
      <c r="G15" s="312"/>
      <c r="H15" s="312">
        <f>SUM(H5:H7)</f>
        <v>225571468.54</v>
      </c>
      <c r="I15" s="312">
        <f>SUM(I5:I7)</f>
        <v>115347712</v>
      </c>
      <c r="J15" s="312"/>
      <c r="K15" s="314"/>
      <c r="L15" s="315">
        <f>SUM(L5:L7)</f>
        <v>0</v>
      </c>
      <c r="M15" s="316">
        <f>SUM(M5:M7)</f>
        <v>0</v>
      </c>
      <c r="N15" s="317" t="s">
        <v>42</v>
      </c>
    </row>
    <row r="16" spans="1:14" s="282" customFormat="1" ht="14.25">
      <c r="A16" s="271"/>
      <c r="B16" s="319" t="s">
        <v>36</v>
      </c>
      <c r="C16" s="320">
        <v>30000000</v>
      </c>
      <c r="D16" s="321">
        <v>38378</v>
      </c>
      <c r="E16" s="321">
        <v>38197</v>
      </c>
      <c r="F16" s="322" t="s">
        <v>94</v>
      </c>
      <c r="G16" s="322">
        <v>173</v>
      </c>
      <c r="H16" s="320">
        <v>60049914</v>
      </c>
      <c r="I16" s="320"/>
      <c r="J16" s="323">
        <v>0.15</v>
      </c>
      <c r="K16" s="324" t="s">
        <v>37</v>
      </c>
      <c r="L16" s="308"/>
      <c r="M16" s="309"/>
      <c r="N16" s="281"/>
    </row>
    <row r="17" spans="1:14" s="282" customFormat="1" ht="14.25">
      <c r="A17" s="271"/>
      <c r="B17" s="302" t="s">
        <v>36</v>
      </c>
      <c r="C17" s="300">
        <v>25000000</v>
      </c>
      <c r="D17" s="301">
        <v>38402</v>
      </c>
      <c r="E17" s="301">
        <v>38373</v>
      </c>
      <c r="F17" s="325" t="s">
        <v>95</v>
      </c>
      <c r="G17" s="303"/>
      <c r="H17" s="300">
        <v>25500000</v>
      </c>
      <c r="I17" s="300"/>
      <c r="J17" s="306">
        <v>0.22</v>
      </c>
      <c r="K17" s="277" t="s">
        <v>37</v>
      </c>
      <c r="L17" s="308"/>
      <c r="M17" s="309"/>
      <c r="N17" s="281"/>
    </row>
    <row r="18" spans="1:14" s="282" customFormat="1" ht="14.25">
      <c r="A18" s="271" t="s">
        <v>36</v>
      </c>
      <c r="B18" s="275" t="s">
        <v>36</v>
      </c>
      <c r="C18" s="300">
        <v>9900500</v>
      </c>
      <c r="D18" s="301">
        <v>38414</v>
      </c>
      <c r="E18" s="301"/>
      <c r="F18" s="325" t="s">
        <v>96</v>
      </c>
      <c r="G18" s="303">
        <v>3</v>
      </c>
      <c r="H18" s="300"/>
      <c r="I18" s="300"/>
      <c r="J18" s="306"/>
      <c r="K18" s="307"/>
      <c r="L18" s="308"/>
      <c r="M18" s="309"/>
      <c r="N18" s="281"/>
    </row>
    <row r="19" spans="1:14" s="282" customFormat="1" ht="14.25">
      <c r="A19" s="271"/>
      <c r="B19" s="275" t="s">
        <v>36</v>
      </c>
      <c r="C19" s="300">
        <v>5000000</v>
      </c>
      <c r="D19" s="301">
        <v>38506</v>
      </c>
      <c r="E19" s="301"/>
      <c r="F19" s="325" t="s">
        <v>94</v>
      </c>
      <c r="G19" s="303">
        <v>1</v>
      </c>
      <c r="H19" s="300">
        <v>5460000</v>
      </c>
      <c r="I19" s="300"/>
      <c r="J19" s="306"/>
      <c r="K19" s="307"/>
      <c r="L19" s="308"/>
      <c r="M19" s="309"/>
      <c r="N19" s="281"/>
    </row>
    <row r="20" spans="1:14" s="282" customFormat="1" ht="14.25">
      <c r="A20" s="271"/>
      <c r="B20" s="275" t="s">
        <v>36</v>
      </c>
      <c r="C20" s="273">
        <v>20000000</v>
      </c>
      <c r="D20" s="274">
        <v>38440</v>
      </c>
      <c r="E20" s="274">
        <v>38082</v>
      </c>
      <c r="F20" s="325" t="s">
        <v>97</v>
      </c>
      <c r="G20" s="276">
        <v>1</v>
      </c>
      <c r="H20" s="273">
        <v>35000000</v>
      </c>
      <c r="I20" s="273">
        <v>35000000</v>
      </c>
      <c r="J20" s="277">
        <v>0.17</v>
      </c>
      <c r="K20" s="278" t="s">
        <v>37</v>
      </c>
      <c r="L20" s="308"/>
      <c r="M20" s="309"/>
      <c r="N20" s="281"/>
    </row>
    <row r="21" spans="1:14" s="282" customFormat="1" ht="14.25">
      <c r="A21" s="310"/>
      <c r="B21" s="326" t="s">
        <v>41</v>
      </c>
      <c r="C21" s="327">
        <f>SUM(C16:C20)</f>
        <v>89900500</v>
      </c>
      <c r="D21" s="327"/>
      <c r="E21" s="327"/>
      <c r="F21" s="327"/>
      <c r="G21" s="327"/>
      <c r="H21" s="327">
        <f>SUM(H16:H20)</f>
        <v>126009914</v>
      </c>
      <c r="I21" s="327">
        <f>SUM(I16:I20)</f>
        <v>35000000</v>
      </c>
      <c r="J21" s="312"/>
      <c r="K21" s="328"/>
      <c r="L21" s="315" t="e">
        <f>SUM(#REF!)</f>
        <v>#REF!</v>
      </c>
      <c r="M21" s="316" t="e">
        <f>SUM(#REF!)</f>
        <v>#REF!</v>
      </c>
      <c r="N21" s="317" t="s">
        <v>42</v>
      </c>
    </row>
    <row r="22" spans="1:14" s="338" customFormat="1" ht="12.75" hidden="1">
      <c r="A22" s="329"/>
      <c r="B22" s="275"/>
      <c r="C22" s="330"/>
      <c r="D22" s="331"/>
      <c r="E22" s="332"/>
      <c r="F22" s="275"/>
      <c r="G22" s="275"/>
      <c r="H22" s="330"/>
      <c r="I22" s="330"/>
      <c r="J22" s="333"/>
      <c r="K22" s="334"/>
      <c r="L22" s="335" t="e">
        <f>C22*J22/365*#REF!</f>
        <v>#REF!</v>
      </c>
      <c r="M22" s="336">
        <v>1272986</v>
      </c>
      <c r="N22" s="337"/>
    </row>
    <row r="23" spans="1:14" s="338" customFormat="1" ht="12.75" hidden="1">
      <c r="A23" s="339"/>
      <c r="B23" s="340"/>
      <c r="C23" s="341"/>
      <c r="D23" s="341"/>
      <c r="E23" s="342"/>
      <c r="F23" s="302"/>
      <c r="G23" s="302"/>
      <c r="H23" s="341"/>
      <c r="I23" s="341"/>
      <c r="J23" s="333"/>
      <c r="K23" s="334"/>
      <c r="L23" s="343"/>
      <c r="M23" s="344"/>
      <c r="N23" s="337"/>
    </row>
    <row r="24" spans="1:14" s="338" customFormat="1" ht="12.75" hidden="1">
      <c r="A24" s="339"/>
      <c r="B24" s="345"/>
      <c r="C24" s="330"/>
      <c r="D24" s="331"/>
      <c r="E24" s="332"/>
      <c r="F24" s="275"/>
      <c r="G24" s="275"/>
      <c r="H24" s="330"/>
      <c r="I24" s="330"/>
      <c r="J24" s="346"/>
      <c r="K24" s="334"/>
      <c r="L24" s="335" t="e">
        <f>C24*J24/365*#REF!</f>
        <v>#REF!</v>
      </c>
      <c r="M24" s="344">
        <v>0</v>
      </c>
      <c r="N24" s="337"/>
    </row>
    <row r="25" spans="1:14" s="282" customFormat="1" ht="12.75" hidden="1">
      <c r="A25" s="310"/>
      <c r="B25" s="311" t="s">
        <v>41</v>
      </c>
      <c r="C25" s="312">
        <f>SUM(C22:C24)</f>
        <v>0</v>
      </c>
      <c r="D25" s="312"/>
      <c r="E25" s="312"/>
      <c r="F25" s="312"/>
      <c r="G25" s="312"/>
      <c r="H25" s="312">
        <f>SUM(H22:H24)</f>
        <v>0</v>
      </c>
      <c r="I25" s="312">
        <f>SUM(I22:I24)</f>
        <v>0</v>
      </c>
      <c r="J25" s="312"/>
      <c r="K25" s="328"/>
      <c r="L25" s="315" t="e">
        <f>SUM(L22:L24)</f>
        <v>#REF!</v>
      </c>
      <c r="M25" s="316">
        <f>SUM(M22:M24)</f>
        <v>1272986</v>
      </c>
      <c r="N25" s="317" t="s">
        <v>42</v>
      </c>
    </row>
    <row r="26" spans="1:14" s="354" customFormat="1" ht="14.25">
      <c r="A26" s="347" t="s">
        <v>59</v>
      </c>
      <c r="B26" s="347"/>
      <c r="C26" s="348">
        <f>C15+C21+C25</f>
        <v>235885962</v>
      </c>
      <c r="D26" s="348"/>
      <c r="E26" s="348"/>
      <c r="F26" s="348"/>
      <c r="G26" s="348"/>
      <c r="H26" s="348">
        <f>H15+H21+H25</f>
        <v>351581382.53999996</v>
      </c>
      <c r="I26" s="348">
        <f>I15+I21+I25</f>
        <v>150347712</v>
      </c>
      <c r="J26" s="349"/>
      <c r="K26" s="350"/>
      <c r="L26" s="351" t="e">
        <f>L15+L21+L25+#REF!+#REF!</f>
        <v>#REF!</v>
      </c>
      <c r="M26" s="352" t="e">
        <f>M15+M21+M25+#REF!+#REF!</f>
        <v>#REF!</v>
      </c>
      <c r="N26" s="353" t="s">
        <v>42</v>
      </c>
    </row>
    <row r="27" spans="1:11" s="282" customFormat="1" ht="14.25">
      <c r="A27" s="355"/>
      <c r="B27" s="355"/>
      <c r="C27" s="356"/>
      <c r="D27" s="357"/>
      <c r="E27" s="358"/>
      <c r="F27" s="358"/>
      <c r="G27" s="358"/>
      <c r="H27" s="358"/>
      <c r="I27" s="358"/>
      <c r="J27" s="358"/>
      <c r="K27" s="358"/>
    </row>
    <row r="28" spans="1:11" s="282" customFormat="1" ht="14.25">
      <c r="A28" s="196"/>
      <c r="B28" s="355"/>
      <c r="C28" s="355"/>
      <c r="D28" s="357"/>
      <c r="E28" s="358"/>
      <c r="F28" s="358"/>
      <c r="G28" s="358"/>
      <c r="H28" s="358"/>
      <c r="I28" s="358"/>
      <c r="J28" s="358"/>
      <c r="K28" s="358"/>
    </row>
    <row r="29" spans="1:11" s="282" customFormat="1" ht="14.25">
      <c r="A29" s="359"/>
      <c r="B29" s="196" t="s">
        <v>60</v>
      </c>
      <c r="C29" s="355">
        <f>C16</f>
        <v>30000000</v>
      </c>
      <c r="D29" s="357"/>
      <c r="E29" s="358"/>
      <c r="F29" s="358"/>
      <c r="G29" s="358"/>
      <c r="H29" s="358"/>
      <c r="I29" s="358"/>
      <c r="J29" s="358"/>
      <c r="K29" s="358"/>
    </row>
    <row r="30" spans="1:11" s="282" customFormat="1" ht="14.25">
      <c r="A30" s="359"/>
      <c r="B30" s="360" t="s">
        <v>80</v>
      </c>
      <c r="C30" s="361">
        <f>C16</f>
        <v>30000000</v>
      </c>
      <c r="D30" s="357"/>
      <c r="E30" s="358"/>
      <c r="F30" s="358"/>
      <c r="G30" s="358"/>
      <c r="H30" s="358"/>
      <c r="I30" s="358"/>
      <c r="J30" s="358"/>
      <c r="K30" s="358"/>
    </row>
    <row r="31" spans="1:11" ht="14.25">
      <c r="A31" s="203"/>
      <c r="B31" s="200"/>
      <c r="C31" s="202"/>
      <c r="D31" s="203"/>
      <c r="E31" s="132"/>
      <c r="F31" s="132"/>
      <c r="G31" s="132"/>
      <c r="H31" s="132"/>
      <c r="I31" s="132"/>
      <c r="J31" s="132"/>
      <c r="K31" s="132"/>
    </row>
    <row r="32" spans="1:11" ht="12">
      <c r="A32" s="204"/>
      <c r="B32" s="200"/>
      <c r="C32" s="202"/>
      <c r="D32" s="195"/>
      <c r="E32" s="132"/>
      <c r="F32" s="132"/>
      <c r="G32" s="132"/>
      <c r="H32" s="132"/>
      <c r="I32" s="132"/>
      <c r="J32" s="132"/>
      <c r="K32" s="132"/>
    </row>
    <row r="33" spans="1:11" ht="51" customHeight="1">
      <c r="A33" s="204"/>
      <c r="B33" s="200"/>
      <c r="C33" s="202"/>
      <c r="D33" s="195"/>
      <c r="E33" s="132"/>
      <c r="F33" s="132"/>
      <c r="G33" s="132"/>
      <c r="H33" s="132"/>
      <c r="I33" s="132"/>
      <c r="J33" s="132"/>
      <c r="K33" s="132"/>
    </row>
    <row r="34" spans="1:11" s="207" customFormat="1" ht="16.5">
      <c r="A34" s="205"/>
      <c r="B34" s="205" t="s">
        <v>98</v>
      </c>
      <c r="C34" s="205"/>
      <c r="D34" s="206"/>
      <c r="E34" s="205"/>
      <c r="F34" s="205" t="s">
        <v>99</v>
      </c>
      <c r="G34" s="206"/>
      <c r="H34" s="206"/>
      <c r="I34" s="206"/>
      <c r="J34" s="206"/>
      <c r="K34" s="206"/>
    </row>
    <row r="37" ht="36.75" customHeight="1"/>
    <row r="39" ht="72.75" customHeight="1"/>
    <row r="40" spans="1:2" ht="14.25">
      <c r="A40" s="362" t="s">
        <v>61</v>
      </c>
      <c r="B40" s="363"/>
    </row>
    <row r="41" spans="1:2" ht="14.25">
      <c r="A41" s="362" t="s">
        <v>100</v>
      </c>
      <c r="B41" s="362" t="s">
        <v>63</v>
      </c>
    </row>
    <row r="42" ht="14.25">
      <c r="A42" s="208"/>
    </row>
  </sheetData>
  <mergeCells count="7">
    <mergeCell ref="F1:G2"/>
    <mergeCell ref="L1:N1"/>
    <mergeCell ref="L2:N2"/>
    <mergeCell ref="J22:J23"/>
    <mergeCell ref="K22:K24"/>
    <mergeCell ref="A26:B26"/>
    <mergeCell ref="A27:B27"/>
  </mergeCells>
  <printOptions horizontalCentered="1"/>
  <pageMargins left="1.0902777777777777" right="0.9701388888888889" top="1.6097222222222223" bottom="0.7097222222222223" header="0.85" footer="0.5118055555555555"/>
  <pageSetup cellComments="atEnd" fitToHeight="1" fitToWidth="1" horizontalDpi="300" verticalDpi="300" orientation="landscape" paperSize="9"/>
  <headerFooter alignWithMargins="0">
    <oddHeader>&amp;C&amp;12СПРАВКА
о существующих кредитах предприятий Холдинга по состоянию на &amp;D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workbookViewId="0" topLeftCell="A1">
      <selection activeCell="A43" sqref="A43"/>
    </sheetView>
  </sheetViews>
  <sheetFormatPr defaultColWidth="9.00390625" defaultRowHeight="12.75"/>
  <cols>
    <col min="1" max="1" width="30.875" style="1" customWidth="1"/>
    <col min="2" max="2" width="28.875" style="0" customWidth="1"/>
    <col min="3" max="3" width="17.00390625" style="0" customWidth="1"/>
    <col min="4" max="4" width="13.875" style="2" customWidth="1"/>
    <col min="5" max="5" width="14.875" style="0" customWidth="1"/>
    <col min="6" max="6" width="38.25390625" style="0" customWidth="1"/>
    <col min="7" max="7" width="8.25390625" style="0" customWidth="1"/>
    <col min="8" max="8" width="17.00390625" style="0" customWidth="1"/>
    <col min="9" max="9" width="16.875" style="0" customWidth="1"/>
    <col min="10" max="10" width="11.375" style="0" customWidth="1"/>
    <col min="11" max="14" width="0" style="0" hidden="1" customWidth="1"/>
    <col min="15" max="15" width="22.00390625" style="0" customWidth="1"/>
  </cols>
  <sheetData>
    <row r="1" spans="1:11" ht="16.5">
      <c r="A1" s="365" t="s">
        <v>119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1" ht="16.5">
      <c r="A2" s="365" t="s">
        <v>285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 ht="16.5">
      <c r="A3" s="366"/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11" ht="12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</row>
    <row r="5" spans="10:11" ht="12">
      <c r="J5" s="368" t="s">
        <v>121</v>
      </c>
      <c r="K5" s="368" t="s">
        <v>121</v>
      </c>
    </row>
    <row r="6" spans="1:14" s="255" customFormat="1" ht="14.25">
      <c r="A6" s="481" t="s">
        <v>122</v>
      </c>
      <c r="B6" s="370" t="s">
        <v>123</v>
      </c>
      <c r="C6" s="370" t="s">
        <v>124</v>
      </c>
      <c r="D6" s="370" t="s">
        <v>125</v>
      </c>
      <c r="E6" s="370" t="s">
        <v>126</v>
      </c>
      <c r="F6" s="371" t="s">
        <v>127</v>
      </c>
      <c r="G6" s="371"/>
      <c r="H6" s="370" t="s">
        <v>128</v>
      </c>
      <c r="I6" s="370" t="s">
        <v>129</v>
      </c>
      <c r="J6" s="370" t="s">
        <v>130</v>
      </c>
      <c r="K6" s="372" t="s">
        <v>131</v>
      </c>
      <c r="L6" s="254" t="s">
        <v>10</v>
      </c>
      <c r="M6" s="254"/>
      <c r="N6" s="254"/>
    </row>
    <row r="7" spans="1:14" s="255" customFormat="1" ht="14.25">
      <c r="A7" s="481"/>
      <c r="B7" s="370"/>
      <c r="C7" s="370"/>
      <c r="D7" s="370"/>
      <c r="E7" s="370"/>
      <c r="F7" s="371"/>
      <c r="G7" s="371"/>
      <c r="H7" s="370"/>
      <c r="I7" s="370"/>
      <c r="J7" s="370"/>
      <c r="K7" s="372"/>
      <c r="L7" s="260" t="s">
        <v>21</v>
      </c>
      <c r="M7" s="260"/>
      <c r="N7" s="260"/>
    </row>
    <row r="8" spans="1:14" s="255" customFormat="1" ht="14.25">
      <c r="A8" s="481"/>
      <c r="B8" s="370"/>
      <c r="C8" s="370"/>
      <c r="D8" s="370"/>
      <c r="E8" s="370"/>
      <c r="F8" s="373" t="s">
        <v>38</v>
      </c>
      <c r="G8" s="373" t="s">
        <v>27</v>
      </c>
      <c r="H8" s="370"/>
      <c r="I8" s="370"/>
      <c r="J8" s="370"/>
      <c r="K8" s="372"/>
      <c r="L8" s="254" t="s">
        <v>31</v>
      </c>
      <c r="M8" s="261" t="s">
        <v>32</v>
      </c>
      <c r="N8" s="262" t="s">
        <v>33</v>
      </c>
    </row>
    <row r="9" spans="1:14" s="270" customFormat="1" ht="14.25">
      <c r="A9" s="481"/>
      <c r="B9" s="370"/>
      <c r="C9" s="370"/>
      <c r="D9" s="370"/>
      <c r="E9" s="370"/>
      <c r="F9" s="373"/>
      <c r="G9" s="373"/>
      <c r="H9" s="370"/>
      <c r="I9" s="370"/>
      <c r="J9" s="370"/>
      <c r="K9" s="372"/>
      <c r="L9" s="268"/>
      <c r="M9" s="269"/>
      <c r="N9" s="268"/>
    </row>
    <row r="10" spans="1:14" s="282" customFormat="1" ht="15" customHeight="1">
      <c r="A10" s="487" t="s">
        <v>285</v>
      </c>
      <c r="B10" s="439" t="s">
        <v>38</v>
      </c>
      <c r="C10" s="440">
        <v>70000000</v>
      </c>
      <c r="D10" s="441">
        <v>39367</v>
      </c>
      <c r="E10" s="441">
        <v>39009</v>
      </c>
      <c r="F10" s="397" t="s">
        <v>167</v>
      </c>
      <c r="G10" s="442"/>
      <c r="H10" s="440"/>
      <c r="I10" s="440"/>
      <c r="J10" s="447">
        <v>0.115</v>
      </c>
      <c r="K10" s="381"/>
      <c r="L10" s="279"/>
      <c r="M10" s="280"/>
      <c r="N10" s="281"/>
    </row>
    <row r="11" spans="1:14" s="282" customFormat="1" ht="15" customHeight="1">
      <c r="A11" s="487"/>
      <c r="B11" s="446" t="s">
        <v>38</v>
      </c>
      <c r="C11" s="440">
        <v>50000000</v>
      </c>
      <c r="D11" s="441">
        <v>39227</v>
      </c>
      <c r="E11" s="441">
        <v>38868</v>
      </c>
      <c r="F11" s="397" t="s">
        <v>246</v>
      </c>
      <c r="G11" s="442"/>
      <c r="H11" s="440"/>
      <c r="I11" s="440"/>
      <c r="J11" s="450">
        <v>0.11</v>
      </c>
      <c r="K11" s="381"/>
      <c r="L11" s="279"/>
      <c r="M11" s="280"/>
      <c r="N11" s="281"/>
    </row>
    <row r="12" spans="1:14" s="282" customFormat="1" ht="30.75" customHeight="1">
      <c r="A12" s="487"/>
      <c r="B12" s="446" t="s">
        <v>38</v>
      </c>
      <c r="C12" s="440">
        <f>69000000+30000000</f>
        <v>99000000</v>
      </c>
      <c r="D12" s="441">
        <v>39435</v>
      </c>
      <c r="E12" s="441">
        <v>38895</v>
      </c>
      <c r="F12" s="397" t="s">
        <v>226</v>
      </c>
      <c r="G12" s="442"/>
      <c r="H12" s="440"/>
      <c r="I12" s="440"/>
      <c r="J12" s="450">
        <v>0.11</v>
      </c>
      <c r="K12" s="381" t="s">
        <v>215</v>
      </c>
      <c r="L12" s="279"/>
      <c r="M12" s="280"/>
      <c r="N12" s="281"/>
    </row>
    <row r="13" spans="1:14" s="282" customFormat="1" ht="15" customHeight="1">
      <c r="A13" s="487"/>
      <c r="B13" s="382" t="s">
        <v>38</v>
      </c>
      <c r="C13" s="440">
        <v>26000000</v>
      </c>
      <c r="D13" s="441">
        <v>39332</v>
      </c>
      <c r="E13" s="377">
        <v>38936</v>
      </c>
      <c r="F13" s="378" t="s">
        <v>38</v>
      </c>
      <c r="G13" s="442"/>
      <c r="H13" s="491">
        <v>65880569.5</v>
      </c>
      <c r="I13" s="491">
        <v>63415818</v>
      </c>
      <c r="J13" s="492">
        <v>0.12</v>
      </c>
      <c r="K13" s="381"/>
      <c r="L13" s="279"/>
      <c r="M13" s="280"/>
      <c r="N13" s="281"/>
    </row>
    <row r="14" spans="1:14" s="282" customFormat="1" ht="15" customHeight="1">
      <c r="A14" s="487"/>
      <c r="B14" s="382"/>
      <c r="C14" s="440">
        <v>74000000</v>
      </c>
      <c r="D14" s="441">
        <v>39244</v>
      </c>
      <c r="E14" s="377"/>
      <c r="F14" s="378"/>
      <c r="G14" s="442"/>
      <c r="H14" s="491"/>
      <c r="I14" s="491"/>
      <c r="J14" s="492"/>
      <c r="K14" s="381"/>
      <c r="L14" s="279"/>
      <c r="M14" s="280"/>
      <c r="N14" s="281"/>
    </row>
    <row r="15" spans="1:14" s="282" customFormat="1" ht="15" customHeight="1">
      <c r="A15" s="487"/>
      <c r="B15" s="446" t="s">
        <v>231</v>
      </c>
      <c r="C15" s="440">
        <v>36900000</v>
      </c>
      <c r="D15" s="441">
        <v>39291</v>
      </c>
      <c r="E15" s="441">
        <v>38926</v>
      </c>
      <c r="F15" s="397" t="s">
        <v>38</v>
      </c>
      <c r="G15" s="442"/>
      <c r="H15" s="440">
        <v>67880000</v>
      </c>
      <c r="I15" s="440">
        <v>44422000</v>
      </c>
      <c r="J15" s="450">
        <v>0.115</v>
      </c>
      <c r="K15" s="381"/>
      <c r="L15" s="279"/>
      <c r="M15" s="280"/>
      <c r="N15" s="281"/>
    </row>
    <row r="16" spans="1:14" s="282" customFormat="1" ht="15" customHeight="1">
      <c r="A16" s="487"/>
      <c r="B16" s="446" t="s">
        <v>38</v>
      </c>
      <c r="C16" s="440">
        <v>36900000</v>
      </c>
      <c r="D16" s="441">
        <v>39291</v>
      </c>
      <c r="E16" s="441">
        <v>38926</v>
      </c>
      <c r="F16" s="397" t="s">
        <v>72</v>
      </c>
      <c r="G16" s="442"/>
      <c r="H16" s="440">
        <v>67312000</v>
      </c>
      <c r="I16" s="440">
        <v>44052800</v>
      </c>
      <c r="J16" s="450">
        <v>0.115</v>
      </c>
      <c r="K16" s="381"/>
      <c r="L16" s="279"/>
      <c r="M16" s="280"/>
      <c r="N16" s="281"/>
    </row>
    <row r="17" spans="1:14" s="282" customFormat="1" ht="15" customHeight="1">
      <c r="A17" s="487"/>
      <c r="B17" s="446" t="s">
        <v>38</v>
      </c>
      <c r="C17" s="440">
        <v>36500000</v>
      </c>
      <c r="D17" s="441">
        <v>39346</v>
      </c>
      <c r="E17" s="441" t="s">
        <v>261</v>
      </c>
      <c r="F17" s="397" t="s">
        <v>80</v>
      </c>
      <c r="G17" s="442"/>
      <c r="H17" s="440">
        <v>63305084.73</v>
      </c>
      <c r="I17" s="440">
        <v>41158305.08</v>
      </c>
      <c r="J17" s="450">
        <v>0.115</v>
      </c>
      <c r="K17" s="381"/>
      <c r="L17" s="279"/>
      <c r="M17" s="280"/>
      <c r="N17" s="281"/>
    </row>
    <row r="18" spans="1:14" s="282" customFormat="1" ht="15" customHeight="1">
      <c r="A18" s="487"/>
      <c r="B18" s="446" t="s">
        <v>172</v>
      </c>
      <c r="C18" s="440">
        <v>36500000</v>
      </c>
      <c r="D18" s="441">
        <v>39346</v>
      </c>
      <c r="E18" s="441" t="s">
        <v>261</v>
      </c>
      <c r="F18" s="397" t="s">
        <v>80</v>
      </c>
      <c r="G18" s="442"/>
      <c r="H18" s="440"/>
      <c r="I18" s="440"/>
      <c r="J18" s="450">
        <v>0.115</v>
      </c>
      <c r="K18" s="381"/>
      <c r="L18" s="279"/>
      <c r="M18" s="280"/>
      <c r="N18" s="281"/>
    </row>
    <row r="19" spans="1:14" s="282" customFormat="1" ht="15" customHeight="1">
      <c r="A19" s="487"/>
      <c r="B19" s="446" t="s">
        <v>38</v>
      </c>
      <c r="C19" s="440">
        <v>20000000</v>
      </c>
      <c r="D19" s="441">
        <v>39388</v>
      </c>
      <c r="E19" s="441">
        <v>39024</v>
      </c>
      <c r="F19" s="397"/>
      <c r="G19" s="442"/>
      <c r="H19" s="440"/>
      <c r="I19" s="440"/>
      <c r="J19" s="450">
        <v>0.12</v>
      </c>
      <c r="K19" s="381"/>
      <c r="L19" s="279"/>
      <c r="M19" s="280"/>
      <c r="N19" s="281"/>
    </row>
    <row r="20" spans="1:14" s="282" customFormat="1" ht="15" customHeight="1">
      <c r="A20" s="487"/>
      <c r="B20" s="446" t="s">
        <v>36</v>
      </c>
      <c r="C20" s="440">
        <v>30000000</v>
      </c>
      <c r="D20" s="441">
        <v>39388</v>
      </c>
      <c r="E20" s="441">
        <v>39038</v>
      </c>
      <c r="F20" s="397"/>
      <c r="G20" s="442"/>
      <c r="H20" s="440"/>
      <c r="I20" s="440"/>
      <c r="J20" s="450">
        <v>0.12</v>
      </c>
      <c r="K20" s="381"/>
      <c r="L20" s="279"/>
      <c r="M20" s="280"/>
      <c r="N20" s="281"/>
    </row>
    <row r="21" spans="1:14" s="282" customFormat="1" ht="15" customHeight="1">
      <c r="A21" s="487"/>
      <c r="B21" s="326" t="s">
        <v>41</v>
      </c>
      <c r="C21" s="402">
        <f>SUM(C10:C20)</f>
        <v>515800000</v>
      </c>
      <c r="D21" s="483"/>
      <c r="E21" s="327"/>
      <c r="F21" s="327"/>
      <c r="G21" s="327"/>
      <c r="H21" s="402">
        <f>SUM(H10:H20)</f>
        <v>264377654.23</v>
      </c>
      <c r="I21" s="402">
        <f>SUM(I10:I20)</f>
        <v>193048923.07999998</v>
      </c>
      <c r="J21" s="327"/>
      <c r="K21" s="381"/>
      <c r="L21" s="279"/>
      <c r="M21" s="280"/>
      <c r="N21" s="281"/>
    </row>
    <row r="22" s="318" customFormat="1" ht="16.5" customHeight="1">
      <c r="A22" s="462" t="s">
        <v>269</v>
      </c>
    </row>
    <row r="23" spans="1:14" s="396" customFormat="1" ht="14.25">
      <c r="A23" s="462"/>
      <c r="B23" s="484" t="s">
        <v>41</v>
      </c>
      <c r="C23" s="485">
        <f>C22</f>
        <v>0</v>
      </c>
      <c r="D23" s="486"/>
      <c r="E23" s="486"/>
      <c r="F23" s="486"/>
      <c r="G23" s="486"/>
      <c r="H23" s="485">
        <f>H22</f>
        <v>0</v>
      </c>
      <c r="I23" s="485">
        <f>I22</f>
        <v>0</v>
      </c>
      <c r="J23" s="486"/>
      <c r="K23" s="292"/>
      <c r="L23" s="393"/>
      <c r="M23" s="394"/>
      <c r="N23" s="395"/>
    </row>
    <row r="24" spans="1:14" s="282" customFormat="1" ht="14.25">
      <c r="A24" s="489" t="s">
        <v>262</v>
      </c>
      <c r="B24" s="489"/>
      <c r="C24" s="465">
        <f>SUM(C23,C21)</f>
        <v>515800000</v>
      </c>
      <c r="D24" s="466"/>
      <c r="E24" s="467"/>
      <c r="F24" s="468"/>
      <c r="G24" s="468"/>
      <c r="H24" s="469">
        <f>H21+H23</f>
        <v>264377654.23</v>
      </c>
      <c r="I24" s="469">
        <f>I21+I23</f>
        <v>193048923.07999998</v>
      </c>
      <c r="J24" s="470"/>
      <c r="K24" s="328"/>
      <c r="L24" s="315" t="e">
        <f>SUM(#REF!)</f>
        <v>#REF!</v>
      </c>
      <c r="M24" s="316" t="e">
        <f>SUM(#REF!)</f>
        <v>#REF!</v>
      </c>
      <c r="N24" s="317" t="s">
        <v>42</v>
      </c>
    </row>
    <row r="25" spans="1:14" s="338" customFormat="1" ht="12.75" hidden="1">
      <c r="A25" s="490"/>
      <c r="B25" s="472"/>
      <c r="C25" s="473"/>
      <c r="D25" s="474"/>
      <c r="E25" s="475"/>
      <c r="F25" s="476"/>
      <c r="G25" s="476"/>
      <c r="H25" s="473"/>
      <c r="I25" s="473"/>
      <c r="J25" s="470"/>
      <c r="K25" s="334"/>
      <c r="L25" s="335" t="e">
        <f>C24*J24/365*#REF!</f>
        <v>#REF!</v>
      </c>
      <c r="M25" s="336">
        <v>1272986</v>
      </c>
      <c r="N25" s="337"/>
    </row>
    <row r="26" spans="1:14" s="338" customFormat="1" ht="12.75" hidden="1">
      <c r="A26" s="339"/>
      <c r="B26" s="345"/>
      <c r="C26" s="403"/>
      <c r="D26" s="331"/>
      <c r="E26" s="332"/>
      <c r="F26" s="275"/>
      <c r="G26" s="275"/>
      <c r="H26" s="403"/>
      <c r="I26" s="403"/>
      <c r="J26" s="346"/>
      <c r="K26" s="334"/>
      <c r="L26" s="343"/>
      <c r="M26" s="344"/>
      <c r="N26" s="337"/>
    </row>
    <row r="27" spans="1:14" s="338" customFormat="1" ht="12.75" hidden="1">
      <c r="A27" s="339"/>
      <c r="B27" s="311" t="s">
        <v>41</v>
      </c>
      <c r="C27" s="386">
        <f>SUM(C24:C26)</f>
        <v>515800000</v>
      </c>
      <c r="D27" s="312"/>
      <c r="E27" s="312"/>
      <c r="F27" s="312"/>
      <c r="G27" s="312"/>
      <c r="H27" s="386">
        <f>SUM(H24:H26)</f>
        <v>264377654.23</v>
      </c>
      <c r="I27" s="386">
        <f>SUM(I24:I26)</f>
        <v>193048923.07999998</v>
      </c>
      <c r="J27" s="312"/>
      <c r="K27" s="334"/>
      <c r="L27" s="335" t="e">
        <f>C26*J26/365*#REF!</f>
        <v>#REF!</v>
      </c>
      <c r="M27" s="344">
        <v>0</v>
      </c>
      <c r="N27" s="337"/>
    </row>
    <row r="28" spans="1:14" s="282" customFormat="1" ht="12.75" hidden="1">
      <c r="A28" s="429"/>
      <c r="B28" s="477"/>
      <c r="C28" s="405">
        <f>C21+C23</f>
        <v>515800000</v>
      </c>
      <c r="D28" s="348"/>
      <c r="E28" s="348"/>
      <c r="F28" s="348"/>
      <c r="G28" s="348"/>
      <c r="H28" s="405">
        <f>H21+H23</f>
        <v>264377654.23</v>
      </c>
      <c r="I28" s="405">
        <f>I21+I23</f>
        <v>193048923.07999998</v>
      </c>
      <c r="J28" s="406"/>
      <c r="K28" s="314"/>
      <c r="L28" s="315" t="e">
        <f>SUM(L25:L27)</f>
        <v>#REF!</v>
      </c>
      <c r="M28" s="316">
        <f>SUM(M25:M27)</f>
        <v>1272986</v>
      </c>
      <c r="N28" s="317" t="s">
        <v>42</v>
      </c>
    </row>
    <row r="29" spans="1:14" s="354" customFormat="1" ht="14.25">
      <c r="A29" s="478"/>
      <c r="B29" s="355"/>
      <c r="C29" s="356"/>
      <c r="D29" s="357"/>
      <c r="E29" s="358"/>
      <c r="F29" s="358"/>
      <c r="G29" s="358"/>
      <c r="H29" s="358"/>
      <c r="I29" s="358"/>
      <c r="J29" s="358"/>
      <c r="K29" s="437"/>
      <c r="L29" s="351" t="e">
        <f>#REF!+L24+L28+#REF!+#REF!</f>
        <v>#REF!</v>
      </c>
      <c r="M29" s="352" t="e">
        <f>#REF!+M24+M28+#REF!+#REF!</f>
        <v>#REF!</v>
      </c>
      <c r="N29" s="353" t="s">
        <v>42</v>
      </c>
    </row>
    <row r="30" spans="1:11" s="282" customFormat="1" ht="15" customHeight="1">
      <c r="A30" s="355"/>
      <c r="B30" s="355"/>
      <c r="C30" s="355"/>
      <c r="D30" s="357"/>
      <c r="E30" s="358"/>
      <c r="F30" s="358"/>
      <c r="G30" s="358"/>
      <c r="H30" s="358"/>
      <c r="I30" s="358"/>
      <c r="J30" s="358"/>
      <c r="K30" s="358"/>
    </row>
    <row r="31" spans="1:11" s="282" customFormat="1" ht="14.25">
      <c r="A31" s="196"/>
      <c r="B31" s="196" t="s">
        <v>286</v>
      </c>
      <c r="C31" s="355">
        <v>0</v>
      </c>
      <c r="D31" s="357"/>
      <c r="E31" s="358"/>
      <c r="F31" s="358"/>
      <c r="G31" s="358"/>
      <c r="H31" s="358"/>
      <c r="I31" s="358"/>
      <c r="J31" s="358"/>
      <c r="K31" s="358"/>
    </row>
    <row r="32" spans="1:11" s="282" customFormat="1" ht="14.25">
      <c r="A32" s="359"/>
      <c r="B32" s="196" t="s">
        <v>36</v>
      </c>
      <c r="C32" s="355"/>
      <c r="D32" s="358"/>
      <c r="E32" s="358"/>
      <c r="F32" s="358"/>
      <c r="G32" s="358"/>
      <c r="H32" s="358"/>
      <c r="I32" s="358"/>
      <c r="J32" s="358"/>
      <c r="K32" s="358"/>
    </row>
    <row r="33" spans="1:11" s="282" customFormat="1" ht="14.25">
      <c r="A33" s="359"/>
      <c r="B33" s="355" t="s">
        <v>110</v>
      </c>
      <c r="C33" s="479"/>
      <c r="D33" s="364"/>
      <c r="E33" s="358"/>
      <c r="F33" s="358"/>
      <c r="G33" s="358"/>
      <c r="H33" s="358"/>
      <c r="I33" s="358"/>
      <c r="J33" s="358"/>
      <c r="K33" s="358"/>
    </row>
    <row r="34" spans="1:11" s="282" customFormat="1" ht="14.25">
      <c r="A34" s="359"/>
      <c r="B34" s="360"/>
      <c r="C34" s="361"/>
      <c r="D34" s="203"/>
      <c r="E34" s="132"/>
      <c r="F34" s="132"/>
      <c r="G34" s="132"/>
      <c r="H34" s="132"/>
      <c r="I34" s="132"/>
      <c r="J34" s="132"/>
      <c r="K34" s="358"/>
    </row>
    <row r="35" spans="1:11" ht="14.25">
      <c r="A35" s="203"/>
      <c r="B35" s="360"/>
      <c r="C35" s="361"/>
      <c r="D35" s="195"/>
      <c r="E35" s="132"/>
      <c r="F35" s="132"/>
      <c r="G35" s="132"/>
      <c r="H35" s="132"/>
      <c r="I35" s="132"/>
      <c r="J35" s="132"/>
      <c r="K35" s="132"/>
    </row>
    <row r="36" spans="1:11" ht="17.25" customHeight="1">
      <c r="A36" s="204"/>
      <c r="B36" s="480"/>
      <c r="C36" s="480"/>
      <c r="D36" s="480"/>
      <c r="E36" s="480"/>
      <c r="F36" s="480"/>
      <c r="G36" s="480"/>
      <c r="H36" s="480"/>
      <c r="I36" s="480"/>
      <c r="J36" s="480"/>
      <c r="K36" s="132"/>
    </row>
    <row r="37" spans="1:11" s="207" customFormat="1" ht="16.5">
      <c r="A37" s="409" t="s">
        <v>287</v>
      </c>
      <c r="B37" s="409"/>
      <c r="C37" s="409"/>
      <c r="D37" s="409"/>
      <c r="E37" s="409"/>
      <c r="F37" s="409"/>
      <c r="G37" s="409"/>
      <c r="H37" s="409"/>
      <c r="I37" s="409"/>
      <c r="J37" s="409"/>
      <c r="K37" s="409"/>
    </row>
    <row r="40" ht="16.5" customHeight="1"/>
    <row r="41" ht="12">
      <c r="B41" s="363"/>
    </row>
    <row r="42" spans="1:2" ht="14.25">
      <c r="A42" s="362" t="s">
        <v>61</v>
      </c>
      <c r="B42" s="362"/>
    </row>
    <row r="43" ht="13.5">
      <c r="A43" s="362" t="s">
        <v>269</v>
      </c>
    </row>
    <row r="44" ht="14.25">
      <c r="A44" s="208"/>
    </row>
  </sheetData>
  <mergeCells count="29">
    <mergeCell ref="A1:K1"/>
    <mergeCell ref="A2:K2"/>
    <mergeCell ref="A4:K4"/>
    <mergeCell ref="A6:A9"/>
    <mergeCell ref="B6:B9"/>
    <mergeCell ref="C6:C9"/>
    <mergeCell ref="D6:D9"/>
    <mergeCell ref="E6:E9"/>
    <mergeCell ref="F6:G7"/>
    <mergeCell ref="H6:H9"/>
    <mergeCell ref="I6:I9"/>
    <mergeCell ref="J6:J9"/>
    <mergeCell ref="K6:K9"/>
    <mergeCell ref="L6:N6"/>
    <mergeCell ref="L7:N7"/>
    <mergeCell ref="F8:F9"/>
    <mergeCell ref="G8:G9"/>
    <mergeCell ref="A10:A21"/>
    <mergeCell ref="B13:B14"/>
    <mergeCell ref="E13:E14"/>
    <mergeCell ref="F13:F14"/>
    <mergeCell ref="H13:H14"/>
    <mergeCell ref="I13:I14"/>
    <mergeCell ref="J13:J14"/>
    <mergeCell ref="A22:A23"/>
    <mergeCell ref="A24:B24"/>
    <mergeCell ref="J24:J25"/>
    <mergeCell ref="K25:K27"/>
    <mergeCell ref="A37:K37"/>
  </mergeCells>
  <printOptions horizontalCentered="1"/>
  <pageMargins left="0.2" right="0.2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V40"/>
  <sheetViews>
    <sheetView workbookViewId="0" topLeftCell="A1">
      <selection activeCell="A33" sqref="A33"/>
    </sheetView>
  </sheetViews>
  <sheetFormatPr defaultColWidth="9.00390625" defaultRowHeight="12.75"/>
  <cols>
    <col min="1" max="1" width="30.875" style="1" customWidth="1"/>
    <col min="2" max="2" width="27.00390625" style="0" customWidth="1"/>
    <col min="3" max="3" width="14.375" style="0" customWidth="1"/>
    <col min="4" max="4" width="22.00390625" style="0" customWidth="1"/>
  </cols>
  <sheetData>
    <row r="1" spans="1:3" ht="16.5">
      <c r="A1" s="365" t="s">
        <v>119</v>
      </c>
      <c r="B1" s="366"/>
      <c r="C1" s="366"/>
    </row>
    <row r="2" spans="1:3" ht="16.5">
      <c r="A2" s="365" t="s">
        <v>80</v>
      </c>
      <c r="B2" s="366"/>
      <c r="C2" s="366"/>
    </row>
    <row r="3" spans="1:3" ht="16.5">
      <c r="A3" s="366"/>
      <c r="B3" s="366"/>
      <c r="C3" s="366"/>
    </row>
    <row r="4" spans="1:3" ht="12">
      <c r="A4" s="367"/>
      <c r="B4" s="493"/>
      <c r="C4" s="493"/>
    </row>
    <row r="6" spans="1:256" s="255" customFormat="1" ht="26.25">
      <c r="A6" s="369" t="s">
        <v>122</v>
      </c>
      <c r="B6" s="370" t="s">
        <v>123</v>
      </c>
      <c r="C6" s="370" t="s">
        <v>124</v>
      </c>
      <c r="IL6"/>
      <c r="IM6"/>
      <c r="IN6"/>
      <c r="IO6"/>
      <c r="IP6"/>
      <c r="IQ6"/>
      <c r="IR6"/>
      <c r="IS6"/>
      <c r="IT6"/>
      <c r="IU6"/>
      <c r="IV6"/>
    </row>
    <row r="7" spans="1:256" s="255" customFormat="1" ht="14.25">
      <c r="A7" s="494"/>
      <c r="B7" s="495"/>
      <c r="C7" s="495"/>
      <c r="IL7"/>
      <c r="IM7"/>
      <c r="IN7"/>
      <c r="IO7"/>
      <c r="IP7"/>
      <c r="IQ7"/>
      <c r="IR7"/>
      <c r="IS7"/>
      <c r="IT7"/>
      <c r="IU7"/>
      <c r="IV7"/>
    </row>
    <row r="8" spans="1:256" s="255" customFormat="1" ht="14.25">
      <c r="A8" s="494"/>
      <c r="B8" s="495"/>
      <c r="C8" s="495"/>
      <c r="IL8"/>
      <c r="IM8"/>
      <c r="IN8"/>
      <c r="IO8"/>
      <c r="IP8"/>
      <c r="IQ8"/>
      <c r="IR8"/>
      <c r="IS8"/>
      <c r="IT8"/>
      <c r="IU8"/>
      <c r="IV8"/>
    </row>
    <row r="9" spans="1:256" s="270" customFormat="1" ht="14.25">
      <c r="A9" s="496"/>
      <c r="B9" s="497"/>
      <c r="C9" s="497"/>
      <c r="IL9"/>
      <c r="IM9"/>
      <c r="IN9"/>
      <c r="IO9"/>
      <c r="IP9"/>
      <c r="IQ9"/>
      <c r="IR9"/>
      <c r="IS9"/>
      <c r="IT9"/>
      <c r="IU9"/>
      <c r="IV9"/>
    </row>
    <row r="10" spans="1:256" s="282" customFormat="1" ht="21" customHeight="1">
      <c r="A10" s="374" t="s">
        <v>80</v>
      </c>
      <c r="B10" s="410" t="s">
        <v>288</v>
      </c>
      <c r="C10" s="411">
        <v>56000000</v>
      </c>
      <c r="IL10"/>
      <c r="IM10"/>
      <c r="IN10"/>
      <c r="IO10"/>
      <c r="IP10"/>
      <c r="IQ10"/>
      <c r="IR10"/>
      <c r="IS10"/>
      <c r="IT10"/>
      <c r="IU10"/>
      <c r="IV10"/>
    </row>
    <row r="11" spans="1:256" s="282" customFormat="1" ht="15.75" customHeight="1">
      <c r="A11" s="498"/>
      <c r="B11" s="390" t="s">
        <v>36</v>
      </c>
      <c r="C11" s="499"/>
      <c r="IL11"/>
      <c r="IM11"/>
      <c r="IN11"/>
      <c r="IO11"/>
      <c r="IP11"/>
      <c r="IQ11"/>
      <c r="IR11"/>
      <c r="IS11"/>
      <c r="IT11"/>
      <c r="IU11"/>
      <c r="IV11"/>
    </row>
    <row r="12" spans="1:256" s="282" customFormat="1" ht="14.25">
      <c r="A12" s="498" t="s">
        <v>289</v>
      </c>
      <c r="B12" s="272" t="s">
        <v>137</v>
      </c>
      <c r="C12" s="375">
        <v>25000000</v>
      </c>
      <c r="IL12"/>
      <c r="IM12"/>
      <c r="IN12"/>
      <c r="IO12"/>
      <c r="IP12"/>
      <c r="IQ12"/>
      <c r="IR12"/>
      <c r="IS12"/>
      <c r="IT12"/>
      <c r="IU12"/>
      <c r="IV12"/>
    </row>
    <row r="13" spans="1:256" s="282" customFormat="1" ht="14.25">
      <c r="A13" s="498" t="s">
        <v>104</v>
      </c>
      <c r="B13" s="283" t="s">
        <v>290</v>
      </c>
      <c r="C13" s="376">
        <v>100000000</v>
      </c>
      <c r="IL13"/>
      <c r="IM13"/>
      <c r="IN13"/>
      <c r="IO13"/>
      <c r="IP13"/>
      <c r="IQ13"/>
      <c r="IR13"/>
      <c r="IS13"/>
      <c r="IT13"/>
      <c r="IU13"/>
      <c r="IV13"/>
    </row>
    <row r="14" spans="1:256" s="282" customFormat="1" ht="14.25">
      <c r="A14" s="498" t="s">
        <v>88</v>
      </c>
      <c r="B14" s="446" t="s">
        <v>38</v>
      </c>
      <c r="C14" s="440">
        <v>100000000</v>
      </c>
      <c r="IL14"/>
      <c r="IM14"/>
      <c r="IN14"/>
      <c r="IO14"/>
      <c r="IP14"/>
      <c r="IQ14"/>
      <c r="IR14"/>
      <c r="IS14"/>
      <c r="IT14"/>
      <c r="IU14"/>
      <c r="IV14"/>
    </row>
    <row r="15" spans="1:256" s="282" customFormat="1" ht="14.25">
      <c r="A15" s="498" t="s">
        <v>80</v>
      </c>
      <c r="B15" s="439" t="s">
        <v>172</v>
      </c>
      <c r="C15" s="440">
        <v>100000000</v>
      </c>
      <c r="IL15"/>
      <c r="IM15"/>
      <c r="IN15"/>
      <c r="IO15"/>
      <c r="IP15"/>
      <c r="IQ15"/>
      <c r="IR15"/>
      <c r="IS15"/>
      <c r="IT15"/>
      <c r="IU15"/>
      <c r="IV15"/>
    </row>
    <row r="16" spans="1:256" s="318" customFormat="1" ht="14.25">
      <c r="A16" s="454" t="s">
        <v>248</v>
      </c>
      <c r="B16" s="311" t="s">
        <v>88</v>
      </c>
      <c r="C16" s="386">
        <f>SUM(C10:C15)</f>
        <v>381000000</v>
      </c>
      <c r="IL16"/>
      <c r="IM16"/>
      <c r="IN16"/>
      <c r="IO16"/>
      <c r="IP16"/>
      <c r="IQ16"/>
      <c r="IR16"/>
      <c r="IS16"/>
      <c r="IT16"/>
      <c r="IU16"/>
      <c r="IV16"/>
    </row>
    <row r="17" spans="1:256" s="396" customFormat="1" ht="14.25">
      <c r="A17" s="420" t="s">
        <v>112</v>
      </c>
      <c r="B17" s="397" t="s">
        <v>104</v>
      </c>
      <c r="C17" s="376">
        <v>30000000</v>
      </c>
      <c r="IL17"/>
      <c r="IM17"/>
      <c r="IN17"/>
      <c r="IO17"/>
      <c r="IP17"/>
      <c r="IQ17"/>
      <c r="IR17"/>
      <c r="IS17"/>
      <c r="IT17"/>
      <c r="IU17"/>
      <c r="IV17"/>
    </row>
    <row r="18" spans="1:256" s="396" customFormat="1" ht="14.25">
      <c r="A18" s="494"/>
      <c r="B18" s="272" t="s">
        <v>36</v>
      </c>
      <c r="C18" s="376">
        <v>37000000</v>
      </c>
      <c r="IL18"/>
      <c r="IM18"/>
      <c r="IN18"/>
      <c r="IO18"/>
      <c r="IP18"/>
      <c r="IQ18"/>
      <c r="IR18"/>
      <c r="IS18"/>
      <c r="IT18"/>
      <c r="IU18"/>
      <c r="IV18"/>
    </row>
    <row r="19" spans="1:256" s="282" customFormat="1" ht="14.25">
      <c r="A19" s="496"/>
      <c r="B19" s="326" t="s">
        <v>41</v>
      </c>
      <c r="C19" s="402">
        <f>SUM(C17:C18)</f>
        <v>67000000</v>
      </c>
      <c r="IL19"/>
      <c r="IM19"/>
      <c r="IN19"/>
      <c r="IO19"/>
      <c r="IP19"/>
      <c r="IQ19"/>
      <c r="IR19"/>
      <c r="IS19"/>
      <c r="IT19"/>
      <c r="IU19"/>
      <c r="IV19"/>
    </row>
    <row r="20" spans="1:256" s="338" customFormat="1" ht="14.25">
      <c r="A20" s="329"/>
      <c r="B20" s="275"/>
      <c r="C20" s="403"/>
      <c r="IL20"/>
      <c r="IM20"/>
      <c r="IN20"/>
      <c r="IO20"/>
      <c r="IP20"/>
      <c r="IQ20"/>
      <c r="IR20"/>
      <c r="IS20"/>
      <c r="IT20"/>
      <c r="IU20"/>
      <c r="IV20"/>
    </row>
    <row r="21" spans="1:256" s="338" customFormat="1" ht="14.25">
      <c r="A21" s="339"/>
      <c r="B21" s="340"/>
      <c r="C21" s="404"/>
      <c r="IL21"/>
      <c r="IM21"/>
      <c r="IN21"/>
      <c r="IO21"/>
      <c r="IP21"/>
      <c r="IQ21"/>
      <c r="IR21"/>
      <c r="IS21"/>
      <c r="IT21"/>
      <c r="IU21"/>
      <c r="IV21"/>
    </row>
    <row r="22" spans="1:256" s="338" customFormat="1" ht="14.25">
      <c r="A22" s="339"/>
      <c r="B22" s="345"/>
      <c r="C22" s="403"/>
      <c r="IL22"/>
      <c r="IM22"/>
      <c r="IN22"/>
      <c r="IO22"/>
      <c r="IP22"/>
      <c r="IQ22"/>
      <c r="IR22"/>
      <c r="IS22"/>
      <c r="IT22"/>
      <c r="IU22"/>
      <c r="IV22"/>
    </row>
    <row r="23" spans="1:256" s="282" customFormat="1" ht="14.25">
      <c r="A23" s="310"/>
      <c r="B23" s="311" t="s">
        <v>41</v>
      </c>
      <c r="C23" s="386">
        <f>SUM(C20:C22)</f>
        <v>0</v>
      </c>
      <c r="IL23"/>
      <c r="IM23"/>
      <c r="IN23"/>
      <c r="IO23"/>
      <c r="IP23"/>
      <c r="IQ23"/>
      <c r="IR23"/>
      <c r="IS23"/>
      <c r="IT23"/>
      <c r="IU23"/>
      <c r="IV23"/>
    </row>
    <row r="24" spans="1:256" s="354" customFormat="1" ht="14.25">
      <c r="A24" s="347" t="s">
        <v>59</v>
      </c>
      <c r="B24" s="477"/>
      <c r="C24" s="405">
        <f>C16+C19</f>
        <v>448000000</v>
      </c>
      <c r="IL24"/>
      <c r="IM24"/>
      <c r="IN24"/>
      <c r="IO24"/>
      <c r="IP24"/>
      <c r="IQ24"/>
      <c r="IR24"/>
      <c r="IS24"/>
      <c r="IT24"/>
      <c r="IU24"/>
      <c r="IV24"/>
    </row>
    <row r="25" spans="1:256" s="282" customFormat="1" ht="14.25">
      <c r="A25" s="355"/>
      <c r="B25" s="355"/>
      <c r="C25" s="356"/>
      <c r="IL25"/>
      <c r="IM25"/>
      <c r="IN25"/>
      <c r="IO25"/>
      <c r="IP25"/>
      <c r="IQ25"/>
      <c r="IR25"/>
      <c r="IS25"/>
      <c r="IT25"/>
      <c r="IU25"/>
      <c r="IV25"/>
    </row>
    <row r="26" spans="1:256" s="282" customFormat="1" ht="15" customHeight="1">
      <c r="A26" s="196"/>
      <c r="B26" s="355"/>
      <c r="C26" s="355"/>
      <c r="IL26"/>
      <c r="IM26"/>
      <c r="IN26"/>
      <c r="IO26"/>
      <c r="IP26"/>
      <c r="IQ26"/>
      <c r="IR26"/>
      <c r="IS26"/>
      <c r="IT26"/>
      <c r="IU26"/>
      <c r="IV26"/>
    </row>
    <row r="27" spans="1:256" s="282" customFormat="1" ht="14.25">
      <c r="A27" s="359"/>
      <c r="B27" s="196" t="s">
        <v>205</v>
      </c>
      <c r="C27" s="355">
        <f>C28+C29</f>
        <v>0</v>
      </c>
      <c r="IL27"/>
      <c r="IM27"/>
      <c r="IN27"/>
      <c r="IO27"/>
      <c r="IP27"/>
      <c r="IQ27"/>
      <c r="IR27"/>
      <c r="IS27"/>
      <c r="IT27"/>
      <c r="IU27"/>
      <c r="IV27"/>
    </row>
    <row r="28" spans="1:256" s="282" customFormat="1" ht="14.25">
      <c r="A28" s="359"/>
      <c r="B28" s="196" t="s">
        <v>144</v>
      </c>
      <c r="C28" s="355">
        <v>0</v>
      </c>
      <c r="IL28"/>
      <c r="IM28"/>
      <c r="IN28"/>
      <c r="IO28"/>
      <c r="IP28"/>
      <c r="IQ28"/>
      <c r="IR28"/>
      <c r="IS28"/>
      <c r="IT28"/>
      <c r="IU28"/>
      <c r="IV28"/>
    </row>
    <row r="29" spans="1:256" s="282" customFormat="1" ht="14.25">
      <c r="A29" s="359"/>
      <c r="B29" s="355" t="s">
        <v>145</v>
      </c>
      <c r="C29" s="421">
        <v>0</v>
      </c>
      <c r="IL29"/>
      <c r="IM29"/>
      <c r="IN29"/>
      <c r="IO29"/>
      <c r="IP29"/>
      <c r="IQ29"/>
      <c r="IR29"/>
      <c r="IS29"/>
      <c r="IT29"/>
      <c r="IU29"/>
      <c r="IV29"/>
    </row>
    <row r="30" spans="1:3" ht="14.25">
      <c r="A30" s="203"/>
      <c r="B30" s="360"/>
      <c r="C30" s="361"/>
    </row>
    <row r="31" spans="1:3" ht="14.25">
      <c r="A31" s="203"/>
      <c r="B31" s="360"/>
      <c r="C31" s="361"/>
    </row>
    <row r="32" spans="1:3" ht="17.25" customHeight="1">
      <c r="A32" s="204"/>
      <c r="B32" s="360"/>
      <c r="C32" s="361"/>
    </row>
    <row r="33" spans="1:256" s="207" customFormat="1" ht="16.5">
      <c r="A33" s="409" t="s">
        <v>291</v>
      </c>
      <c r="B33" s="480" t="s">
        <v>36</v>
      </c>
      <c r="C33" s="480"/>
      <c r="IL33"/>
      <c r="IM33"/>
      <c r="IN33"/>
      <c r="IO33"/>
      <c r="IP33"/>
      <c r="IQ33"/>
      <c r="IR33"/>
      <c r="IS33"/>
      <c r="IT33"/>
      <c r="IU33"/>
      <c r="IV33"/>
    </row>
    <row r="36" ht="16.5" customHeight="1"/>
    <row r="38" spans="1:2" ht="14.25">
      <c r="A38" s="362" t="s">
        <v>61</v>
      </c>
      <c r="B38" s="363"/>
    </row>
    <row r="39" spans="1:2" ht="13.5">
      <c r="A39" s="362" t="s">
        <v>292</v>
      </c>
      <c r="B39" s="362" t="s">
        <v>36</v>
      </c>
    </row>
    <row r="40" ht="14.25">
      <c r="A40" s="208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A1">
      <selection activeCell="E16" sqref="E16"/>
    </sheetView>
  </sheetViews>
  <sheetFormatPr defaultColWidth="9.00390625" defaultRowHeight="12.75"/>
  <cols>
    <col min="1" max="1" width="34.375" style="207" customWidth="1"/>
    <col min="2" max="2" width="19.25390625" style="207" customWidth="1"/>
    <col min="3" max="3" width="17.75390625" style="500" customWidth="1"/>
    <col min="4" max="4" width="17.75390625" style="207" customWidth="1"/>
    <col min="5" max="5" width="44.375" style="207" customWidth="1"/>
    <col min="6" max="6" width="8.25390625" style="207" customWidth="1"/>
    <col min="7" max="10" width="0" style="207" hidden="1" customWidth="1"/>
    <col min="11" max="11" width="22.00390625" style="207" customWidth="1"/>
    <col min="12" max="16384" width="9.125" style="207" customWidth="1"/>
  </cols>
  <sheetData>
    <row r="1" spans="1:7" ht="18.75">
      <c r="A1" s="501" t="s">
        <v>119</v>
      </c>
      <c r="B1" s="501"/>
      <c r="C1" s="501"/>
      <c r="D1" s="501"/>
      <c r="E1" s="501"/>
      <c r="F1" s="501"/>
      <c r="G1" s="366"/>
    </row>
    <row r="2" spans="1:7" ht="18">
      <c r="A2" s="501" t="s">
        <v>293</v>
      </c>
      <c r="B2" s="501"/>
      <c r="C2" s="501"/>
      <c r="D2" s="501"/>
      <c r="E2" s="501"/>
      <c r="F2" s="501"/>
      <c r="G2" s="366"/>
    </row>
    <row r="3" spans="1:7" ht="16.5">
      <c r="A3" s="366"/>
      <c r="B3" s="366"/>
      <c r="C3" s="366"/>
      <c r="D3" s="366"/>
      <c r="E3" s="366"/>
      <c r="F3" s="366"/>
      <c r="G3" s="366"/>
    </row>
    <row r="4" spans="6:7" ht="16.5">
      <c r="F4" s="502" t="s">
        <v>121</v>
      </c>
      <c r="G4" s="502" t="s">
        <v>121</v>
      </c>
    </row>
    <row r="5" spans="1:10" s="507" customFormat="1" ht="15.75" customHeight="1">
      <c r="A5" s="503" t="s">
        <v>123</v>
      </c>
      <c r="B5" s="503" t="s">
        <v>124</v>
      </c>
      <c r="C5" s="503" t="s">
        <v>125</v>
      </c>
      <c r="D5" s="503" t="s">
        <v>126</v>
      </c>
      <c r="E5" s="504" t="s">
        <v>127</v>
      </c>
      <c r="F5" s="504"/>
      <c r="G5" s="505" t="s">
        <v>131</v>
      </c>
      <c r="H5" s="506" t="s">
        <v>10</v>
      </c>
      <c r="I5" s="506"/>
      <c r="J5" s="506"/>
    </row>
    <row r="6" spans="1:10" s="507" customFormat="1" ht="16.5">
      <c r="A6" s="503"/>
      <c r="B6" s="503"/>
      <c r="C6" s="503"/>
      <c r="D6" s="503"/>
      <c r="E6" s="504"/>
      <c r="F6" s="504"/>
      <c r="G6" s="505"/>
      <c r="H6" s="508" t="s">
        <v>21</v>
      </c>
      <c r="I6" s="508"/>
      <c r="J6" s="508"/>
    </row>
    <row r="7" spans="1:10" s="507" customFormat="1" ht="16.5">
      <c r="A7" s="503"/>
      <c r="B7" s="503"/>
      <c r="C7" s="503"/>
      <c r="D7" s="503"/>
      <c r="E7" s="509" t="s">
        <v>26</v>
      </c>
      <c r="F7" s="509" t="s">
        <v>27</v>
      </c>
      <c r="G7" s="505"/>
      <c r="H7" s="506" t="s">
        <v>31</v>
      </c>
      <c r="I7" s="510" t="s">
        <v>32</v>
      </c>
      <c r="J7" s="511" t="s">
        <v>33</v>
      </c>
    </row>
    <row r="8" spans="1:10" s="514" customFormat="1" ht="16.5">
      <c r="A8" s="503"/>
      <c r="B8" s="503"/>
      <c r="C8" s="503"/>
      <c r="D8" s="503"/>
      <c r="E8" s="509"/>
      <c r="F8" s="509"/>
      <c r="G8" s="505"/>
      <c r="H8" s="512"/>
      <c r="I8" s="513"/>
      <c r="J8" s="512"/>
    </row>
    <row r="9" spans="1:10" s="524" customFormat="1" ht="27.75" customHeight="1">
      <c r="A9" s="515" t="s">
        <v>294</v>
      </c>
      <c r="B9" s="516">
        <v>100000000</v>
      </c>
      <c r="C9" s="517">
        <v>39045</v>
      </c>
      <c r="D9" s="517">
        <v>38686</v>
      </c>
      <c r="E9" s="518" t="s">
        <v>137</v>
      </c>
      <c r="F9" s="519"/>
      <c r="G9" s="520" t="s">
        <v>202</v>
      </c>
      <c r="H9" s="521"/>
      <c r="I9" s="522"/>
      <c r="J9" s="523"/>
    </row>
    <row r="10" spans="1:10" s="524" customFormat="1" ht="27.75" customHeight="1">
      <c r="A10" s="525" t="s">
        <v>171</v>
      </c>
      <c r="B10" s="516">
        <v>100000000</v>
      </c>
      <c r="C10" s="517">
        <v>39071</v>
      </c>
      <c r="D10" s="517">
        <v>38712</v>
      </c>
      <c r="E10" s="518" t="s">
        <v>248</v>
      </c>
      <c r="F10" s="519"/>
      <c r="G10" s="520"/>
      <c r="H10" s="521"/>
      <c r="I10" s="522"/>
      <c r="J10" s="523"/>
    </row>
    <row r="11" spans="1:10" s="524" customFormat="1" ht="27.75" customHeight="1">
      <c r="A11" s="515" t="s">
        <v>171</v>
      </c>
      <c r="B11" s="516">
        <v>45000000</v>
      </c>
      <c r="C11" s="517">
        <v>39015</v>
      </c>
      <c r="D11" s="517">
        <v>38835</v>
      </c>
      <c r="E11" s="518" t="s">
        <v>226</v>
      </c>
      <c r="F11" s="519"/>
      <c r="G11" s="520"/>
      <c r="H11" s="521"/>
      <c r="I11" s="522"/>
      <c r="J11" s="523"/>
    </row>
    <row r="12" spans="1:10" s="524" customFormat="1" ht="27.75" customHeight="1">
      <c r="A12" s="515" t="s">
        <v>293</v>
      </c>
      <c r="B12" s="516">
        <v>50000000</v>
      </c>
      <c r="C12" s="517">
        <v>39227</v>
      </c>
      <c r="D12" s="517">
        <v>38868</v>
      </c>
      <c r="E12" s="518" t="s">
        <v>36</v>
      </c>
      <c r="F12" s="519"/>
      <c r="G12" s="520" t="s">
        <v>215</v>
      </c>
      <c r="H12" s="521"/>
      <c r="I12" s="522"/>
      <c r="J12" s="523"/>
    </row>
    <row r="13" spans="1:10" s="524" customFormat="1" ht="38.25" customHeight="1">
      <c r="A13" s="515" t="s">
        <v>294</v>
      </c>
      <c r="B13" s="516">
        <v>69000000</v>
      </c>
      <c r="C13" s="517">
        <v>39435</v>
      </c>
      <c r="D13" s="517">
        <v>38895</v>
      </c>
      <c r="E13" s="518" t="s">
        <v>234</v>
      </c>
      <c r="F13" s="519"/>
      <c r="G13" s="520"/>
      <c r="H13" s="521"/>
      <c r="I13" s="522"/>
      <c r="J13" s="523"/>
    </row>
    <row r="14" spans="1:10" s="524" customFormat="1" ht="27.75" customHeight="1">
      <c r="A14" s="515" t="s">
        <v>295</v>
      </c>
      <c r="B14" s="516">
        <v>74000000</v>
      </c>
      <c r="C14" s="517">
        <v>39076</v>
      </c>
      <c r="D14" s="517">
        <v>38912</v>
      </c>
      <c r="E14" s="518" t="s">
        <v>226</v>
      </c>
      <c r="F14" s="519"/>
      <c r="G14" s="520"/>
      <c r="H14" s="521"/>
      <c r="I14" s="522"/>
      <c r="J14" s="523"/>
    </row>
    <row r="15" spans="1:10" s="524" customFormat="1" ht="27.75" customHeight="1">
      <c r="A15" s="515" t="s">
        <v>294</v>
      </c>
      <c r="B15" s="516">
        <v>26000000</v>
      </c>
      <c r="C15" s="517">
        <v>39332</v>
      </c>
      <c r="D15" s="517">
        <v>38936</v>
      </c>
      <c r="E15" s="518" t="s">
        <v>109</v>
      </c>
      <c r="F15" s="519"/>
      <c r="G15" s="520"/>
      <c r="H15" s="521"/>
      <c r="I15" s="522"/>
      <c r="J15" s="523"/>
    </row>
    <row r="16" spans="1:10" s="524" customFormat="1" ht="27.75" customHeight="1">
      <c r="A16" s="515" t="s">
        <v>294</v>
      </c>
      <c r="B16" s="516">
        <v>36900000</v>
      </c>
      <c r="C16" s="517">
        <v>39291</v>
      </c>
      <c r="D16" s="517">
        <v>38926</v>
      </c>
      <c r="E16" s="518" t="s">
        <v>296</v>
      </c>
      <c r="F16" s="519"/>
      <c r="G16" s="520"/>
      <c r="H16" s="521"/>
      <c r="I16" s="522"/>
      <c r="J16" s="523"/>
    </row>
    <row r="17" spans="1:10" s="524" customFormat="1" ht="27.75" customHeight="1">
      <c r="A17" s="515" t="s">
        <v>294</v>
      </c>
      <c r="B17" s="516">
        <v>36900000</v>
      </c>
      <c r="C17" s="517">
        <v>39291</v>
      </c>
      <c r="D17" s="517">
        <v>38926</v>
      </c>
      <c r="E17" s="518" t="s">
        <v>109</v>
      </c>
      <c r="F17" s="519"/>
      <c r="G17" s="520"/>
      <c r="H17" s="521"/>
      <c r="I17" s="522"/>
      <c r="J17" s="523"/>
    </row>
    <row r="18" spans="1:10" s="524" customFormat="1" ht="27.75" customHeight="1">
      <c r="A18" s="515" t="s">
        <v>295</v>
      </c>
      <c r="B18" s="516">
        <v>36500000</v>
      </c>
      <c r="C18" s="517">
        <v>39346</v>
      </c>
      <c r="D18" s="517" t="s">
        <v>261</v>
      </c>
      <c r="E18" s="518" t="s">
        <v>137</v>
      </c>
      <c r="F18" s="519"/>
      <c r="G18" s="520"/>
      <c r="H18" s="521"/>
      <c r="I18" s="522"/>
      <c r="J18" s="523"/>
    </row>
    <row r="19" spans="1:10" s="524" customFormat="1" ht="27.75" customHeight="1">
      <c r="A19" s="515" t="s">
        <v>295</v>
      </c>
      <c r="B19" s="516">
        <v>36500000</v>
      </c>
      <c r="C19" s="517">
        <v>39346</v>
      </c>
      <c r="D19" s="517" t="s">
        <v>261</v>
      </c>
      <c r="E19" s="518" t="s">
        <v>242</v>
      </c>
      <c r="F19" s="519"/>
      <c r="G19" s="520"/>
      <c r="H19" s="521"/>
      <c r="I19" s="522"/>
      <c r="J19" s="523"/>
    </row>
    <row r="20" spans="1:10" s="534" customFormat="1" ht="30" customHeight="1">
      <c r="A20" s="526" t="s">
        <v>44</v>
      </c>
      <c r="B20" s="527">
        <f>SUM(B9:B19)</f>
        <v>610800000</v>
      </c>
      <c r="C20" s="528"/>
      <c r="D20" s="529"/>
      <c r="E20" s="529"/>
      <c r="F20" s="529"/>
      <c r="G20" s="530"/>
      <c r="H20" s="531" t="e">
        <f>SUM(#REF!)</f>
        <v>#REF!</v>
      </c>
      <c r="I20" s="532" t="e">
        <f>SUM(#REF!)</f>
        <v>#REF!</v>
      </c>
      <c r="J20" s="533" t="s">
        <v>42</v>
      </c>
    </row>
    <row r="21" spans="1:7" s="524" customFormat="1" ht="16.5">
      <c r="A21" s="535"/>
      <c r="B21" s="536"/>
      <c r="C21" s="537"/>
      <c r="D21" s="538"/>
      <c r="E21" s="538"/>
      <c r="F21" s="538"/>
      <c r="G21" s="538"/>
    </row>
    <row r="22" spans="1:7" s="524" customFormat="1" ht="16.5">
      <c r="A22" s="539"/>
      <c r="B22" s="540"/>
      <c r="C22" s="537"/>
      <c r="D22" s="538"/>
      <c r="E22" s="538"/>
      <c r="F22" s="538"/>
      <c r="G22" s="538"/>
    </row>
    <row r="23" spans="1:7" s="524" customFormat="1" ht="18">
      <c r="A23" s="541" t="s">
        <v>49</v>
      </c>
      <c r="B23" s="541"/>
      <c r="C23" s="541"/>
      <c r="D23" s="541"/>
      <c r="E23" s="541"/>
      <c r="F23" s="541"/>
      <c r="G23" s="538"/>
    </row>
    <row r="26" ht="16.5" customHeight="1"/>
    <row r="28" ht="16.5">
      <c r="A28" s="524"/>
    </row>
    <row r="29" ht="16.5">
      <c r="A29" s="542"/>
    </row>
  </sheetData>
  <mergeCells count="13">
    <mergeCell ref="A1:F1"/>
    <mergeCell ref="A2:F2"/>
    <mergeCell ref="A5:A8"/>
    <mergeCell ref="B5:B8"/>
    <mergeCell ref="C5:C8"/>
    <mergeCell ref="D5:D8"/>
    <mergeCell ref="E5:F6"/>
    <mergeCell ref="G5:G8"/>
    <mergeCell ref="H5:J5"/>
    <mergeCell ref="H6:J6"/>
    <mergeCell ref="E7:E8"/>
    <mergeCell ref="F7:F8"/>
    <mergeCell ref="A23:F23"/>
  </mergeCells>
  <printOptions horizontalCentered="1"/>
  <pageMargins left="0.7875" right="0.7875" top="0.49027777777777776" bottom="0.49027777777777776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workbookViewId="0" topLeftCell="A1">
      <selection activeCell="A43" sqref="A43"/>
    </sheetView>
  </sheetViews>
  <sheetFormatPr defaultColWidth="9.00390625" defaultRowHeight="12.75"/>
  <cols>
    <col min="1" max="1" width="29.875" style="1" customWidth="1"/>
    <col min="2" max="2" width="27.00390625" style="0" customWidth="1"/>
    <col min="3" max="3" width="18.375" style="0" customWidth="1"/>
    <col min="4" max="4" width="21.125" style="2" customWidth="1"/>
    <col min="5" max="5" width="14.875" style="0" customWidth="1"/>
    <col min="6" max="6" width="44.25390625" style="0" customWidth="1"/>
    <col min="7" max="7" width="11.25390625" style="0" customWidth="1"/>
    <col min="8" max="8" width="17.875" style="0" customWidth="1"/>
    <col min="9" max="9" width="19.625" style="0" customWidth="1"/>
    <col min="10" max="10" width="11.875" style="0" customWidth="1"/>
    <col min="11" max="11" width="20.625" style="0" customWidth="1"/>
    <col min="12" max="14" width="0" style="0" hidden="1" customWidth="1"/>
    <col min="15" max="15" width="22.00390625" style="0" customWidth="1"/>
  </cols>
  <sheetData>
    <row r="1" spans="1:14" s="255" customFormat="1" ht="14.25">
      <c r="A1" s="249" t="s">
        <v>0</v>
      </c>
      <c r="B1" s="250" t="s">
        <v>0</v>
      </c>
      <c r="C1" s="251" t="s">
        <v>1</v>
      </c>
      <c r="D1" s="251" t="s">
        <v>2</v>
      </c>
      <c r="E1" s="251" t="s">
        <v>3</v>
      </c>
      <c r="F1" s="252" t="s">
        <v>4</v>
      </c>
      <c r="G1" s="252"/>
      <c r="H1" s="251" t="s">
        <v>5</v>
      </c>
      <c r="I1" s="251" t="s">
        <v>6</v>
      </c>
      <c r="J1" s="251" t="s">
        <v>7</v>
      </c>
      <c r="K1" s="253" t="s">
        <v>9</v>
      </c>
      <c r="L1" s="254" t="s">
        <v>10</v>
      </c>
      <c r="M1" s="254"/>
      <c r="N1" s="254"/>
    </row>
    <row r="2" spans="1:14" s="255" customFormat="1" ht="14.25">
      <c r="A2" s="256" t="s">
        <v>11</v>
      </c>
      <c r="B2" s="257" t="s">
        <v>12</v>
      </c>
      <c r="C2" s="258" t="s">
        <v>13</v>
      </c>
      <c r="D2" s="258" t="s">
        <v>14</v>
      </c>
      <c r="E2" s="258" t="s">
        <v>15</v>
      </c>
      <c r="F2" s="252"/>
      <c r="G2" s="252"/>
      <c r="H2" s="258" t="s">
        <v>16</v>
      </c>
      <c r="I2" s="258" t="s">
        <v>17</v>
      </c>
      <c r="J2" s="258" t="s">
        <v>18</v>
      </c>
      <c r="K2" s="259" t="s">
        <v>20</v>
      </c>
      <c r="L2" s="260" t="s">
        <v>21</v>
      </c>
      <c r="M2" s="260"/>
      <c r="N2" s="260"/>
    </row>
    <row r="3" spans="1:14" s="255" customFormat="1" ht="14.25">
      <c r="A3" s="256"/>
      <c r="B3" s="257" t="s">
        <v>22</v>
      </c>
      <c r="C3" s="258" t="s">
        <v>23</v>
      </c>
      <c r="D3" s="258"/>
      <c r="E3" s="258" t="s">
        <v>25</v>
      </c>
      <c r="F3" s="258" t="s">
        <v>26</v>
      </c>
      <c r="G3" s="258" t="s">
        <v>27</v>
      </c>
      <c r="H3" s="258" t="s">
        <v>23</v>
      </c>
      <c r="I3" s="258" t="s">
        <v>28</v>
      </c>
      <c r="J3" s="258"/>
      <c r="K3" s="259"/>
      <c r="L3" s="254" t="s">
        <v>31</v>
      </c>
      <c r="M3" s="261" t="s">
        <v>32</v>
      </c>
      <c r="N3" s="262" t="s">
        <v>33</v>
      </c>
    </row>
    <row r="4" spans="1:14" s="270" customFormat="1" ht="14.25">
      <c r="A4" s="263"/>
      <c r="B4" s="264"/>
      <c r="C4" s="265"/>
      <c r="D4" s="265"/>
      <c r="E4" s="266" t="s">
        <v>34</v>
      </c>
      <c r="F4" s="265"/>
      <c r="G4" s="265" t="s">
        <v>35</v>
      </c>
      <c r="H4" s="265"/>
      <c r="I4" s="265"/>
      <c r="J4" s="265"/>
      <c r="K4" s="267"/>
      <c r="L4" s="268"/>
      <c r="M4" s="269"/>
      <c r="N4" s="268"/>
    </row>
    <row r="5" spans="1:14" s="282" customFormat="1" ht="14.25">
      <c r="A5" s="271"/>
      <c r="B5" s="272" t="s">
        <v>101</v>
      </c>
      <c r="C5" s="273">
        <v>56000000</v>
      </c>
      <c r="D5" s="274">
        <v>38913</v>
      </c>
      <c r="E5" s="274">
        <v>38366</v>
      </c>
      <c r="F5" s="275" t="s">
        <v>80</v>
      </c>
      <c r="G5" s="276"/>
      <c r="H5" s="273">
        <v>111858740</v>
      </c>
      <c r="I5" s="273">
        <v>67000000</v>
      </c>
      <c r="J5" s="277">
        <v>0.15</v>
      </c>
      <c r="K5" s="278" t="s">
        <v>82</v>
      </c>
      <c r="L5" s="279"/>
      <c r="M5" s="280"/>
      <c r="N5" s="281"/>
    </row>
    <row r="6" spans="1:14" s="282" customFormat="1" ht="14.25">
      <c r="A6" s="271"/>
      <c r="B6" s="272" t="s">
        <v>38</v>
      </c>
      <c r="C6" s="273">
        <v>25000000</v>
      </c>
      <c r="D6" s="274">
        <v>38513</v>
      </c>
      <c r="E6" s="274">
        <v>38135</v>
      </c>
      <c r="F6" s="275" t="s">
        <v>102</v>
      </c>
      <c r="G6" s="276"/>
      <c r="H6" s="273">
        <v>30099571.54</v>
      </c>
      <c r="I6" s="273">
        <v>30099571.54</v>
      </c>
      <c r="J6" s="277">
        <v>0.18</v>
      </c>
      <c r="K6" s="285" t="s">
        <v>39</v>
      </c>
      <c r="L6" s="279"/>
      <c r="M6" s="280"/>
      <c r="N6" s="281" t="s">
        <v>39</v>
      </c>
    </row>
    <row r="7" spans="1:14" s="282" customFormat="1" ht="14.25">
      <c r="A7" s="271"/>
      <c r="B7" s="283" t="s">
        <v>101</v>
      </c>
      <c r="C7" s="273">
        <f>35000000-3414538</f>
        <v>31585462</v>
      </c>
      <c r="D7" s="274">
        <v>38526</v>
      </c>
      <c r="E7" s="274">
        <v>37981</v>
      </c>
      <c r="F7" s="275" t="s">
        <v>103</v>
      </c>
      <c r="G7" s="276"/>
      <c r="H7" s="273">
        <v>83613157</v>
      </c>
      <c r="I7" s="273">
        <v>48347712</v>
      </c>
      <c r="J7" s="284">
        <v>0.195</v>
      </c>
      <c r="K7" s="285" t="s">
        <v>39</v>
      </c>
      <c r="L7" s="279"/>
      <c r="M7" s="280"/>
      <c r="N7" s="281"/>
    </row>
    <row r="8" spans="1:14" s="282" customFormat="1" ht="14.25">
      <c r="A8" s="271"/>
      <c r="B8" s="283" t="s">
        <v>38</v>
      </c>
      <c r="C8" s="273">
        <v>6000000</v>
      </c>
      <c r="D8" s="274">
        <v>38435</v>
      </c>
      <c r="E8" s="274">
        <v>38380</v>
      </c>
      <c r="F8" s="275" t="s">
        <v>104</v>
      </c>
      <c r="G8" s="276"/>
      <c r="H8" s="273"/>
      <c r="I8" s="273"/>
      <c r="J8" s="284">
        <v>0.21</v>
      </c>
      <c r="K8" s="285" t="s">
        <v>105</v>
      </c>
      <c r="L8" s="279"/>
      <c r="M8" s="280"/>
      <c r="N8" s="281"/>
    </row>
    <row r="9" spans="1:14" s="282" customFormat="1" ht="14.25">
      <c r="A9" s="271"/>
      <c r="B9" s="283" t="s">
        <v>38</v>
      </c>
      <c r="C9" s="273">
        <v>14000000</v>
      </c>
      <c r="D9" s="274">
        <v>38408</v>
      </c>
      <c r="E9" s="274">
        <v>38378</v>
      </c>
      <c r="F9" s="325" t="s">
        <v>80</v>
      </c>
      <c r="G9" s="276"/>
      <c r="H9" s="273">
        <v>14500000</v>
      </c>
      <c r="I9" s="273">
        <v>14500000</v>
      </c>
      <c r="J9" s="284">
        <v>0.21</v>
      </c>
      <c r="K9" s="278" t="s">
        <v>82</v>
      </c>
      <c r="L9" s="279"/>
      <c r="M9" s="280"/>
      <c r="N9" s="281"/>
    </row>
    <row r="10" spans="1:14" s="282" customFormat="1" ht="14.25">
      <c r="A10" s="271"/>
      <c r="B10" s="286" t="s">
        <v>38</v>
      </c>
      <c r="C10" s="287"/>
      <c r="D10" s="288"/>
      <c r="E10" s="288"/>
      <c r="F10" s="289" t="s">
        <v>88</v>
      </c>
      <c r="G10" s="290">
        <v>255</v>
      </c>
      <c r="H10" s="287">
        <v>15045000</v>
      </c>
      <c r="I10" s="287">
        <v>7522500</v>
      </c>
      <c r="J10" s="291"/>
      <c r="K10" s="292"/>
      <c r="L10" s="279"/>
      <c r="M10" s="280"/>
      <c r="N10" s="281"/>
    </row>
    <row r="11" spans="1:14" s="282" customFormat="1" ht="14.25">
      <c r="A11" s="271" t="s">
        <v>106</v>
      </c>
      <c r="B11" s="293" t="s">
        <v>101</v>
      </c>
      <c r="C11" s="280">
        <v>15000000</v>
      </c>
      <c r="D11" s="294">
        <v>38704</v>
      </c>
      <c r="E11" s="294">
        <v>38371</v>
      </c>
      <c r="F11" s="295" t="s">
        <v>80</v>
      </c>
      <c r="G11" s="296">
        <v>2192</v>
      </c>
      <c r="H11" s="280">
        <v>68357520</v>
      </c>
      <c r="I11" s="280">
        <v>34178760</v>
      </c>
      <c r="J11" s="297">
        <v>0.18</v>
      </c>
      <c r="K11" s="298" t="s">
        <v>89</v>
      </c>
      <c r="L11" s="279"/>
      <c r="M11" s="280"/>
      <c r="N11" s="281"/>
    </row>
    <row r="12" spans="1:14" s="282" customFormat="1" ht="14.25">
      <c r="A12" s="271" t="s">
        <v>107</v>
      </c>
      <c r="B12" s="299"/>
      <c r="C12" s="300"/>
      <c r="D12" s="301"/>
      <c r="E12" s="301"/>
      <c r="F12" s="302" t="s">
        <v>47</v>
      </c>
      <c r="G12" s="303">
        <v>119</v>
      </c>
      <c r="H12" s="300">
        <v>7021000</v>
      </c>
      <c r="I12" s="300">
        <v>3510500</v>
      </c>
      <c r="J12" s="304"/>
      <c r="K12" s="305"/>
      <c r="L12" s="279"/>
      <c r="M12" s="280"/>
      <c r="N12" s="281"/>
    </row>
    <row r="13" spans="1:14" s="282" customFormat="1" ht="14.25">
      <c r="A13" s="271"/>
      <c r="B13" s="290"/>
      <c r="C13" s="287"/>
      <c r="D13" s="288"/>
      <c r="E13" s="288"/>
      <c r="F13" s="289" t="s">
        <v>108</v>
      </c>
      <c r="G13" s="290">
        <v>7</v>
      </c>
      <c r="H13" s="287" t="s">
        <v>91</v>
      </c>
      <c r="I13" s="287">
        <v>11363700</v>
      </c>
      <c r="J13" s="291"/>
      <c r="K13" s="292"/>
      <c r="L13" s="279"/>
      <c r="M13" s="280"/>
      <c r="N13" s="281"/>
    </row>
    <row r="14" spans="1:14" s="282" customFormat="1" ht="14.25">
      <c r="A14" s="271"/>
      <c r="B14" s="296" t="s">
        <v>101</v>
      </c>
      <c r="C14" s="280">
        <v>18000000</v>
      </c>
      <c r="D14" s="294">
        <v>38736</v>
      </c>
      <c r="E14" s="294">
        <v>38366</v>
      </c>
      <c r="F14" s="295" t="s">
        <v>102</v>
      </c>
      <c r="G14" s="296">
        <v>21</v>
      </c>
      <c r="H14" s="280">
        <v>5455800</v>
      </c>
      <c r="I14" s="280">
        <v>2727900</v>
      </c>
      <c r="J14" s="297">
        <v>0.18</v>
      </c>
      <c r="K14" s="298" t="s">
        <v>39</v>
      </c>
      <c r="L14" s="279"/>
      <c r="M14" s="280"/>
      <c r="N14" s="281"/>
    </row>
    <row r="15" spans="1:14" s="282" customFormat="1" ht="14.25">
      <c r="A15" s="271"/>
      <c r="B15" s="303"/>
      <c r="C15" s="300"/>
      <c r="D15" s="301"/>
      <c r="E15" s="301"/>
      <c r="F15" s="302" t="s">
        <v>109</v>
      </c>
      <c r="G15" s="303">
        <v>268</v>
      </c>
      <c r="H15" s="300">
        <v>16080000</v>
      </c>
      <c r="I15" s="300">
        <v>7236000</v>
      </c>
      <c r="J15" s="304"/>
      <c r="K15" s="305"/>
      <c r="L15" s="279"/>
      <c r="M15" s="280"/>
      <c r="N15" s="281"/>
    </row>
    <row r="16" spans="1:14" s="282" customFormat="1" ht="14.25">
      <c r="A16" s="271"/>
      <c r="B16" s="302" t="s">
        <v>101</v>
      </c>
      <c r="C16" s="300">
        <v>400000</v>
      </c>
      <c r="D16" s="301"/>
      <c r="E16" s="301"/>
      <c r="F16" s="299"/>
      <c r="G16" s="303"/>
      <c r="H16" s="300"/>
      <c r="I16" s="300"/>
      <c r="J16" s="306"/>
      <c r="K16" s="307"/>
      <c r="L16" s="308"/>
      <c r="M16" s="309"/>
      <c r="N16" s="281"/>
    </row>
    <row r="17" spans="1:14" s="318" customFormat="1" ht="14.25">
      <c r="A17" s="310"/>
      <c r="B17" s="311" t="s">
        <v>41</v>
      </c>
      <c r="C17" s="312">
        <f>SUM(C5:C16)</f>
        <v>165985462</v>
      </c>
      <c r="D17" s="313"/>
      <c r="E17" s="312"/>
      <c r="F17" s="312"/>
      <c r="G17" s="312"/>
      <c r="H17" s="312">
        <f>SUM(H5:H9)</f>
        <v>240071468.54</v>
      </c>
      <c r="I17" s="312">
        <f>SUM(I5:I9)</f>
        <v>159947283.54</v>
      </c>
      <c r="J17" s="312"/>
      <c r="K17" s="314"/>
      <c r="L17" s="315">
        <f>SUM(L5:L9)</f>
        <v>0</v>
      </c>
      <c r="M17" s="316">
        <f>SUM(M5:M9)</f>
        <v>0</v>
      </c>
      <c r="N17" s="317" t="s">
        <v>42</v>
      </c>
    </row>
    <row r="18" spans="1:14" s="282" customFormat="1" ht="14.25">
      <c r="A18" s="271"/>
      <c r="B18" s="319" t="s">
        <v>101</v>
      </c>
      <c r="C18" s="320">
        <v>30000000</v>
      </c>
      <c r="D18" s="321">
        <v>38378</v>
      </c>
      <c r="E18" s="321">
        <v>38197</v>
      </c>
      <c r="F18" s="322" t="s">
        <v>43</v>
      </c>
      <c r="G18" s="322">
        <v>173</v>
      </c>
      <c r="H18" s="320">
        <v>60049914</v>
      </c>
      <c r="I18" s="320"/>
      <c r="J18" s="323">
        <v>0.15</v>
      </c>
      <c r="K18" s="324" t="s">
        <v>37</v>
      </c>
      <c r="L18" s="308"/>
      <c r="M18" s="309"/>
      <c r="N18" s="281"/>
    </row>
    <row r="19" spans="1:14" s="282" customFormat="1" ht="14.25">
      <c r="A19" s="271"/>
      <c r="B19" s="302" t="s">
        <v>38</v>
      </c>
      <c r="C19" s="300">
        <v>25000000</v>
      </c>
      <c r="D19" s="301">
        <v>38402</v>
      </c>
      <c r="E19" s="301">
        <v>38373</v>
      </c>
      <c r="F19" s="325" t="s">
        <v>110</v>
      </c>
      <c r="G19" s="303"/>
      <c r="H19" s="300">
        <v>25500000</v>
      </c>
      <c r="I19" s="300">
        <v>25500000</v>
      </c>
      <c r="J19" s="306">
        <v>0.22</v>
      </c>
      <c r="K19" s="277" t="s">
        <v>37</v>
      </c>
      <c r="L19" s="308"/>
      <c r="M19" s="309"/>
      <c r="N19" s="281"/>
    </row>
    <row r="20" spans="1:14" s="282" customFormat="1" ht="14.25">
      <c r="A20" s="271" t="s">
        <v>107</v>
      </c>
      <c r="B20" s="275" t="s">
        <v>111</v>
      </c>
      <c r="C20" s="300">
        <v>9900500</v>
      </c>
      <c r="D20" s="301">
        <v>38414</v>
      </c>
      <c r="E20" s="301"/>
      <c r="F20" s="325" t="s">
        <v>103</v>
      </c>
      <c r="G20" s="303">
        <v>3</v>
      </c>
      <c r="H20" s="300"/>
      <c r="I20" s="300"/>
      <c r="J20" s="306"/>
      <c r="K20" s="307"/>
      <c r="L20" s="308"/>
      <c r="M20" s="309"/>
      <c r="N20" s="281"/>
    </row>
    <row r="21" spans="1:14" s="282" customFormat="1" ht="14.25">
      <c r="A21" s="271"/>
      <c r="B21" s="275" t="s">
        <v>101</v>
      </c>
      <c r="C21" s="300">
        <v>5000000</v>
      </c>
      <c r="D21" s="301">
        <v>38506</v>
      </c>
      <c r="E21" s="301"/>
      <c r="F21" s="325" t="s">
        <v>102</v>
      </c>
      <c r="G21" s="303">
        <v>1</v>
      </c>
      <c r="H21" s="300">
        <v>5460000</v>
      </c>
      <c r="I21" s="300">
        <v>5460000</v>
      </c>
      <c r="J21" s="306"/>
      <c r="K21" s="307"/>
      <c r="L21" s="308"/>
      <c r="M21" s="309"/>
      <c r="N21" s="281"/>
    </row>
    <row r="22" spans="1:14" s="282" customFormat="1" ht="14.25">
      <c r="A22" s="271"/>
      <c r="B22" s="275" t="s">
        <v>112</v>
      </c>
      <c r="C22" s="273">
        <v>20000000</v>
      </c>
      <c r="D22" s="274">
        <v>38440</v>
      </c>
      <c r="E22" s="274">
        <v>38082</v>
      </c>
      <c r="F22" s="325" t="s">
        <v>113</v>
      </c>
      <c r="G22" s="276">
        <v>1</v>
      </c>
      <c r="H22" s="273">
        <v>35000000</v>
      </c>
      <c r="I22" s="273">
        <v>35000000</v>
      </c>
      <c r="J22" s="277">
        <v>0.17</v>
      </c>
      <c r="K22" s="278" t="s">
        <v>37</v>
      </c>
      <c r="L22" s="308"/>
      <c r="M22" s="309"/>
      <c r="N22" s="281"/>
    </row>
    <row r="23" spans="1:14" s="282" customFormat="1" ht="14.25">
      <c r="A23" s="310"/>
      <c r="B23" s="326" t="s">
        <v>41</v>
      </c>
      <c r="C23" s="327">
        <f>SUM(C18:C22)</f>
        <v>89900500</v>
      </c>
      <c r="D23" s="327"/>
      <c r="E23" s="327"/>
      <c r="F23" s="327"/>
      <c r="G23" s="327"/>
      <c r="H23" s="327">
        <f>SUM(H18:H22)</f>
        <v>126009914</v>
      </c>
      <c r="I23" s="327">
        <f>SUM(I18:I22)</f>
        <v>65960000</v>
      </c>
      <c r="J23" s="312"/>
      <c r="K23" s="328"/>
      <c r="L23" s="315" t="e">
        <f>SUM(#REF!)</f>
        <v>#REF!</v>
      </c>
      <c r="M23" s="316" t="e">
        <f>SUM(#REF!)</f>
        <v>#REF!</v>
      </c>
      <c r="N23" s="317" t="s">
        <v>42</v>
      </c>
    </row>
    <row r="24" spans="1:14" s="338" customFormat="1" ht="12.75" hidden="1">
      <c r="A24" s="329"/>
      <c r="B24" s="275"/>
      <c r="C24" s="330"/>
      <c r="D24" s="331"/>
      <c r="E24" s="332"/>
      <c r="F24" s="275"/>
      <c r="G24" s="275"/>
      <c r="H24" s="330"/>
      <c r="I24" s="330"/>
      <c r="J24" s="333"/>
      <c r="K24" s="334"/>
      <c r="L24" s="335" t="e">
        <f>C24*J24/365*#REF!</f>
        <v>#REF!</v>
      </c>
      <c r="M24" s="336">
        <v>1272986</v>
      </c>
      <c r="N24" s="337"/>
    </row>
    <row r="25" spans="1:14" s="338" customFormat="1" ht="12.75" hidden="1">
      <c r="A25" s="339"/>
      <c r="B25" s="340"/>
      <c r="C25" s="341"/>
      <c r="D25" s="341"/>
      <c r="E25" s="342"/>
      <c r="F25" s="302"/>
      <c r="G25" s="302"/>
      <c r="H25" s="341"/>
      <c r="I25" s="341"/>
      <c r="J25" s="333"/>
      <c r="K25" s="334"/>
      <c r="L25" s="343"/>
      <c r="M25" s="344"/>
      <c r="N25" s="337"/>
    </row>
    <row r="26" spans="1:14" s="338" customFormat="1" ht="12.75" hidden="1">
      <c r="A26" s="339"/>
      <c r="B26" s="345"/>
      <c r="C26" s="330"/>
      <c r="D26" s="331"/>
      <c r="E26" s="332"/>
      <c r="F26" s="275"/>
      <c r="G26" s="275"/>
      <c r="H26" s="330"/>
      <c r="I26" s="330"/>
      <c r="J26" s="346"/>
      <c r="K26" s="334"/>
      <c r="L26" s="335" t="e">
        <f>C26*J26/365*#REF!</f>
        <v>#REF!</v>
      </c>
      <c r="M26" s="344">
        <v>0</v>
      </c>
      <c r="N26" s="337"/>
    </row>
    <row r="27" spans="1:14" s="282" customFormat="1" ht="12.75" hidden="1">
      <c r="A27" s="310"/>
      <c r="B27" s="311" t="s">
        <v>41</v>
      </c>
      <c r="C27" s="312">
        <f>SUM(C24:C26)</f>
        <v>0</v>
      </c>
      <c r="D27" s="312"/>
      <c r="E27" s="312"/>
      <c r="F27" s="312"/>
      <c r="G27" s="312"/>
      <c r="H27" s="312">
        <f>SUM(H24:H26)</f>
        <v>0</v>
      </c>
      <c r="I27" s="312">
        <f>SUM(I24:I26)</f>
        <v>0</v>
      </c>
      <c r="J27" s="312"/>
      <c r="K27" s="328"/>
      <c r="L27" s="315" t="e">
        <f>SUM(L24:L26)</f>
        <v>#REF!</v>
      </c>
      <c r="M27" s="316">
        <f>SUM(M24:M26)</f>
        <v>1272986</v>
      </c>
      <c r="N27" s="317" t="s">
        <v>42</v>
      </c>
    </row>
    <row r="28" spans="1:14" s="354" customFormat="1" ht="14.25">
      <c r="A28" s="347" t="s">
        <v>59</v>
      </c>
      <c r="B28" s="347"/>
      <c r="C28" s="348">
        <f>C17+C23+C27</f>
        <v>255885962</v>
      </c>
      <c r="D28" s="348"/>
      <c r="E28" s="348"/>
      <c r="F28" s="348"/>
      <c r="G28" s="348"/>
      <c r="H28" s="348">
        <f>H17+H23+H27</f>
        <v>366081382.53999996</v>
      </c>
      <c r="I28" s="348">
        <f>I17+I23+I27</f>
        <v>225907283.54</v>
      </c>
      <c r="J28" s="349"/>
      <c r="K28" s="350"/>
      <c r="L28" s="351" t="e">
        <f>L17+L23+L27+#REF!+#REF!</f>
        <v>#REF!</v>
      </c>
      <c r="M28" s="352" t="e">
        <f>M17+M23+M27+#REF!+#REF!</f>
        <v>#REF!</v>
      </c>
      <c r="N28" s="353" t="s">
        <v>42</v>
      </c>
    </row>
    <row r="29" spans="1:11" s="282" customFormat="1" ht="14.25">
      <c r="A29" s="355"/>
      <c r="B29" s="355"/>
      <c r="C29" s="356"/>
      <c r="D29" s="357"/>
      <c r="E29" s="358"/>
      <c r="F29" s="358"/>
      <c r="G29" s="358"/>
      <c r="H29" s="358"/>
      <c r="I29" s="358"/>
      <c r="J29" s="358"/>
      <c r="K29" s="358"/>
    </row>
    <row r="30" spans="1:11" s="282" customFormat="1" ht="14.25">
      <c r="A30" s="196"/>
      <c r="B30" s="355"/>
      <c r="C30" s="355"/>
      <c r="D30" s="357"/>
      <c r="E30" s="358"/>
      <c r="F30" s="358"/>
      <c r="G30" s="358"/>
      <c r="H30" s="358"/>
      <c r="I30" s="358"/>
      <c r="J30" s="358"/>
      <c r="K30" s="358"/>
    </row>
    <row r="31" spans="1:11" s="282" customFormat="1" ht="14.25">
      <c r="A31" s="359"/>
      <c r="B31" s="196" t="s">
        <v>114</v>
      </c>
      <c r="C31" s="355">
        <f>SUM(C32:C34)</f>
        <v>69000000</v>
      </c>
      <c r="D31" s="357"/>
      <c r="E31" s="358"/>
      <c r="F31" s="358"/>
      <c r="G31" s="358"/>
      <c r="H31" s="358"/>
      <c r="I31" s="358"/>
      <c r="J31" s="358"/>
      <c r="K31" s="358"/>
    </row>
    <row r="32" spans="1:11" s="282" customFormat="1" ht="14.25">
      <c r="A32" s="359"/>
      <c r="B32" s="360" t="s">
        <v>101</v>
      </c>
      <c r="C32" s="361">
        <f>C18</f>
        <v>30000000</v>
      </c>
      <c r="D32" s="364" t="s">
        <v>115</v>
      </c>
      <c r="E32" s="358"/>
      <c r="F32" s="358"/>
      <c r="G32" s="358"/>
      <c r="H32" s="358"/>
      <c r="I32" s="358"/>
      <c r="J32" s="358"/>
      <c r="K32" s="358"/>
    </row>
    <row r="33" spans="1:11" ht="14.25">
      <c r="A33" s="203"/>
      <c r="B33" s="200"/>
      <c r="C33" s="361">
        <f>C19</f>
        <v>25000000</v>
      </c>
      <c r="D33" s="203"/>
      <c r="E33" s="132"/>
      <c r="F33" s="132"/>
      <c r="G33" s="132"/>
      <c r="H33" s="132"/>
      <c r="I33" s="132"/>
      <c r="J33" s="132"/>
      <c r="K33" s="132"/>
    </row>
    <row r="34" spans="1:11" ht="14.25">
      <c r="A34" s="204"/>
      <c r="B34" s="200"/>
      <c r="C34" s="361">
        <v>14000000</v>
      </c>
      <c r="D34" s="195"/>
      <c r="E34" s="132"/>
      <c r="F34" s="132"/>
      <c r="G34" s="132"/>
      <c r="H34" s="132"/>
      <c r="I34" s="132"/>
      <c r="J34" s="132"/>
      <c r="K34" s="132"/>
    </row>
    <row r="35" spans="1:11" ht="51" customHeight="1">
      <c r="A35" s="204"/>
      <c r="B35" s="200"/>
      <c r="C35" s="361"/>
      <c r="D35" s="195"/>
      <c r="E35" s="132"/>
      <c r="F35" s="132"/>
      <c r="G35" s="132"/>
      <c r="H35" s="132"/>
      <c r="I35" s="132"/>
      <c r="J35" s="132"/>
      <c r="K35" s="132"/>
    </row>
    <row r="36" spans="1:11" s="207" customFormat="1" ht="16.5">
      <c r="A36" s="205"/>
      <c r="B36" s="205" t="s">
        <v>116</v>
      </c>
      <c r="C36" s="205"/>
      <c r="D36" s="206"/>
      <c r="E36" s="205"/>
      <c r="F36" s="205" t="s">
        <v>80</v>
      </c>
      <c r="G36" s="206"/>
      <c r="H36" s="206"/>
      <c r="I36" s="206"/>
      <c r="J36" s="206"/>
      <c r="K36" s="206"/>
    </row>
    <row r="39" ht="36.75" customHeight="1"/>
    <row r="41" ht="72.75" customHeight="1"/>
    <row r="42" spans="1:2" ht="14.25">
      <c r="A42" s="362" t="s">
        <v>61</v>
      </c>
      <c r="B42" s="363"/>
    </row>
    <row r="43" spans="1:2" ht="14.25">
      <c r="A43" s="362" t="s">
        <v>117</v>
      </c>
      <c r="B43" s="362" t="s">
        <v>118</v>
      </c>
    </row>
    <row r="44" ht="14.25">
      <c r="A44" s="208"/>
    </row>
  </sheetData>
  <mergeCells count="7">
    <mergeCell ref="F1:G2"/>
    <mergeCell ref="L1:N1"/>
    <mergeCell ref="L2:N2"/>
    <mergeCell ref="J24:J25"/>
    <mergeCell ref="K24:K26"/>
    <mergeCell ref="A28:B28"/>
    <mergeCell ref="A29:B29"/>
  </mergeCells>
  <printOptions horizontalCentered="1"/>
  <pageMargins left="1.0902777777777777" right="0.9701388888888889" top="1.6097222222222223" bottom="0.7097222222222223" header="0.85" footer="0.5118055555555555"/>
  <pageSetup cellComments="atEnd" fitToHeight="1" fitToWidth="1" horizontalDpi="300" verticalDpi="300" orientation="landscape" paperSize="9"/>
  <headerFooter alignWithMargins="0">
    <oddHeader>&amp;C&amp;12СПРАВКА
о существующих кредитах предприятий Холдинга по состоянию на 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workbookViewId="0" topLeftCell="A1">
      <selection activeCell="B16" sqref="B16"/>
    </sheetView>
  </sheetViews>
  <sheetFormatPr defaultColWidth="9.00390625" defaultRowHeight="12.75"/>
  <cols>
    <col min="1" max="1" width="30.875" style="1" customWidth="1"/>
    <col min="2" max="2" width="27.00390625" style="0" customWidth="1"/>
    <col min="3" max="3" width="14.375" style="0" customWidth="1"/>
    <col min="4" max="4" width="13.875" style="2" customWidth="1"/>
    <col min="5" max="5" width="14.875" style="0" customWidth="1"/>
    <col min="6" max="6" width="39.875" style="0" customWidth="1"/>
    <col min="7" max="7" width="8.25390625" style="0" customWidth="1"/>
    <col min="8" max="8" width="15.625" style="0" customWidth="1"/>
    <col min="9" max="9" width="14.625" style="0" customWidth="1"/>
    <col min="10" max="10" width="10.625" style="0" customWidth="1"/>
    <col min="11" max="11" width="31.625" style="0" customWidth="1"/>
    <col min="12" max="14" width="0" style="0" hidden="1" customWidth="1"/>
    <col min="15" max="15" width="22.00390625" style="0" customWidth="1"/>
  </cols>
  <sheetData>
    <row r="1" spans="1:11" ht="16.5">
      <c r="A1" s="365" t="s">
        <v>119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1" ht="16.5">
      <c r="A2" s="365" t="s">
        <v>120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 ht="16.5">
      <c r="A3" s="366"/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11" ht="16.5">
      <c r="A4" s="366"/>
      <c r="B4" s="366"/>
      <c r="C4" s="366"/>
      <c r="D4" s="366"/>
      <c r="E4" s="366"/>
      <c r="F4" s="366"/>
      <c r="G4" s="366"/>
      <c r="H4" s="366"/>
      <c r="I4" s="366"/>
      <c r="J4" s="366"/>
      <c r="K4" s="366"/>
    </row>
    <row r="5" spans="1:11" ht="12">
      <c r="A5" s="367"/>
      <c r="B5" s="367"/>
      <c r="C5" s="367"/>
      <c r="D5" s="367"/>
      <c r="E5" s="367"/>
      <c r="F5" s="367"/>
      <c r="G5" s="367"/>
      <c r="H5" s="367"/>
      <c r="I5" s="367"/>
      <c r="J5" s="367"/>
      <c r="K5" s="367"/>
    </row>
    <row r="6" ht="12">
      <c r="K6" s="368" t="s">
        <v>121</v>
      </c>
    </row>
    <row r="7" spans="1:14" s="255" customFormat="1" ht="14.25">
      <c r="A7" s="369" t="s">
        <v>122</v>
      </c>
      <c r="B7" s="370" t="s">
        <v>123</v>
      </c>
      <c r="C7" s="370" t="s">
        <v>124</v>
      </c>
      <c r="D7" s="370" t="s">
        <v>125</v>
      </c>
      <c r="E7" s="370" t="s">
        <v>126</v>
      </c>
      <c r="F7" s="371" t="s">
        <v>127</v>
      </c>
      <c r="G7" s="371"/>
      <c r="H7" s="370" t="s">
        <v>128</v>
      </c>
      <c r="I7" s="370" t="s">
        <v>129</v>
      </c>
      <c r="J7" s="370" t="s">
        <v>130</v>
      </c>
      <c r="K7" s="372" t="s">
        <v>131</v>
      </c>
      <c r="L7" s="254" t="s">
        <v>10</v>
      </c>
      <c r="M7" s="254"/>
      <c r="N7" s="254"/>
    </row>
    <row r="8" spans="1:14" s="255" customFormat="1" ht="14.25">
      <c r="A8" s="369"/>
      <c r="B8" s="370"/>
      <c r="C8" s="370"/>
      <c r="D8" s="370"/>
      <c r="E8" s="370"/>
      <c r="F8" s="371"/>
      <c r="G8" s="371"/>
      <c r="H8" s="370"/>
      <c r="I8" s="370"/>
      <c r="J8" s="370"/>
      <c r="K8" s="372"/>
      <c r="L8" s="260" t="s">
        <v>21</v>
      </c>
      <c r="M8" s="260"/>
      <c r="N8" s="260"/>
    </row>
    <row r="9" spans="1:14" s="255" customFormat="1" ht="14.25">
      <c r="A9" s="369"/>
      <c r="B9" s="370"/>
      <c r="C9" s="370"/>
      <c r="D9" s="370"/>
      <c r="E9" s="370"/>
      <c r="F9" s="373" t="s">
        <v>26</v>
      </c>
      <c r="G9" s="373" t="s">
        <v>27</v>
      </c>
      <c r="H9" s="370"/>
      <c r="I9" s="370"/>
      <c r="J9" s="370"/>
      <c r="K9" s="372"/>
      <c r="L9" s="254" t="s">
        <v>31</v>
      </c>
      <c r="M9" s="261" t="s">
        <v>32</v>
      </c>
      <c r="N9" s="262" t="s">
        <v>33</v>
      </c>
    </row>
    <row r="10" spans="1:14" s="270" customFormat="1" ht="14.25">
      <c r="A10" s="369"/>
      <c r="B10" s="370"/>
      <c r="C10" s="370"/>
      <c r="D10" s="370"/>
      <c r="E10" s="370"/>
      <c r="F10" s="373"/>
      <c r="G10" s="373"/>
      <c r="H10" s="370"/>
      <c r="I10" s="370"/>
      <c r="J10" s="370"/>
      <c r="K10" s="372"/>
      <c r="L10" s="268"/>
      <c r="M10" s="269"/>
      <c r="N10" s="268"/>
    </row>
    <row r="11" spans="1:14" s="282" customFormat="1" ht="14.25">
      <c r="A11" s="374" t="s">
        <v>111</v>
      </c>
      <c r="B11" s="272" t="s">
        <v>36</v>
      </c>
      <c r="C11" s="375">
        <v>56000000</v>
      </c>
      <c r="D11" s="274">
        <v>38913</v>
      </c>
      <c r="E11" s="274">
        <v>38366</v>
      </c>
      <c r="F11" s="275" t="s">
        <v>36</v>
      </c>
      <c r="G11" s="276"/>
      <c r="H11" s="375">
        <v>111858740</v>
      </c>
      <c r="I11" s="375">
        <v>67000000</v>
      </c>
      <c r="J11" s="277">
        <v>0.15</v>
      </c>
      <c r="K11" s="278" t="s">
        <v>82</v>
      </c>
      <c r="L11" s="279"/>
      <c r="M11" s="280"/>
      <c r="N11" s="281"/>
    </row>
    <row r="12" spans="1:14" s="282" customFormat="1" ht="14.25">
      <c r="A12" s="374"/>
      <c r="B12" s="272" t="s">
        <v>38</v>
      </c>
      <c r="C12" s="375">
        <v>25000000</v>
      </c>
      <c r="D12" s="274">
        <v>38513</v>
      </c>
      <c r="E12" s="274">
        <v>38135</v>
      </c>
      <c r="F12" s="275" t="s">
        <v>36</v>
      </c>
      <c r="G12" s="276"/>
      <c r="H12" s="375">
        <v>30099571.54</v>
      </c>
      <c r="I12" s="375">
        <v>30099571.54</v>
      </c>
      <c r="J12" s="277">
        <v>0.18</v>
      </c>
      <c r="K12" s="285" t="s">
        <v>39</v>
      </c>
      <c r="L12" s="279"/>
      <c r="M12" s="280"/>
      <c r="N12" s="281" t="s">
        <v>39</v>
      </c>
    </row>
    <row r="13" spans="1:14" s="282" customFormat="1" ht="14.25">
      <c r="A13" s="374"/>
      <c r="B13" s="283" t="s">
        <v>36</v>
      </c>
      <c r="C13" s="375">
        <f>35000000-3414538</f>
        <v>31585462</v>
      </c>
      <c r="D13" s="274">
        <v>38526</v>
      </c>
      <c r="E13" s="274">
        <v>37981</v>
      </c>
      <c r="F13" s="275" t="s">
        <v>36</v>
      </c>
      <c r="G13" s="276"/>
      <c r="H13" s="375">
        <v>83613157</v>
      </c>
      <c r="I13" s="375">
        <v>48347712</v>
      </c>
      <c r="J13" s="284">
        <v>0.195</v>
      </c>
      <c r="K13" s="285" t="s">
        <v>39</v>
      </c>
      <c r="L13" s="279"/>
      <c r="M13" s="280"/>
      <c r="N13" s="281"/>
    </row>
    <row r="14" spans="1:14" s="282" customFormat="1" ht="14.25">
      <c r="A14" s="374"/>
      <c r="B14" s="283" t="s">
        <v>38</v>
      </c>
      <c r="C14" s="375">
        <v>14000000</v>
      </c>
      <c r="D14" s="274" t="s">
        <v>132</v>
      </c>
      <c r="E14" s="274">
        <v>38378</v>
      </c>
      <c r="F14" s="275" t="s">
        <v>80</v>
      </c>
      <c r="G14" s="276"/>
      <c r="H14" s="375">
        <v>14500000</v>
      </c>
      <c r="I14" s="375">
        <v>14500000</v>
      </c>
      <c r="J14" s="284">
        <v>0.21</v>
      </c>
      <c r="K14" s="285" t="s">
        <v>82</v>
      </c>
      <c r="L14" s="279"/>
      <c r="M14" s="280"/>
      <c r="N14" s="281"/>
    </row>
    <row r="15" spans="1:14" s="282" customFormat="1" ht="14.25">
      <c r="A15" s="374"/>
      <c r="B15" s="283" t="s">
        <v>38</v>
      </c>
      <c r="C15" s="375">
        <v>6000000</v>
      </c>
      <c r="D15" s="274" t="s">
        <v>132</v>
      </c>
      <c r="E15" s="274">
        <v>38380</v>
      </c>
      <c r="F15" s="275"/>
      <c r="G15" s="276"/>
      <c r="H15" s="375"/>
      <c r="I15" s="375"/>
      <c r="J15" s="284">
        <v>0.21</v>
      </c>
      <c r="K15" s="285" t="s">
        <v>105</v>
      </c>
      <c r="L15" s="279"/>
      <c r="M15" s="280"/>
      <c r="N15" s="281"/>
    </row>
    <row r="16" spans="1:14" s="282" customFormat="1" ht="14.25">
      <c r="A16" s="374"/>
      <c r="B16" s="283" t="s">
        <v>36</v>
      </c>
      <c r="C16" s="376">
        <v>70000000</v>
      </c>
      <c r="D16" s="377">
        <v>38786</v>
      </c>
      <c r="E16" s="377">
        <v>38429</v>
      </c>
      <c r="F16" s="378" t="s">
        <v>36</v>
      </c>
      <c r="G16" s="379"/>
      <c r="H16" s="376">
        <v>129136700</v>
      </c>
      <c r="I16" s="376">
        <v>100000000</v>
      </c>
      <c r="J16" s="380">
        <v>0.15</v>
      </c>
      <c r="K16" s="381" t="s">
        <v>133</v>
      </c>
      <c r="L16" s="279"/>
      <c r="M16" s="280"/>
      <c r="N16" s="281"/>
    </row>
    <row r="17" spans="1:14" s="282" customFormat="1" ht="14.25">
      <c r="A17" s="374"/>
      <c r="B17" s="382" t="s">
        <v>36</v>
      </c>
      <c r="C17" s="383"/>
      <c r="D17" s="288"/>
      <c r="E17" s="288"/>
      <c r="F17" s="289" t="s">
        <v>36</v>
      </c>
      <c r="G17" s="290">
        <v>255</v>
      </c>
      <c r="H17" s="383">
        <v>15045000</v>
      </c>
      <c r="I17" s="383">
        <v>7522500</v>
      </c>
      <c r="J17" s="291"/>
      <c r="K17" s="292"/>
      <c r="L17" s="279"/>
      <c r="M17" s="280"/>
      <c r="N17" s="281"/>
    </row>
    <row r="18" spans="1:14" s="282" customFormat="1" ht="14.25">
      <c r="A18" s="374"/>
      <c r="B18" s="382"/>
      <c r="C18" s="384">
        <v>15000000</v>
      </c>
      <c r="D18" s="294">
        <v>38704</v>
      </c>
      <c r="E18" s="294">
        <v>38371</v>
      </c>
      <c r="F18" s="295" t="s">
        <v>134</v>
      </c>
      <c r="G18" s="296">
        <v>2192</v>
      </c>
      <c r="H18" s="384">
        <v>68357520</v>
      </c>
      <c r="I18" s="384">
        <v>34178760</v>
      </c>
      <c r="J18" s="297">
        <v>0.18</v>
      </c>
      <c r="K18" s="298" t="s">
        <v>89</v>
      </c>
      <c r="L18" s="279"/>
      <c r="M18" s="280"/>
      <c r="N18" s="281"/>
    </row>
    <row r="19" spans="1:14" s="282" customFormat="1" ht="14.25">
      <c r="A19" s="374"/>
      <c r="B19" s="382"/>
      <c r="C19" s="384">
        <v>15000000</v>
      </c>
      <c r="D19" s="294"/>
      <c r="E19" s="294"/>
      <c r="F19" s="295" t="s">
        <v>36</v>
      </c>
      <c r="G19" s="296">
        <v>119</v>
      </c>
      <c r="H19" s="384">
        <v>7021000</v>
      </c>
      <c r="I19" s="384">
        <v>3510500</v>
      </c>
      <c r="J19" s="297"/>
      <c r="K19" s="298"/>
      <c r="L19" s="279"/>
      <c r="M19" s="280"/>
      <c r="N19" s="281"/>
    </row>
    <row r="20" spans="1:14" s="282" customFormat="1" ht="14.25">
      <c r="A20" s="374"/>
      <c r="B20" s="382"/>
      <c r="C20" s="385">
        <v>15000000</v>
      </c>
      <c r="D20" s="301"/>
      <c r="E20" s="301"/>
      <c r="F20" s="302"/>
      <c r="G20" s="303"/>
      <c r="H20" s="385"/>
      <c r="I20" s="385"/>
      <c r="J20" s="304"/>
      <c r="K20" s="305"/>
      <c r="L20" s="279"/>
      <c r="M20" s="280"/>
      <c r="N20" s="281"/>
    </row>
    <row r="21" spans="1:14" s="282" customFormat="1" ht="14.25">
      <c r="A21" s="374"/>
      <c r="B21" s="379" t="s">
        <v>36</v>
      </c>
      <c r="C21" s="383"/>
      <c r="D21" s="288"/>
      <c r="E21" s="288"/>
      <c r="F21" s="289" t="s">
        <v>108</v>
      </c>
      <c r="G21" s="290">
        <v>7</v>
      </c>
      <c r="H21" s="287" t="s">
        <v>91</v>
      </c>
      <c r="I21" s="383">
        <v>11363700</v>
      </c>
      <c r="J21" s="291"/>
      <c r="K21" s="292"/>
      <c r="L21" s="279"/>
      <c r="M21" s="280"/>
      <c r="N21" s="281"/>
    </row>
    <row r="22" spans="1:14" s="282" customFormat="1" ht="14.25">
      <c r="A22" s="374"/>
      <c r="B22" s="379"/>
      <c r="C22" s="384">
        <v>18000000</v>
      </c>
      <c r="D22" s="294">
        <v>38736</v>
      </c>
      <c r="E22" s="294">
        <v>38366</v>
      </c>
      <c r="F22" s="295" t="s">
        <v>36</v>
      </c>
      <c r="G22" s="296">
        <v>21</v>
      </c>
      <c r="H22" s="384">
        <v>5455800</v>
      </c>
      <c r="I22" s="384">
        <v>2727900</v>
      </c>
      <c r="J22" s="297">
        <v>0.18</v>
      </c>
      <c r="K22" s="298" t="s">
        <v>39</v>
      </c>
      <c r="L22" s="279"/>
      <c r="M22" s="280"/>
      <c r="N22" s="281"/>
    </row>
    <row r="23" spans="1:14" s="282" customFormat="1" ht="14.25">
      <c r="A23" s="374"/>
      <c r="B23" s="379"/>
      <c r="C23" s="385"/>
      <c r="D23" s="301"/>
      <c r="E23" s="301"/>
      <c r="F23" s="302" t="s">
        <v>36</v>
      </c>
      <c r="G23" s="303">
        <v>268</v>
      </c>
      <c r="H23" s="385">
        <v>16080000</v>
      </c>
      <c r="I23" s="385">
        <v>7236000</v>
      </c>
      <c r="J23" s="304"/>
      <c r="K23" s="305"/>
      <c r="L23" s="279"/>
      <c r="M23" s="280"/>
      <c r="N23" s="281"/>
    </row>
    <row r="24" spans="1:14" s="318" customFormat="1" ht="14.25">
      <c r="A24" s="374"/>
      <c r="B24" s="311" t="s">
        <v>41</v>
      </c>
      <c r="C24" s="386">
        <f>SUM(C11:C23)</f>
        <v>265585462</v>
      </c>
      <c r="D24" s="313"/>
      <c r="E24" s="312"/>
      <c r="F24" s="312"/>
      <c r="G24" s="312"/>
      <c r="H24" s="386">
        <f>SUM(H11:H23)</f>
        <v>481167488.53999996</v>
      </c>
      <c r="I24" s="386">
        <f>SUM(I11:I23)</f>
        <v>326486643.53999996</v>
      </c>
      <c r="J24" s="312"/>
      <c r="K24" s="328"/>
      <c r="L24" s="315">
        <f>SUM(L11:L16)</f>
        <v>0</v>
      </c>
      <c r="M24" s="316">
        <f>SUM(M11:M16)</f>
        <v>0</v>
      </c>
      <c r="N24" s="317" t="s">
        <v>42</v>
      </c>
    </row>
    <row r="25" spans="1:14" s="396" customFormat="1" ht="14.25">
      <c r="A25" s="387" t="s">
        <v>107</v>
      </c>
      <c r="B25" s="378" t="s">
        <v>36</v>
      </c>
      <c r="C25" s="388">
        <v>5000000</v>
      </c>
      <c r="D25" s="389">
        <v>38506</v>
      </c>
      <c r="E25" s="389"/>
      <c r="F25" s="382" t="s">
        <v>36</v>
      </c>
      <c r="G25" s="390">
        <v>1</v>
      </c>
      <c r="H25" s="388">
        <v>5460000</v>
      </c>
      <c r="I25" s="388">
        <v>5460000</v>
      </c>
      <c r="J25" s="391"/>
      <c r="K25" s="392"/>
      <c r="L25" s="393"/>
      <c r="M25" s="394"/>
      <c r="N25" s="395"/>
    </row>
    <row r="26" spans="1:14" s="396" customFormat="1" ht="39">
      <c r="A26" s="387"/>
      <c r="B26" s="397" t="s">
        <v>36</v>
      </c>
      <c r="C26" s="394">
        <v>18000000</v>
      </c>
      <c r="D26" s="398">
        <v>38460</v>
      </c>
      <c r="E26" s="398">
        <v>38429</v>
      </c>
      <c r="F26" s="399" t="s">
        <v>36</v>
      </c>
      <c r="G26" s="400">
        <v>1700</v>
      </c>
      <c r="H26" s="394">
        <v>41114500</v>
      </c>
      <c r="I26" s="394">
        <v>18800000</v>
      </c>
      <c r="J26" s="401">
        <v>0.18</v>
      </c>
      <c r="K26" s="298" t="s">
        <v>135</v>
      </c>
      <c r="L26" s="393"/>
      <c r="M26" s="394"/>
      <c r="N26" s="395"/>
    </row>
    <row r="27" spans="1:14" s="282" customFormat="1" ht="14.25">
      <c r="A27" s="387"/>
      <c r="B27" s="326" t="s">
        <v>41</v>
      </c>
      <c r="C27" s="402">
        <f>SUM(C25:C26)</f>
        <v>23000000</v>
      </c>
      <c r="D27" s="327"/>
      <c r="E27" s="327"/>
      <c r="F27" s="327"/>
      <c r="G27" s="327"/>
      <c r="H27" s="402">
        <f>SUM(H25:H25)</f>
        <v>5460000</v>
      </c>
      <c r="I27" s="402">
        <f>SUM(I25:I25)</f>
        <v>5460000</v>
      </c>
      <c r="J27" s="312"/>
      <c r="K27" s="328"/>
      <c r="L27" s="315" t="e">
        <f>SUM(#REF!)</f>
        <v>#REF!</v>
      </c>
      <c r="M27" s="316" t="e">
        <f>SUM(#REF!)</f>
        <v>#REF!</v>
      </c>
      <c r="N27" s="317" t="s">
        <v>42</v>
      </c>
    </row>
    <row r="28" spans="1:14" s="338" customFormat="1" ht="12.75" hidden="1">
      <c r="A28" s="329"/>
      <c r="B28" s="275"/>
      <c r="C28" s="403"/>
      <c r="D28" s="331"/>
      <c r="E28" s="332"/>
      <c r="F28" s="275"/>
      <c r="G28" s="275"/>
      <c r="H28" s="403"/>
      <c r="I28" s="403"/>
      <c r="J28" s="333"/>
      <c r="K28" s="334"/>
      <c r="L28" s="335" t="e">
        <f>C28*J28/365*#REF!</f>
        <v>#REF!</v>
      </c>
      <c r="M28" s="336">
        <v>1272986</v>
      </c>
      <c r="N28" s="337"/>
    </row>
    <row r="29" spans="1:14" s="338" customFormat="1" ht="12.75" hidden="1">
      <c r="A29" s="339"/>
      <c r="B29" s="340"/>
      <c r="C29" s="404"/>
      <c r="D29" s="341"/>
      <c r="E29" s="342"/>
      <c r="F29" s="302"/>
      <c r="G29" s="302"/>
      <c r="H29" s="404"/>
      <c r="I29" s="404"/>
      <c r="J29" s="333"/>
      <c r="K29" s="334"/>
      <c r="L29" s="343"/>
      <c r="M29" s="344"/>
      <c r="N29" s="337"/>
    </row>
    <row r="30" spans="1:14" s="338" customFormat="1" ht="12.75" hidden="1">
      <c r="A30" s="339"/>
      <c r="B30" s="345"/>
      <c r="C30" s="403"/>
      <c r="D30" s="331"/>
      <c r="E30" s="332"/>
      <c r="F30" s="275"/>
      <c r="G30" s="275"/>
      <c r="H30" s="403"/>
      <c r="I30" s="403"/>
      <c r="J30" s="346"/>
      <c r="K30" s="334"/>
      <c r="L30" s="335" t="e">
        <f>C30*J30/365*#REF!</f>
        <v>#REF!</v>
      </c>
      <c r="M30" s="344">
        <v>0</v>
      </c>
      <c r="N30" s="337"/>
    </row>
    <row r="31" spans="1:14" s="282" customFormat="1" ht="12.75" hidden="1">
      <c r="A31" s="310"/>
      <c r="B31" s="311" t="s">
        <v>41</v>
      </c>
      <c r="C31" s="386">
        <f>SUM(C28:C30)</f>
        <v>0</v>
      </c>
      <c r="D31" s="312"/>
      <c r="E31" s="312"/>
      <c r="F31" s="312"/>
      <c r="G31" s="312"/>
      <c r="H31" s="386">
        <f>SUM(H28:H30)</f>
        <v>0</v>
      </c>
      <c r="I31" s="386">
        <f>SUM(I28:I30)</f>
        <v>0</v>
      </c>
      <c r="J31" s="312"/>
      <c r="K31" s="314"/>
      <c r="L31" s="315" t="e">
        <f>SUM(L28:L30)</f>
        <v>#REF!</v>
      </c>
      <c r="M31" s="316">
        <f>SUM(M28:M30)</f>
        <v>1272986</v>
      </c>
      <c r="N31" s="317" t="s">
        <v>42</v>
      </c>
    </row>
    <row r="32" spans="1:14" s="354" customFormat="1" ht="14.25">
      <c r="A32" s="347" t="s">
        <v>59</v>
      </c>
      <c r="B32" s="347"/>
      <c r="C32" s="405">
        <f>C24+C27</f>
        <v>288585462</v>
      </c>
      <c r="D32" s="348"/>
      <c r="E32" s="348"/>
      <c r="F32" s="348"/>
      <c r="G32" s="348"/>
      <c r="H32" s="405">
        <f>H24+H27</f>
        <v>486627488.53999996</v>
      </c>
      <c r="I32" s="405">
        <f>I24+I27</f>
        <v>331946643.53999996</v>
      </c>
      <c r="J32" s="406"/>
      <c r="K32" s="407"/>
      <c r="L32" s="351" t="e">
        <f>L24+L27+L31+#REF!+#REF!</f>
        <v>#REF!</v>
      </c>
      <c r="M32" s="352" t="e">
        <f>M24+M27+M31+#REF!+#REF!</f>
        <v>#REF!</v>
      </c>
      <c r="N32" s="353" t="s">
        <v>42</v>
      </c>
    </row>
    <row r="33" spans="1:11" s="282" customFormat="1" ht="14.25">
      <c r="A33" s="355"/>
      <c r="B33" s="355"/>
      <c r="C33" s="356"/>
      <c r="D33" s="357"/>
      <c r="E33" s="358"/>
      <c r="F33" s="358"/>
      <c r="G33" s="358"/>
      <c r="H33" s="358"/>
      <c r="I33" s="358"/>
      <c r="J33" s="358"/>
      <c r="K33" s="358"/>
    </row>
    <row r="34" spans="1:11" s="282" customFormat="1" ht="14.25">
      <c r="A34" s="196"/>
      <c r="B34" s="355"/>
      <c r="C34" s="355"/>
      <c r="D34" s="357"/>
      <c r="E34" s="358"/>
      <c r="F34" s="358"/>
      <c r="G34" s="358"/>
      <c r="H34" s="358"/>
      <c r="I34" s="358"/>
      <c r="J34" s="358"/>
      <c r="K34" s="358"/>
    </row>
    <row r="35" spans="1:11" s="282" customFormat="1" ht="14.25">
      <c r="A35" s="359"/>
      <c r="B35" s="196" t="s">
        <v>136</v>
      </c>
      <c r="C35" s="355">
        <f>C36+C37</f>
        <v>38000000</v>
      </c>
      <c r="D35" s="357"/>
      <c r="E35" s="358"/>
      <c r="F35" s="358"/>
      <c r="G35" s="358"/>
      <c r="H35" s="358"/>
      <c r="I35" s="358"/>
      <c r="J35" s="358"/>
      <c r="K35" s="358"/>
    </row>
    <row r="36" spans="1:11" s="282" customFormat="1" ht="14.25">
      <c r="A36" s="359"/>
      <c r="B36" s="196" t="s">
        <v>80</v>
      </c>
      <c r="C36" s="355">
        <v>20000000</v>
      </c>
      <c r="D36" s="357"/>
      <c r="E36" s="358"/>
      <c r="F36" s="358"/>
      <c r="G36" s="358"/>
      <c r="H36" s="358"/>
      <c r="I36" s="358"/>
      <c r="J36" s="358"/>
      <c r="K36" s="358"/>
    </row>
    <row r="37" spans="1:11" s="282" customFormat="1" ht="14.25">
      <c r="A37" s="359"/>
      <c r="B37" s="360" t="s">
        <v>36</v>
      </c>
      <c r="C37" s="408">
        <v>18000000</v>
      </c>
      <c r="D37" s="364"/>
      <c r="E37" s="358"/>
      <c r="F37" s="358"/>
      <c r="G37" s="358"/>
      <c r="H37" s="358"/>
      <c r="I37" s="358"/>
      <c r="J37" s="358"/>
      <c r="K37" s="358"/>
    </row>
    <row r="38" spans="1:11" ht="14.25">
      <c r="A38" s="203"/>
      <c r="B38" s="360"/>
      <c r="C38" s="361"/>
      <c r="D38" s="203"/>
      <c r="E38" s="132"/>
      <c r="F38" s="132"/>
      <c r="G38" s="132"/>
      <c r="H38" s="132"/>
      <c r="I38" s="132"/>
      <c r="J38" s="132"/>
      <c r="K38" s="132"/>
    </row>
    <row r="39" spans="1:11" ht="14.25">
      <c r="A39" s="203"/>
      <c r="B39" s="360"/>
      <c r="C39" s="361"/>
      <c r="D39" s="203"/>
      <c r="E39" s="132"/>
      <c r="F39" s="132"/>
      <c r="G39" s="132"/>
      <c r="H39" s="132"/>
      <c r="I39" s="132"/>
      <c r="J39" s="132"/>
      <c r="K39" s="132"/>
    </row>
    <row r="40" spans="1:11" ht="51" customHeight="1">
      <c r="A40" s="204"/>
      <c r="B40" s="360"/>
      <c r="C40" s="361"/>
      <c r="D40" s="195"/>
      <c r="E40" s="132"/>
      <c r="F40" s="132"/>
      <c r="G40" s="132"/>
      <c r="H40" s="132"/>
      <c r="I40" s="132"/>
      <c r="J40" s="132"/>
      <c r="K40" s="132"/>
    </row>
    <row r="41" spans="1:11" s="207" customFormat="1" ht="16.5">
      <c r="A41" s="409" t="s">
        <v>111</v>
      </c>
      <c r="B41" s="409"/>
      <c r="C41" s="409"/>
      <c r="D41" s="409"/>
      <c r="E41" s="409"/>
      <c r="F41" s="409"/>
      <c r="G41" s="409"/>
      <c r="H41" s="409"/>
      <c r="I41" s="409"/>
      <c r="J41" s="409"/>
      <c r="K41" s="409"/>
    </row>
    <row r="44" ht="36.75" customHeight="1"/>
    <row r="46" spans="1:2" ht="14.25">
      <c r="A46" s="362" t="s">
        <v>61</v>
      </c>
      <c r="B46" s="363"/>
    </row>
    <row r="47" spans="1:2" ht="14.25">
      <c r="A47" s="362" t="s">
        <v>107</v>
      </c>
      <c r="B47" s="362"/>
    </row>
    <row r="48" ht="14.25">
      <c r="A48" s="208"/>
    </row>
  </sheetData>
  <mergeCells count="26">
    <mergeCell ref="A1:K1"/>
    <mergeCell ref="A2:K2"/>
    <mergeCell ref="A5:K5"/>
    <mergeCell ref="A7:A10"/>
    <mergeCell ref="B7:B10"/>
    <mergeCell ref="C7:C10"/>
    <mergeCell ref="D7:D10"/>
    <mergeCell ref="E7:E10"/>
    <mergeCell ref="F7:G8"/>
    <mergeCell ref="H7:H10"/>
    <mergeCell ref="I7:I10"/>
    <mergeCell ref="J7:J10"/>
    <mergeCell ref="K7:K10"/>
    <mergeCell ref="L7:N7"/>
    <mergeCell ref="L8:N8"/>
    <mergeCell ref="F9:F10"/>
    <mergeCell ref="G9:G10"/>
    <mergeCell ref="A11:A24"/>
    <mergeCell ref="B17:B20"/>
    <mergeCell ref="B21:B23"/>
    <mergeCell ref="A25:A27"/>
    <mergeCell ref="J28:J29"/>
    <mergeCell ref="K28:K30"/>
    <mergeCell ref="A32:B32"/>
    <mergeCell ref="A33:B33"/>
    <mergeCell ref="A41:K41"/>
  </mergeCells>
  <printOptions horizontalCentered="1"/>
  <pageMargins left="0.3902777777777778" right="0.5097222222222222" top="0.8597222222222223" bottom="0.5097222222222222" header="0.5118055555555555" footer="0.5118055555555555"/>
  <pageSetup cellComments="atEnd"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workbookViewId="0" topLeftCell="A19">
      <selection activeCell="A47" sqref="A47"/>
    </sheetView>
  </sheetViews>
  <sheetFormatPr defaultColWidth="9.00390625" defaultRowHeight="12.75"/>
  <cols>
    <col min="1" max="1" width="30.875" style="1" customWidth="1"/>
    <col min="2" max="2" width="27.00390625" style="0" customWidth="1"/>
    <col min="3" max="3" width="14.375" style="0" customWidth="1"/>
    <col min="4" max="4" width="13.875" style="2" customWidth="1"/>
    <col min="5" max="5" width="14.875" style="0" customWidth="1"/>
    <col min="6" max="6" width="39.875" style="0" customWidth="1"/>
    <col min="7" max="7" width="8.25390625" style="0" customWidth="1"/>
    <col min="8" max="8" width="15.625" style="0" customWidth="1"/>
    <col min="9" max="9" width="14.625" style="0" customWidth="1"/>
    <col min="10" max="10" width="10.625" style="0" customWidth="1"/>
    <col min="11" max="11" width="31.625" style="0" customWidth="1"/>
    <col min="12" max="14" width="0" style="0" hidden="1" customWidth="1"/>
    <col min="15" max="15" width="22.00390625" style="0" customWidth="1"/>
  </cols>
  <sheetData>
    <row r="1" spans="1:11" ht="16.5">
      <c r="A1" s="365" t="s">
        <v>119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1" ht="16.5">
      <c r="A2" s="365" t="s">
        <v>111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 ht="16.5">
      <c r="A3" s="366"/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11" ht="16.5">
      <c r="A4" s="366"/>
      <c r="B4" s="366"/>
      <c r="C4" s="366"/>
      <c r="D4" s="366"/>
      <c r="E4" s="366"/>
      <c r="F4" s="366"/>
      <c r="G4" s="366"/>
      <c r="H4" s="366"/>
      <c r="I4" s="366"/>
      <c r="J4" s="366"/>
      <c r="K4" s="366"/>
    </row>
    <row r="5" spans="1:11" ht="12">
      <c r="A5" s="367"/>
      <c r="B5" s="367"/>
      <c r="C5" s="367"/>
      <c r="D5" s="367"/>
      <c r="E5" s="367"/>
      <c r="F5" s="367"/>
      <c r="G5" s="367"/>
      <c r="H5" s="367"/>
      <c r="I5" s="367"/>
      <c r="J5" s="367"/>
      <c r="K5" s="367"/>
    </row>
    <row r="6" ht="12">
      <c r="K6" s="368" t="s">
        <v>121</v>
      </c>
    </row>
    <row r="7" spans="1:14" s="255" customFormat="1" ht="14.25">
      <c r="A7" s="369" t="s">
        <v>122</v>
      </c>
      <c r="B7" s="370" t="s">
        <v>123</v>
      </c>
      <c r="C7" s="370" t="s">
        <v>124</v>
      </c>
      <c r="D7" s="370" t="s">
        <v>125</v>
      </c>
      <c r="E7" s="370" t="s">
        <v>126</v>
      </c>
      <c r="F7" s="371" t="s">
        <v>127</v>
      </c>
      <c r="G7" s="371"/>
      <c r="H7" s="370" t="s">
        <v>128</v>
      </c>
      <c r="I7" s="370" t="s">
        <v>129</v>
      </c>
      <c r="J7" s="370" t="s">
        <v>130</v>
      </c>
      <c r="K7" s="372" t="s">
        <v>131</v>
      </c>
      <c r="L7" s="254" t="s">
        <v>10</v>
      </c>
      <c r="M7" s="254"/>
      <c r="N7" s="254"/>
    </row>
    <row r="8" spans="1:14" s="255" customFormat="1" ht="14.25">
      <c r="A8" s="369"/>
      <c r="B8" s="370"/>
      <c r="C8" s="370"/>
      <c r="D8" s="370"/>
      <c r="E8" s="370"/>
      <c r="F8" s="371"/>
      <c r="G8" s="371"/>
      <c r="H8" s="370"/>
      <c r="I8" s="370"/>
      <c r="J8" s="370"/>
      <c r="K8" s="372"/>
      <c r="L8" s="260" t="s">
        <v>21</v>
      </c>
      <c r="M8" s="260"/>
      <c r="N8" s="260"/>
    </row>
    <row r="9" spans="1:14" s="255" customFormat="1" ht="14.25">
      <c r="A9" s="369"/>
      <c r="B9" s="370"/>
      <c r="C9" s="370"/>
      <c r="D9" s="370"/>
      <c r="E9" s="370"/>
      <c r="F9" s="373" t="s">
        <v>26</v>
      </c>
      <c r="G9" s="373" t="s">
        <v>27</v>
      </c>
      <c r="H9" s="370"/>
      <c r="I9" s="370"/>
      <c r="J9" s="370"/>
      <c r="K9" s="372"/>
      <c r="L9" s="254" t="s">
        <v>31</v>
      </c>
      <c r="M9" s="261" t="s">
        <v>32</v>
      </c>
      <c r="N9" s="262" t="s">
        <v>33</v>
      </c>
    </row>
    <row r="10" spans="1:14" s="270" customFormat="1" ht="14.25">
      <c r="A10" s="369"/>
      <c r="B10" s="370"/>
      <c r="C10" s="370"/>
      <c r="D10" s="370"/>
      <c r="E10" s="370"/>
      <c r="F10" s="373"/>
      <c r="G10" s="373"/>
      <c r="H10" s="370"/>
      <c r="I10" s="370"/>
      <c r="J10" s="370"/>
      <c r="K10" s="372"/>
      <c r="L10" s="268"/>
      <c r="M10" s="269"/>
      <c r="N10" s="268"/>
    </row>
    <row r="11" spans="1:14" s="282" customFormat="1" ht="21" customHeight="1">
      <c r="A11" s="374" t="s">
        <v>80</v>
      </c>
      <c r="B11" s="410" t="s">
        <v>137</v>
      </c>
      <c r="C11" s="411">
        <v>56000000</v>
      </c>
      <c r="D11" s="412">
        <v>38913</v>
      </c>
      <c r="E11" s="413">
        <v>38366</v>
      </c>
      <c r="F11" s="414" t="s">
        <v>36</v>
      </c>
      <c r="G11" s="415">
        <f>25+40+134+52</f>
        <v>251</v>
      </c>
      <c r="H11" s="416">
        <f>2659200+2137000+2800600+2600000</f>
        <v>10196800</v>
      </c>
      <c r="I11" s="417">
        <f>1279998.33+1592780.32+1677474.64+1557321.31</f>
        <v>6107574.6</v>
      </c>
      <c r="J11" s="418">
        <v>0.15</v>
      </c>
      <c r="K11" s="419" t="s">
        <v>82</v>
      </c>
      <c r="L11" s="279"/>
      <c r="M11" s="280"/>
      <c r="N11" s="281"/>
    </row>
    <row r="12" spans="1:14" s="282" customFormat="1" ht="15.75" customHeight="1">
      <c r="A12" s="374"/>
      <c r="B12" s="410"/>
      <c r="C12" s="411"/>
      <c r="D12" s="412"/>
      <c r="E12" s="412"/>
      <c r="F12" s="302" t="s">
        <v>36</v>
      </c>
      <c r="G12" s="303">
        <f>3000+2000+8590+15000</f>
        <v>28590</v>
      </c>
      <c r="H12" s="385">
        <f>2358000+62370000+11733940+25200000</f>
        <v>101661940</v>
      </c>
      <c r="I12" s="385">
        <f>1412370.64+37357742.45+7028274.95+15094037.35</f>
        <v>60892425.39000001</v>
      </c>
      <c r="J12" s="418"/>
      <c r="K12" s="418"/>
      <c r="L12" s="279"/>
      <c r="M12" s="280"/>
      <c r="N12" s="281"/>
    </row>
    <row r="13" spans="1:14" s="282" customFormat="1" ht="14.25">
      <c r="A13" s="374"/>
      <c r="B13" s="272" t="s">
        <v>137</v>
      </c>
      <c r="C13" s="375">
        <v>25000000</v>
      </c>
      <c r="D13" s="274">
        <v>38513</v>
      </c>
      <c r="E13" s="274">
        <v>38135</v>
      </c>
      <c r="F13" s="275" t="s">
        <v>36</v>
      </c>
      <c r="G13" s="276"/>
      <c r="H13" s="375">
        <v>30099571.54</v>
      </c>
      <c r="I13" s="375">
        <v>30099571.54</v>
      </c>
      <c r="J13" s="277">
        <v>0.18</v>
      </c>
      <c r="K13" s="285" t="s">
        <v>39</v>
      </c>
      <c r="L13" s="279"/>
      <c r="M13" s="280"/>
      <c r="N13" s="281" t="s">
        <v>39</v>
      </c>
    </row>
    <row r="14" spans="1:14" s="282" customFormat="1" ht="14.25">
      <c r="A14" s="374"/>
      <c r="B14" s="283" t="s">
        <v>138</v>
      </c>
      <c r="C14" s="375">
        <f>35000000-3414538</f>
        <v>31585462</v>
      </c>
      <c r="D14" s="274">
        <v>38526</v>
      </c>
      <c r="E14" s="274">
        <v>37981</v>
      </c>
      <c r="F14" s="275" t="s">
        <v>44</v>
      </c>
      <c r="G14" s="276"/>
      <c r="H14" s="375">
        <v>83613157</v>
      </c>
      <c r="I14" s="375">
        <v>48347712</v>
      </c>
      <c r="J14" s="284">
        <v>0.195</v>
      </c>
      <c r="K14" s="285" t="s">
        <v>39</v>
      </c>
      <c r="L14" s="279"/>
      <c r="M14" s="280"/>
      <c r="N14" s="281"/>
    </row>
    <row r="15" spans="1:14" s="282" customFormat="1" ht="14.25">
      <c r="A15" s="374"/>
      <c r="B15" s="283" t="s">
        <v>138</v>
      </c>
      <c r="C15" s="376">
        <v>70000000</v>
      </c>
      <c r="D15" s="377">
        <v>38786</v>
      </c>
      <c r="E15" s="377">
        <v>38429</v>
      </c>
      <c r="F15" s="378" t="s">
        <v>36</v>
      </c>
      <c r="G15" s="379"/>
      <c r="H15" s="376">
        <v>129136700</v>
      </c>
      <c r="I15" s="376">
        <v>100000000</v>
      </c>
      <c r="J15" s="380">
        <v>0.15</v>
      </c>
      <c r="K15" s="381" t="s">
        <v>133</v>
      </c>
      <c r="L15" s="279"/>
      <c r="M15" s="280"/>
      <c r="N15" s="281"/>
    </row>
    <row r="16" spans="1:14" s="282" customFormat="1" ht="14.25">
      <c r="A16" s="374"/>
      <c r="B16" s="382" t="s">
        <v>139</v>
      </c>
      <c r="C16" s="383"/>
      <c r="D16" s="288"/>
      <c r="E16" s="288"/>
      <c r="F16" s="289" t="s">
        <v>36</v>
      </c>
      <c r="G16" s="290">
        <v>255</v>
      </c>
      <c r="H16" s="383">
        <v>15045000</v>
      </c>
      <c r="I16" s="383">
        <v>7522500</v>
      </c>
      <c r="J16" s="291"/>
      <c r="K16" s="292"/>
      <c r="L16" s="279"/>
      <c r="M16" s="280"/>
      <c r="N16" s="281"/>
    </row>
    <row r="17" spans="1:14" s="282" customFormat="1" ht="14.25">
      <c r="A17" s="374"/>
      <c r="B17" s="382"/>
      <c r="C17" s="384">
        <v>15000000</v>
      </c>
      <c r="D17" s="294">
        <v>38704</v>
      </c>
      <c r="E17" s="294">
        <v>38371</v>
      </c>
      <c r="F17" s="295" t="s">
        <v>38</v>
      </c>
      <c r="G17" s="296">
        <v>2192</v>
      </c>
      <c r="H17" s="384">
        <v>68357520</v>
      </c>
      <c r="I17" s="384">
        <v>34178760</v>
      </c>
      <c r="J17" s="297">
        <v>0.18</v>
      </c>
      <c r="K17" s="298" t="s">
        <v>89</v>
      </c>
      <c r="L17" s="279"/>
      <c r="M17" s="280"/>
      <c r="N17" s="281"/>
    </row>
    <row r="18" spans="1:14" s="282" customFormat="1" ht="14.25">
      <c r="A18" s="374"/>
      <c r="B18" s="382"/>
      <c r="C18" s="384">
        <v>15000000</v>
      </c>
      <c r="D18" s="294"/>
      <c r="E18" s="294"/>
      <c r="F18" s="295" t="s">
        <v>36</v>
      </c>
      <c r="G18" s="296">
        <v>119</v>
      </c>
      <c r="H18" s="384">
        <v>7021000</v>
      </c>
      <c r="I18" s="384">
        <v>3510500</v>
      </c>
      <c r="J18" s="297"/>
      <c r="K18" s="298"/>
      <c r="L18" s="279"/>
      <c r="M18" s="280"/>
      <c r="N18" s="281"/>
    </row>
    <row r="19" spans="1:14" s="282" customFormat="1" ht="14.25">
      <c r="A19" s="374"/>
      <c r="B19" s="382"/>
      <c r="C19" s="385">
        <v>15000000</v>
      </c>
      <c r="D19" s="301"/>
      <c r="E19" s="301"/>
      <c r="F19" s="302"/>
      <c r="G19" s="303"/>
      <c r="H19" s="385"/>
      <c r="I19" s="385"/>
      <c r="J19" s="304"/>
      <c r="K19" s="305"/>
      <c r="L19" s="279"/>
      <c r="M19" s="280"/>
      <c r="N19" s="281"/>
    </row>
    <row r="20" spans="1:14" s="282" customFormat="1" ht="14.25">
      <c r="A20" s="374"/>
      <c r="B20" s="379" t="s">
        <v>36</v>
      </c>
      <c r="C20" s="383"/>
      <c r="D20" s="288"/>
      <c r="E20" s="288"/>
      <c r="F20" s="289" t="s">
        <v>36</v>
      </c>
      <c r="G20" s="290">
        <v>7</v>
      </c>
      <c r="H20" s="287">
        <v>19088000</v>
      </c>
      <c r="I20" s="383">
        <v>11363700</v>
      </c>
      <c r="J20" s="291"/>
      <c r="K20" s="292"/>
      <c r="L20" s="279"/>
      <c r="M20" s="280"/>
      <c r="N20" s="281"/>
    </row>
    <row r="21" spans="1:14" s="282" customFormat="1" ht="14.25">
      <c r="A21" s="374"/>
      <c r="B21" s="379"/>
      <c r="C21" s="384">
        <v>18000000</v>
      </c>
      <c r="D21" s="294">
        <v>38736</v>
      </c>
      <c r="E21" s="294">
        <v>38366</v>
      </c>
      <c r="F21" s="295" t="s">
        <v>140</v>
      </c>
      <c r="G21" s="296">
        <v>21</v>
      </c>
      <c r="H21" s="280">
        <v>5455800</v>
      </c>
      <c r="I21" s="384">
        <v>2727900</v>
      </c>
      <c r="J21" s="297">
        <v>0.18</v>
      </c>
      <c r="K21" s="298" t="s">
        <v>39</v>
      </c>
      <c r="L21" s="279"/>
      <c r="M21" s="280"/>
      <c r="N21" s="281"/>
    </row>
    <row r="22" spans="1:14" s="282" customFormat="1" ht="14.25">
      <c r="A22" s="374"/>
      <c r="B22" s="379"/>
      <c r="C22" s="385"/>
      <c r="D22" s="301"/>
      <c r="E22" s="301"/>
      <c r="F22" s="302" t="s">
        <v>141</v>
      </c>
      <c r="G22" s="303">
        <v>268</v>
      </c>
      <c r="H22" s="300">
        <v>16080000</v>
      </c>
      <c r="I22" s="385">
        <v>7236000</v>
      </c>
      <c r="J22" s="304"/>
      <c r="K22" s="305"/>
      <c r="L22" s="279"/>
      <c r="M22" s="280"/>
      <c r="N22" s="281"/>
    </row>
    <row r="23" spans="1:14" s="318" customFormat="1" ht="14.25">
      <c r="A23" s="374"/>
      <c r="B23" s="311" t="s">
        <v>41</v>
      </c>
      <c r="C23" s="386">
        <f>SUM(C11:C22)</f>
        <v>245585462</v>
      </c>
      <c r="D23" s="313"/>
      <c r="E23" s="312"/>
      <c r="F23" s="312"/>
      <c r="G23" s="312"/>
      <c r="H23" s="386">
        <f>SUM(H11:H22)</f>
        <v>485755488.53999996</v>
      </c>
      <c r="I23" s="386">
        <f>SUM(I11:I22)</f>
        <v>311986643.53000003</v>
      </c>
      <c r="J23" s="312"/>
      <c r="K23" s="328"/>
      <c r="L23" s="315">
        <f>SUM(L11:L15)</f>
        <v>0</v>
      </c>
      <c r="M23" s="316">
        <f>SUM(M11:M15)</f>
        <v>0</v>
      </c>
      <c r="N23" s="317" t="s">
        <v>42</v>
      </c>
    </row>
    <row r="24" spans="1:14" s="396" customFormat="1" ht="14.25">
      <c r="A24" s="420" t="s">
        <v>101</v>
      </c>
      <c r="B24" s="378" t="s">
        <v>110</v>
      </c>
      <c r="C24" s="388">
        <v>5000000</v>
      </c>
      <c r="D24" s="389">
        <v>38506</v>
      </c>
      <c r="E24" s="389"/>
      <c r="F24" s="382" t="s">
        <v>36</v>
      </c>
      <c r="G24" s="390">
        <v>1</v>
      </c>
      <c r="H24" s="388">
        <v>5460000</v>
      </c>
      <c r="I24" s="388">
        <v>5460000</v>
      </c>
      <c r="J24" s="391"/>
      <c r="K24" s="392"/>
      <c r="L24" s="393"/>
      <c r="M24" s="394"/>
      <c r="N24" s="395"/>
    </row>
    <row r="25" spans="1:14" s="396" customFormat="1" ht="14.25">
      <c r="A25" s="420"/>
      <c r="B25" s="397" t="s">
        <v>36</v>
      </c>
      <c r="C25" s="376">
        <v>30000000</v>
      </c>
      <c r="D25" s="377">
        <v>38806</v>
      </c>
      <c r="E25" s="377">
        <v>38442</v>
      </c>
      <c r="F25" s="382" t="s">
        <v>72</v>
      </c>
      <c r="G25" s="390">
        <v>1</v>
      </c>
      <c r="H25" s="376">
        <v>45000000</v>
      </c>
      <c r="I25" s="376">
        <v>45000000</v>
      </c>
      <c r="J25" s="380">
        <v>0.15</v>
      </c>
      <c r="K25" s="278" t="s">
        <v>82</v>
      </c>
      <c r="L25" s="393"/>
      <c r="M25" s="394"/>
      <c r="N25" s="395"/>
    </row>
    <row r="26" spans="1:14" s="396" customFormat="1" ht="14.25">
      <c r="A26" s="420"/>
      <c r="B26" s="272" t="s">
        <v>38</v>
      </c>
      <c r="C26" s="394">
        <v>37000000</v>
      </c>
      <c r="D26" s="398">
        <v>39018</v>
      </c>
      <c r="E26" s="398">
        <v>38447</v>
      </c>
      <c r="F26" s="399" t="s">
        <v>36</v>
      </c>
      <c r="G26" s="400"/>
      <c r="H26" s="394">
        <f>97466554.88</f>
        <v>97466554.88</v>
      </c>
      <c r="I26" s="394">
        <f>45000000*1.18</f>
        <v>53100000</v>
      </c>
      <c r="J26" s="401">
        <v>0.15</v>
      </c>
      <c r="K26" s="298" t="s">
        <v>142</v>
      </c>
      <c r="L26" s="393"/>
      <c r="M26" s="394"/>
      <c r="N26" s="395"/>
    </row>
    <row r="27" spans="1:14" s="282" customFormat="1" ht="14.25">
      <c r="A27" s="420"/>
      <c r="B27" s="326" t="s">
        <v>41</v>
      </c>
      <c r="C27" s="402">
        <f>SUM(C24:C26)</f>
        <v>72000000</v>
      </c>
      <c r="D27" s="327"/>
      <c r="E27" s="327"/>
      <c r="F27" s="327"/>
      <c r="G27" s="327"/>
      <c r="H27" s="402">
        <f>SUM(H24:H26)</f>
        <v>147926554.88</v>
      </c>
      <c r="I27" s="402">
        <f>SUM(I24:I26)</f>
        <v>103560000</v>
      </c>
      <c r="J27" s="312"/>
      <c r="K27" s="328"/>
      <c r="L27" s="315" t="e">
        <f>SUM(#REF!)</f>
        <v>#REF!</v>
      </c>
      <c r="M27" s="316" t="e">
        <f>SUM(#REF!)</f>
        <v>#REF!</v>
      </c>
      <c r="N27" s="317" t="s">
        <v>42</v>
      </c>
    </row>
    <row r="28" spans="1:14" s="338" customFormat="1" ht="12.75" hidden="1">
      <c r="A28" s="329"/>
      <c r="B28" s="275"/>
      <c r="C28" s="403"/>
      <c r="D28" s="331"/>
      <c r="E28" s="332"/>
      <c r="F28" s="275"/>
      <c r="G28" s="275"/>
      <c r="H28" s="403"/>
      <c r="I28" s="403"/>
      <c r="J28" s="333"/>
      <c r="K28" s="334"/>
      <c r="L28" s="335" t="e">
        <f>C28*J28/365*#REF!</f>
        <v>#REF!</v>
      </c>
      <c r="M28" s="336">
        <v>1272986</v>
      </c>
      <c r="N28" s="337"/>
    </row>
    <row r="29" spans="1:14" s="338" customFormat="1" ht="12.75" hidden="1">
      <c r="A29" s="339"/>
      <c r="B29" s="340"/>
      <c r="C29" s="404"/>
      <c r="D29" s="341"/>
      <c r="E29" s="342"/>
      <c r="F29" s="302"/>
      <c r="G29" s="302"/>
      <c r="H29" s="404"/>
      <c r="I29" s="404"/>
      <c r="J29" s="333"/>
      <c r="K29" s="334"/>
      <c r="L29" s="343"/>
      <c r="M29" s="344"/>
      <c r="N29" s="337"/>
    </row>
    <row r="30" spans="1:14" s="338" customFormat="1" ht="12.75" hidden="1">
      <c r="A30" s="339"/>
      <c r="B30" s="345"/>
      <c r="C30" s="403"/>
      <c r="D30" s="331"/>
      <c r="E30" s="332"/>
      <c r="F30" s="275"/>
      <c r="G30" s="275"/>
      <c r="H30" s="403"/>
      <c r="I30" s="403"/>
      <c r="J30" s="346"/>
      <c r="K30" s="334"/>
      <c r="L30" s="335" t="e">
        <f>C30*J30/365*#REF!</f>
        <v>#REF!</v>
      </c>
      <c r="M30" s="344">
        <v>0</v>
      </c>
      <c r="N30" s="337"/>
    </row>
    <row r="31" spans="1:14" s="282" customFormat="1" ht="12.75" hidden="1">
      <c r="A31" s="310"/>
      <c r="B31" s="311" t="s">
        <v>41</v>
      </c>
      <c r="C31" s="386">
        <f>SUM(C28:C30)</f>
        <v>0</v>
      </c>
      <c r="D31" s="312"/>
      <c r="E31" s="312"/>
      <c r="F31" s="312"/>
      <c r="G31" s="312"/>
      <c r="H31" s="386">
        <f>SUM(H28:H30)</f>
        <v>0</v>
      </c>
      <c r="I31" s="386">
        <f>SUM(I28:I30)</f>
        <v>0</v>
      </c>
      <c r="J31" s="312"/>
      <c r="K31" s="314"/>
      <c r="L31" s="315" t="e">
        <f>SUM(L28:L30)</f>
        <v>#REF!</v>
      </c>
      <c r="M31" s="316">
        <f>SUM(M28:M30)</f>
        <v>1272986</v>
      </c>
      <c r="N31" s="317" t="s">
        <v>42</v>
      </c>
    </row>
    <row r="32" spans="1:14" s="354" customFormat="1" ht="14.25">
      <c r="A32" s="347" t="s">
        <v>59</v>
      </c>
      <c r="B32" s="347"/>
      <c r="C32" s="405">
        <f>C23+C27</f>
        <v>317585462</v>
      </c>
      <c r="D32" s="348"/>
      <c r="E32" s="348"/>
      <c r="F32" s="348"/>
      <c r="G32" s="348"/>
      <c r="H32" s="405">
        <f>H23+H27</f>
        <v>633682043.42</v>
      </c>
      <c r="I32" s="405">
        <f>I23+I27</f>
        <v>415546643.53000003</v>
      </c>
      <c r="J32" s="406"/>
      <c r="K32" s="407"/>
      <c r="L32" s="351" t="e">
        <f>L23+L27+L31+#REF!+#REF!</f>
        <v>#REF!</v>
      </c>
      <c r="M32" s="352" t="e">
        <f>M23+M27+M31+#REF!+#REF!</f>
        <v>#REF!</v>
      </c>
      <c r="N32" s="353" t="s">
        <v>42</v>
      </c>
    </row>
    <row r="33" spans="1:11" s="282" customFormat="1" ht="14.25">
      <c r="A33" s="355"/>
      <c r="B33" s="355"/>
      <c r="C33" s="356"/>
      <c r="D33" s="357"/>
      <c r="E33" s="358"/>
      <c r="F33" s="358"/>
      <c r="G33" s="358"/>
      <c r="H33" s="358"/>
      <c r="I33" s="358"/>
      <c r="J33" s="358"/>
      <c r="K33" s="358"/>
    </row>
    <row r="34" spans="1:11" s="282" customFormat="1" ht="14.25">
      <c r="A34" s="196"/>
      <c r="B34" s="355"/>
      <c r="C34" s="355"/>
      <c r="D34" s="357"/>
      <c r="E34" s="358"/>
      <c r="F34" s="358"/>
      <c r="G34" s="358"/>
      <c r="H34" s="358"/>
      <c r="I34" s="358"/>
      <c r="J34" s="358"/>
      <c r="K34" s="358"/>
    </row>
    <row r="35" spans="1:11" s="282" customFormat="1" ht="14.25">
      <c r="A35" s="359"/>
      <c r="B35" s="196" t="s">
        <v>143</v>
      </c>
      <c r="C35" s="355">
        <f>C36+C37</f>
        <v>0</v>
      </c>
      <c r="D35" s="357"/>
      <c r="E35" s="358"/>
      <c r="F35" s="358"/>
      <c r="G35" s="358"/>
      <c r="H35" s="358"/>
      <c r="I35" s="358"/>
      <c r="J35" s="358"/>
      <c r="K35" s="358"/>
    </row>
    <row r="36" spans="1:11" s="282" customFormat="1" ht="14.25">
      <c r="A36" s="359"/>
      <c r="B36" s="196" t="s">
        <v>144</v>
      </c>
      <c r="C36" s="355">
        <v>0</v>
      </c>
      <c r="D36" s="357"/>
      <c r="E36" s="358"/>
      <c r="F36" s="358"/>
      <c r="G36" s="358"/>
      <c r="H36" s="358"/>
      <c r="I36" s="358"/>
      <c r="J36" s="358"/>
      <c r="K36" s="358"/>
    </row>
    <row r="37" spans="1:11" s="282" customFormat="1" ht="14.25">
      <c r="A37" s="359"/>
      <c r="B37" s="355" t="s">
        <v>145</v>
      </c>
      <c r="C37" s="421">
        <v>0</v>
      </c>
      <c r="D37" s="364"/>
      <c r="E37" s="358"/>
      <c r="F37" s="358"/>
      <c r="G37" s="358"/>
      <c r="H37" s="358"/>
      <c r="I37" s="358"/>
      <c r="J37" s="358"/>
      <c r="K37" s="358"/>
    </row>
    <row r="38" spans="1:11" ht="14.25">
      <c r="A38" s="203"/>
      <c r="B38" s="360"/>
      <c r="C38" s="361"/>
      <c r="D38" s="203"/>
      <c r="E38" s="132"/>
      <c r="F38" s="132"/>
      <c r="G38" s="132"/>
      <c r="H38" s="132"/>
      <c r="I38" s="132"/>
      <c r="J38" s="132"/>
      <c r="K38" s="132"/>
    </row>
    <row r="39" spans="1:11" ht="14.25">
      <c r="A39" s="203"/>
      <c r="B39" s="360"/>
      <c r="C39" s="361"/>
      <c r="D39" s="203"/>
      <c r="E39" s="132"/>
      <c r="F39" s="132"/>
      <c r="G39" s="132"/>
      <c r="H39" s="132"/>
      <c r="I39" s="132"/>
      <c r="J39" s="132"/>
      <c r="K39" s="132"/>
    </row>
    <row r="40" spans="1:11" ht="51" customHeight="1">
      <c r="A40" s="204"/>
      <c r="B40" s="360"/>
      <c r="C40" s="361"/>
      <c r="D40" s="195"/>
      <c r="E40" s="132"/>
      <c r="F40" s="132"/>
      <c r="G40" s="132"/>
      <c r="H40" s="132"/>
      <c r="I40" s="132"/>
      <c r="J40" s="132"/>
      <c r="K40" s="132"/>
    </row>
    <row r="41" spans="1:11" s="207" customFormat="1" ht="16.5">
      <c r="A41" s="409" t="s">
        <v>110</v>
      </c>
      <c r="B41" s="409"/>
      <c r="C41" s="409"/>
      <c r="D41" s="409"/>
      <c r="E41" s="409"/>
      <c r="F41" s="409"/>
      <c r="G41" s="409"/>
      <c r="H41" s="409"/>
      <c r="I41" s="409"/>
      <c r="J41" s="409"/>
      <c r="K41" s="409"/>
    </row>
    <row r="44" ht="36.75" customHeight="1"/>
    <row r="46" spans="1:2" ht="14.25">
      <c r="A46" s="362" t="s">
        <v>61</v>
      </c>
      <c r="B46" s="363"/>
    </row>
    <row r="47" spans="1:2" ht="14.25">
      <c r="A47" s="362" t="s">
        <v>80</v>
      </c>
      <c r="B47" s="362"/>
    </row>
    <row r="48" ht="14.25">
      <c r="A48" s="208"/>
    </row>
  </sheetData>
  <mergeCells count="32">
    <mergeCell ref="A1:K1"/>
    <mergeCell ref="A2:K2"/>
    <mergeCell ref="A5:K5"/>
    <mergeCell ref="A7:A10"/>
    <mergeCell ref="B7:B10"/>
    <mergeCell ref="C7:C10"/>
    <mergeCell ref="D7:D10"/>
    <mergeCell ref="E7:E10"/>
    <mergeCell ref="F7:G8"/>
    <mergeCell ref="H7:H10"/>
    <mergeCell ref="I7:I10"/>
    <mergeCell ref="J7:J10"/>
    <mergeCell ref="K7:K10"/>
    <mergeCell ref="L7:N7"/>
    <mergeCell ref="L8:N8"/>
    <mergeCell ref="F9:F10"/>
    <mergeCell ref="G9:G10"/>
    <mergeCell ref="A11:A23"/>
    <mergeCell ref="B11:B12"/>
    <mergeCell ref="C11:C12"/>
    <mergeCell ref="D11:D12"/>
    <mergeCell ref="E11:E12"/>
    <mergeCell ref="J11:J12"/>
    <mergeCell ref="K11:K12"/>
    <mergeCell ref="B16:B19"/>
    <mergeCell ref="B20:B22"/>
    <mergeCell ref="A24:A27"/>
    <mergeCell ref="J28:J29"/>
    <mergeCell ref="K28:K30"/>
    <mergeCell ref="A32:B32"/>
    <mergeCell ref="A33:B33"/>
    <mergeCell ref="A41:K41"/>
  </mergeCells>
  <printOptions horizontalCentered="1"/>
  <pageMargins left="0.1798611111111111" right="0.19027777777777777" top="0.9840277777777777" bottom="0.1798611111111111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workbookViewId="0" topLeftCell="A1">
      <selection activeCell="A48" sqref="A48"/>
    </sheetView>
  </sheetViews>
  <sheetFormatPr defaultColWidth="9.00390625" defaultRowHeight="12.75"/>
  <cols>
    <col min="1" max="1" width="30.875" style="1" customWidth="1"/>
    <col min="2" max="2" width="27.00390625" style="0" customWidth="1"/>
    <col min="3" max="3" width="14.375" style="0" customWidth="1"/>
    <col min="4" max="4" width="13.875" style="2" customWidth="1"/>
    <col min="5" max="5" width="14.875" style="0" customWidth="1"/>
    <col min="6" max="6" width="39.875" style="0" customWidth="1"/>
    <col min="7" max="7" width="8.25390625" style="0" customWidth="1"/>
    <col min="8" max="8" width="15.625" style="0" customWidth="1"/>
    <col min="9" max="9" width="14.625" style="0" customWidth="1"/>
    <col min="10" max="10" width="10.625" style="0" customWidth="1"/>
    <col min="11" max="11" width="31.625" style="0" customWidth="1"/>
    <col min="12" max="14" width="0" style="0" hidden="1" customWidth="1"/>
    <col min="15" max="15" width="22.00390625" style="0" customWidth="1"/>
  </cols>
  <sheetData>
    <row r="1" spans="1:11" ht="16.5">
      <c r="A1" s="365" t="s">
        <v>119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1" ht="16.5">
      <c r="A2" s="365" t="s">
        <v>80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 ht="16.5">
      <c r="A3" s="366"/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11" ht="16.5">
      <c r="A4" s="366"/>
      <c r="B4" s="366"/>
      <c r="C4" s="366"/>
      <c r="D4" s="366"/>
      <c r="E4" s="366"/>
      <c r="F4" s="366"/>
      <c r="G4" s="366"/>
      <c r="H4" s="366"/>
      <c r="I4" s="366"/>
      <c r="J4" s="366"/>
      <c r="K4" s="366"/>
    </row>
    <row r="5" spans="1:11" ht="12">
      <c r="A5" s="367"/>
      <c r="B5" s="367"/>
      <c r="C5" s="367"/>
      <c r="D5" s="367"/>
      <c r="E5" s="367"/>
      <c r="F5" s="367"/>
      <c r="G5" s="367"/>
      <c r="H5" s="367"/>
      <c r="I5" s="367"/>
      <c r="J5" s="367"/>
      <c r="K5" s="367"/>
    </row>
    <row r="6" ht="12">
      <c r="K6" s="368" t="s">
        <v>121</v>
      </c>
    </row>
    <row r="7" spans="1:14" s="255" customFormat="1" ht="14.25">
      <c r="A7" s="369" t="s">
        <v>122</v>
      </c>
      <c r="B7" s="370" t="s">
        <v>123</v>
      </c>
      <c r="C7" s="370" t="s">
        <v>124</v>
      </c>
      <c r="D7" s="370" t="s">
        <v>125</v>
      </c>
      <c r="E7" s="370" t="s">
        <v>126</v>
      </c>
      <c r="F7" s="371" t="s">
        <v>127</v>
      </c>
      <c r="G7" s="371"/>
      <c r="H7" s="370" t="s">
        <v>128</v>
      </c>
      <c r="I7" s="370" t="s">
        <v>129</v>
      </c>
      <c r="J7" s="370" t="s">
        <v>130</v>
      </c>
      <c r="K7" s="372" t="s">
        <v>131</v>
      </c>
      <c r="L7" s="254" t="s">
        <v>10</v>
      </c>
      <c r="M7" s="254"/>
      <c r="N7" s="254"/>
    </row>
    <row r="8" spans="1:14" s="255" customFormat="1" ht="14.25">
      <c r="A8" s="369"/>
      <c r="B8" s="370"/>
      <c r="C8" s="370"/>
      <c r="D8" s="370"/>
      <c r="E8" s="370"/>
      <c r="F8" s="371"/>
      <c r="G8" s="371"/>
      <c r="H8" s="370"/>
      <c r="I8" s="370"/>
      <c r="J8" s="370"/>
      <c r="K8" s="372"/>
      <c r="L8" s="260" t="s">
        <v>21</v>
      </c>
      <c r="M8" s="260"/>
      <c r="N8" s="260"/>
    </row>
    <row r="9" spans="1:14" s="255" customFormat="1" ht="14.25">
      <c r="A9" s="369"/>
      <c r="B9" s="370"/>
      <c r="C9" s="370"/>
      <c r="D9" s="370"/>
      <c r="E9" s="370"/>
      <c r="F9" s="373" t="s">
        <v>26</v>
      </c>
      <c r="G9" s="373" t="s">
        <v>27</v>
      </c>
      <c r="H9" s="370"/>
      <c r="I9" s="370"/>
      <c r="J9" s="370"/>
      <c r="K9" s="372"/>
      <c r="L9" s="254" t="s">
        <v>31</v>
      </c>
      <c r="M9" s="261" t="s">
        <v>32</v>
      </c>
      <c r="N9" s="262" t="s">
        <v>33</v>
      </c>
    </row>
    <row r="10" spans="1:14" s="270" customFormat="1" ht="14.25">
      <c r="A10" s="369"/>
      <c r="B10" s="370"/>
      <c r="C10" s="370"/>
      <c r="D10" s="370"/>
      <c r="E10" s="370"/>
      <c r="F10" s="373"/>
      <c r="G10" s="373"/>
      <c r="H10" s="370"/>
      <c r="I10" s="370"/>
      <c r="J10" s="370"/>
      <c r="K10" s="372"/>
      <c r="L10" s="268"/>
      <c r="M10" s="269"/>
      <c r="N10" s="268"/>
    </row>
    <row r="11" spans="1:14" s="282" customFormat="1" ht="21" customHeight="1">
      <c r="A11" s="374" t="s">
        <v>80</v>
      </c>
      <c r="B11" s="410" t="s">
        <v>36</v>
      </c>
      <c r="C11" s="411">
        <v>56000000</v>
      </c>
      <c r="D11" s="412">
        <v>38913</v>
      </c>
      <c r="E11" s="413">
        <v>38366</v>
      </c>
      <c r="F11" s="414" t="s">
        <v>80</v>
      </c>
      <c r="G11" s="415">
        <f>25+40+134+52</f>
        <v>251</v>
      </c>
      <c r="H11" s="416">
        <f>2659200+2137000+2800600+2600000</f>
        <v>10196800</v>
      </c>
      <c r="I11" s="417">
        <f>1279998.33+1592780.32+1677474.64+1557321.31</f>
        <v>6107574.6</v>
      </c>
      <c r="J11" s="418">
        <v>0.15</v>
      </c>
      <c r="K11" s="419" t="s">
        <v>82</v>
      </c>
      <c r="L11" s="279"/>
      <c r="M11" s="280"/>
      <c r="N11" s="281"/>
    </row>
    <row r="12" spans="1:14" s="282" customFormat="1" ht="15.75" customHeight="1">
      <c r="A12" s="374"/>
      <c r="B12" s="410"/>
      <c r="C12" s="411"/>
      <c r="D12" s="412"/>
      <c r="E12" s="412"/>
      <c r="F12" s="302" t="s">
        <v>36</v>
      </c>
      <c r="G12" s="303">
        <f>3000+2000+8590+15000</f>
        <v>28590</v>
      </c>
      <c r="H12" s="385">
        <f>2358000+62370000+11733940+25200000</f>
        <v>101661940</v>
      </c>
      <c r="I12" s="385">
        <f>1412370.64+37357742.45+7028274.95+15094037.35</f>
        <v>60892425.39000001</v>
      </c>
      <c r="J12" s="418"/>
      <c r="K12" s="418"/>
      <c r="L12" s="279"/>
      <c r="M12" s="280"/>
      <c r="N12" s="281"/>
    </row>
    <row r="13" spans="1:14" s="282" customFormat="1" ht="14.25">
      <c r="A13" s="374"/>
      <c r="B13" s="272" t="s">
        <v>36</v>
      </c>
      <c r="C13" s="375">
        <v>25000000</v>
      </c>
      <c r="D13" s="274">
        <v>38513</v>
      </c>
      <c r="E13" s="274">
        <v>38135</v>
      </c>
      <c r="F13" s="275" t="s">
        <v>36</v>
      </c>
      <c r="G13" s="276"/>
      <c r="H13" s="375">
        <v>30099571.54</v>
      </c>
      <c r="I13" s="375">
        <v>30099571.54</v>
      </c>
      <c r="J13" s="277">
        <v>0.18</v>
      </c>
      <c r="K13" s="285" t="s">
        <v>39</v>
      </c>
      <c r="L13" s="279"/>
      <c r="M13" s="280"/>
      <c r="N13" s="281" t="s">
        <v>39</v>
      </c>
    </row>
    <row r="14" spans="1:14" s="282" customFormat="1" ht="14.25">
      <c r="A14" s="374"/>
      <c r="B14" s="283" t="s">
        <v>38</v>
      </c>
      <c r="C14" s="375">
        <f>35000000-3414538</f>
        <v>31585462</v>
      </c>
      <c r="D14" s="274">
        <v>38526</v>
      </c>
      <c r="E14" s="274">
        <v>37981</v>
      </c>
      <c r="F14" s="275" t="s">
        <v>137</v>
      </c>
      <c r="G14" s="276"/>
      <c r="H14" s="375">
        <v>83613157</v>
      </c>
      <c r="I14" s="375">
        <v>48347712</v>
      </c>
      <c r="J14" s="284">
        <v>0.195</v>
      </c>
      <c r="K14" s="285" t="s">
        <v>39</v>
      </c>
      <c r="L14" s="279"/>
      <c r="M14" s="280"/>
      <c r="N14" s="281"/>
    </row>
    <row r="15" spans="1:14" s="282" customFormat="1" ht="14.25">
      <c r="A15" s="374"/>
      <c r="B15" s="283" t="s">
        <v>38</v>
      </c>
      <c r="C15" s="376">
        <v>100000000</v>
      </c>
      <c r="D15" s="377">
        <v>38786</v>
      </c>
      <c r="E15" s="377">
        <v>38429</v>
      </c>
      <c r="F15" s="378" t="s">
        <v>88</v>
      </c>
      <c r="G15" s="379"/>
      <c r="H15" s="376">
        <v>129136700</v>
      </c>
      <c r="I15" s="376">
        <v>100000000</v>
      </c>
      <c r="J15" s="380">
        <v>0.15</v>
      </c>
      <c r="K15" s="381" t="s">
        <v>133</v>
      </c>
      <c r="L15" s="279"/>
      <c r="M15" s="280"/>
      <c r="N15" s="281"/>
    </row>
    <row r="16" spans="1:14" s="282" customFormat="1" ht="14.25">
      <c r="A16" s="374"/>
      <c r="B16" s="382" t="s">
        <v>38</v>
      </c>
      <c r="C16" s="383"/>
      <c r="D16" s="288"/>
      <c r="E16" s="288"/>
      <c r="F16" s="289" t="s">
        <v>141</v>
      </c>
      <c r="G16" s="290">
        <v>255</v>
      </c>
      <c r="H16" s="383">
        <v>15045000</v>
      </c>
      <c r="I16" s="383">
        <v>7522500</v>
      </c>
      <c r="J16" s="291"/>
      <c r="K16" s="292"/>
      <c r="L16" s="279"/>
      <c r="M16" s="280"/>
      <c r="N16" s="281"/>
    </row>
    <row r="17" spans="1:14" s="282" customFormat="1" ht="14.25">
      <c r="A17" s="374"/>
      <c r="B17" s="382"/>
      <c r="C17" s="384">
        <v>15000000</v>
      </c>
      <c r="D17" s="294">
        <v>38704</v>
      </c>
      <c r="E17" s="294">
        <v>38371</v>
      </c>
      <c r="F17" s="295" t="s">
        <v>36</v>
      </c>
      <c r="G17" s="296">
        <v>2192</v>
      </c>
      <c r="H17" s="384">
        <v>68357520</v>
      </c>
      <c r="I17" s="384">
        <v>34178760</v>
      </c>
      <c r="J17" s="297">
        <v>0.18</v>
      </c>
      <c r="K17" s="298" t="s">
        <v>89</v>
      </c>
      <c r="L17" s="279"/>
      <c r="M17" s="280"/>
      <c r="N17" s="281"/>
    </row>
    <row r="18" spans="1:14" s="282" customFormat="1" ht="14.25">
      <c r="A18" s="374"/>
      <c r="B18" s="382"/>
      <c r="C18" s="384">
        <v>15000000</v>
      </c>
      <c r="D18" s="294"/>
      <c r="E18" s="294"/>
      <c r="F18" s="295" t="s">
        <v>36</v>
      </c>
      <c r="G18" s="296">
        <v>119</v>
      </c>
      <c r="H18" s="384">
        <v>7021000</v>
      </c>
      <c r="I18" s="384">
        <v>3510500</v>
      </c>
      <c r="J18" s="297"/>
      <c r="K18" s="298"/>
      <c r="L18" s="279"/>
      <c r="M18" s="280"/>
      <c r="N18" s="281"/>
    </row>
    <row r="19" spans="1:14" s="282" customFormat="1" ht="14.25">
      <c r="A19" s="374"/>
      <c r="B19" s="382"/>
      <c r="C19" s="385">
        <v>15000000</v>
      </c>
      <c r="D19" s="301"/>
      <c r="E19" s="301"/>
      <c r="F19" s="302"/>
      <c r="G19" s="303"/>
      <c r="H19" s="385"/>
      <c r="I19" s="385"/>
      <c r="J19" s="304"/>
      <c r="K19" s="305"/>
      <c r="L19" s="279"/>
      <c r="M19" s="280"/>
      <c r="N19" s="281"/>
    </row>
    <row r="20" spans="1:14" s="282" customFormat="1" ht="14.25">
      <c r="A20" s="374"/>
      <c r="B20" s="379" t="s">
        <v>38</v>
      </c>
      <c r="C20" s="383"/>
      <c r="D20" s="288"/>
      <c r="E20" s="288"/>
      <c r="F20" s="289" t="s">
        <v>36</v>
      </c>
      <c r="G20" s="290">
        <v>7</v>
      </c>
      <c r="H20" s="287">
        <v>19088000</v>
      </c>
      <c r="I20" s="383">
        <v>11363700</v>
      </c>
      <c r="J20" s="291"/>
      <c r="K20" s="292"/>
      <c r="L20" s="279"/>
      <c r="M20" s="280"/>
      <c r="N20" s="281"/>
    </row>
    <row r="21" spans="1:14" s="282" customFormat="1" ht="14.25">
      <c r="A21" s="374"/>
      <c r="B21" s="379"/>
      <c r="C21" s="384">
        <v>18000000</v>
      </c>
      <c r="D21" s="294">
        <v>38736</v>
      </c>
      <c r="E21" s="294">
        <v>38366</v>
      </c>
      <c r="F21" s="295" t="s">
        <v>36</v>
      </c>
      <c r="G21" s="296">
        <v>21</v>
      </c>
      <c r="H21" s="280">
        <v>5455800</v>
      </c>
      <c r="I21" s="384">
        <v>2727900</v>
      </c>
      <c r="J21" s="297">
        <v>0.18</v>
      </c>
      <c r="K21" s="298" t="s">
        <v>39</v>
      </c>
      <c r="L21" s="279"/>
      <c r="M21" s="280"/>
      <c r="N21" s="281"/>
    </row>
    <row r="22" spans="1:14" s="282" customFormat="1" ht="14.25">
      <c r="A22" s="374"/>
      <c r="B22" s="379"/>
      <c r="C22" s="385"/>
      <c r="D22" s="301"/>
      <c r="E22" s="301"/>
      <c r="F22" s="302" t="s">
        <v>36</v>
      </c>
      <c r="G22" s="303">
        <v>268</v>
      </c>
      <c r="H22" s="300">
        <v>16080000</v>
      </c>
      <c r="I22" s="385">
        <v>7236000</v>
      </c>
      <c r="J22" s="304"/>
      <c r="K22" s="305"/>
      <c r="L22" s="279"/>
      <c r="M22" s="280"/>
      <c r="N22" s="281"/>
    </row>
    <row r="23" spans="1:14" s="318" customFormat="1" ht="14.25">
      <c r="A23" s="374"/>
      <c r="B23" s="311" t="s">
        <v>41</v>
      </c>
      <c r="C23" s="386">
        <f>SUM(C11:C22)</f>
        <v>275585462</v>
      </c>
      <c r="D23" s="313"/>
      <c r="E23" s="312"/>
      <c r="F23" s="312"/>
      <c r="G23" s="312"/>
      <c r="H23" s="386">
        <f>SUM(H11:H22)</f>
        <v>485755488.53999996</v>
      </c>
      <c r="I23" s="386">
        <f>SUM(I11:I22)</f>
        <v>311986643.53000003</v>
      </c>
      <c r="J23" s="312"/>
      <c r="K23" s="328"/>
      <c r="L23" s="315">
        <f>SUM(L11:L15)</f>
        <v>0</v>
      </c>
      <c r="M23" s="316">
        <f>SUM(M11:M15)</f>
        <v>0</v>
      </c>
      <c r="N23" s="317" t="s">
        <v>42</v>
      </c>
    </row>
    <row r="24" spans="1:14" s="396" customFormat="1" ht="14.25">
      <c r="A24" s="422" t="s">
        <v>80</v>
      </c>
      <c r="B24" s="378" t="s">
        <v>36</v>
      </c>
      <c r="C24" s="388">
        <v>5000000</v>
      </c>
      <c r="D24" s="389">
        <v>38893</v>
      </c>
      <c r="E24" s="389"/>
      <c r="F24" s="382" t="s">
        <v>137</v>
      </c>
      <c r="G24" s="390">
        <v>1</v>
      </c>
      <c r="H24" s="388">
        <v>7100000</v>
      </c>
      <c r="I24" s="388">
        <v>7100000</v>
      </c>
      <c r="J24" s="391"/>
      <c r="K24" s="392"/>
      <c r="L24" s="393"/>
      <c r="M24" s="394"/>
      <c r="N24" s="395"/>
    </row>
    <row r="25" spans="1:14" s="396" customFormat="1" ht="14.25">
      <c r="A25" s="422"/>
      <c r="B25" s="397" t="s">
        <v>36</v>
      </c>
      <c r="C25" s="376">
        <v>30000000</v>
      </c>
      <c r="D25" s="377">
        <v>38806</v>
      </c>
      <c r="E25" s="377">
        <v>38442</v>
      </c>
      <c r="F25" s="382" t="s">
        <v>72</v>
      </c>
      <c r="G25" s="390">
        <v>1</v>
      </c>
      <c r="H25" s="376">
        <v>45000000</v>
      </c>
      <c r="I25" s="376">
        <v>45000000</v>
      </c>
      <c r="J25" s="380">
        <v>0.15</v>
      </c>
      <c r="K25" s="278" t="s">
        <v>82</v>
      </c>
      <c r="L25" s="393"/>
      <c r="M25" s="394"/>
      <c r="N25" s="395"/>
    </row>
    <row r="26" spans="1:14" s="396" customFormat="1" ht="14.25">
      <c r="A26" s="422"/>
      <c r="B26" s="272" t="s">
        <v>36</v>
      </c>
      <c r="C26" s="394">
        <v>37000000</v>
      </c>
      <c r="D26" s="398">
        <v>39018</v>
      </c>
      <c r="E26" s="398">
        <v>38447</v>
      </c>
      <c r="F26" s="399" t="s">
        <v>36</v>
      </c>
      <c r="G26" s="400"/>
      <c r="H26" s="394">
        <f>97466554.88</f>
        <v>97466554.88</v>
      </c>
      <c r="I26" s="394">
        <f>45000000*1.18</f>
        <v>53100000</v>
      </c>
      <c r="J26" s="401">
        <v>0.15</v>
      </c>
      <c r="K26" s="298" t="s">
        <v>142</v>
      </c>
      <c r="L26" s="393"/>
      <c r="M26" s="394"/>
      <c r="N26" s="395"/>
    </row>
    <row r="27" spans="1:14" s="396" customFormat="1" ht="14.25">
      <c r="A27" s="422"/>
      <c r="B27" s="272" t="s">
        <v>36</v>
      </c>
      <c r="C27" s="394">
        <v>22000000</v>
      </c>
      <c r="D27" s="398">
        <v>38515</v>
      </c>
      <c r="E27" s="398">
        <v>38484</v>
      </c>
      <c r="F27" s="399" t="s">
        <v>36</v>
      </c>
      <c r="G27" s="400"/>
      <c r="H27" s="394"/>
      <c r="I27" s="394"/>
      <c r="J27" s="401">
        <v>0.18</v>
      </c>
      <c r="K27" s="298"/>
      <c r="L27" s="393"/>
      <c r="M27" s="394"/>
      <c r="N27" s="395"/>
    </row>
    <row r="28" spans="1:14" s="282" customFormat="1" ht="14.25">
      <c r="A28" s="423"/>
      <c r="B28" s="326" t="s">
        <v>41</v>
      </c>
      <c r="C28" s="402">
        <f>SUM(C24:C27)</f>
        <v>94000000</v>
      </c>
      <c r="D28" s="327"/>
      <c r="E28" s="327"/>
      <c r="F28" s="327"/>
      <c r="G28" s="327"/>
      <c r="H28" s="402">
        <f>SUM(H24:H27)</f>
        <v>149566554.88</v>
      </c>
      <c r="I28" s="402">
        <f>SUM(I24:I27)</f>
        <v>105200000</v>
      </c>
      <c r="J28" s="312"/>
      <c r="K28" s="328"/>
      <c r="L28" s="315" t="e">
        <f>SUM(#REF!)</f>
        <v>#REF!</v>
      </c>
      <c r="M28" s="316" t="e">
        <f>SUM(#REF!)</f>
        <v>#REF!</v>
      </c>
      <c r="N28" s="317" t="s">
        <v>42</v>
      </c>
    </row>
    <row r="29" spans="1:14" s="338" customFormat="1" ht="12.75" hidden="1">
      <c r="A29" s="329"/>
      <c r="B29" s="275"/>
      <c r="C29" s="403"/>
      <c r="D29" s="331"/>
      <c r="E29" s="332"/>
      <c r="F29" s="275"/>
      <c r="G29" s="275"/>
      <c r="H29" s="403"/>
      <c r="I29" s="403"/>
      <c r="J29" s="333"/>
      <c r="K29" s="334"/>
      <c r="L29" s="335" t="e">
        <f>C29*J29/365*#REF!</f>
        <v>#REF!</v>
      </c>
      <c r="M29" s="336">
        <v>1272986</v>
      </c>
      <c r="N29" s="337"/>
    </row>
    <row r="30" spans="1:14" s="338" customFormat="1" ht="12.75" hidden="1">
      <c r="A30" s="339"/>
      <c r="B30" s="340"/>
      <c r="C30" s="404"/>
      <c r="D30" s="341"/>
      <c r="E30" s="342"/>
      <c r="F30" s="302"/>
      <c r="G30" s="302"/>
      <c r="H30" s="404"/>
      <c r="I30" s="404"/>
      <c r="J30" s="333"/>
      <c r="K30" s="334"/>
      <c r="L30" s="343"/>
      <c r="M30" s="344"/>
      <c r="N30" s="337"/>
    </row>
    <row r="31" spans="1:14" s="338" customFormat="1" ht="12.75" hidden="1">
      <c r="A31" s="339"/>
      <c r="B31" s="345"/>
      <c r="C31" s="403"/>
      <c r="D31" s="331"/>
      <c r="E31" s="332"/>
      <c r="F31" s="275"/>
      <c r="G31" s="275"/>
      <c r="H31" s="403"/>
      <c r="I31" s="403"/>
      <c r="J31" s="346"/>
      <c r="K31" s="334"/>
      <c r="L31" s="335" t="e">
        <f>C31*J31/365*#REF!</f>
        <v>#REF!</v>
      </c>
      <c r="M31" s="344">
        <v>0</v>
      </c>
      <c r="N31" s="337"/>
    </row>
    <row r="32" spans="1:14" s="282" customFormat="1" ht="12.75" hidden="1">
      <c r="A32" s="310"/>
      <c r="B32" s="311" t="s">
        <v>41</v>
      </c>
      <c r="C32" s="386">
        <f>SUM(C29:C31)</f>
        <v>0</v>
      </c>
      <c r="D32" s="312"/>
      <c r="E32" s="312"/>
      <c r="F32" s="312"/>
      <c r="G32" s="312"/>
      <c r="H32" s="386">
        <f>SUM(H29:H31)</f>
        <v>0</v>
      </c>
      <c r="I32" s="386">
        <f>SUM(I29:I31)</f>
        <v>0</v>
      </c>
      <c r="J32" s="312"/>
      <c r="K32" s="314"/>
      <c r="L32" s="315" t="e">
        <f>SUM(L29:L31)</f>
        <v>#REF!</v>
      </c>
      <c r="M32" s="316">
        <f>SUM(M29:M31)</f>
        <v>1272986</v>
      </c>
      <c r="N32" s="317" t="s">
        <v>42</v>
      </c>
    </row>
    <row r="33" spans="1:14" s="354" customFormat="1" ht="14.25">
      <c r="A33" s="347" t="s">
        <v>59</v>
      </c>
      <c r="B33" s="347"/>
      <c r="C33" s="405">
        <f>C23+C28</f>
        <v>369585462</v>
      </c>
      <c r="D33" s="348"/>
      <c r="E33" s="348"/>
      <c r="F33" s="348"/>
      <c r="G33" s="348"/>
      <c r="H33" s="405">
        <f>H23+H28</f>
        <v>635322043.42</v>
      </c>
      <c r="I33" s="405">
        <f>I23+I28</f>
        <v>417186643.53000003</v>
      </c>
      <c r="J33" s="406"/>
      <c r="K33" s="407"/>
      <c r="L33" s="351" t="e">
        <f>L23+L28+L32+#REF!+#REF!</f>
        <v>#REF!</v>
      </c>
      <c r="M33" s="352" t="e">
        <f>M23+M28+M32+#REF!+#REF!</f>
        <v>#REF!</v>
      </c>
      <c r="N33" s="353" t="s">
        <v>42</v>
      </c>
    </row>
    <row r="34" spans="1:11" s="282" customFormat="1" ht="14.25">
      <c r="A34" s="355"/>
      <c r="B34" s="355"/>
      <c r="C34" s="356"/>
      <c r="D34" s="357"/>
      <c r="E34" s="358"/>
      <c r="F34" s="358"/>
      <c r="G34" s="358"/>
      <c r="H34" s="358"/>
      <c r="I34" s="358"/>
      <c r="J34" s="358"/>
      <c r="K34" s="358"/>
    </row>
    <row r="35" spans="1:11" s="282" customFormat="1" ht="14.25">
      <c r="A35" s="196"/>
      <c r="B35" s="355"/>
      <c r="C35" s="355"/>
      <c r="D35" s="357"/>
      <c r="E35" s="358"/>
      <c r="F35" s="358"/>
      <c r="G35" s="358"/>
      <c r="H35" s="358"/>
      <c r="I35" s="358"/>
      <c r="J35" s="358"/>
      <c r="K35" s="358"/>
    </row>
    <row r="36" spans="1:11" s="282" customFormat="1" ht="14.25">
      <c r="A36" s="359"/>
      <c r="B36" s="196" t="s">
        <v>146</v>
      </c>
      <c r="C36" s="355">
        <f>C37+C38</f>
        <v>78585462</v>
      </c>
      <c r="D36" s="357"/>
      <c r="E36" s="358"/>
      <c r="F36" s="358"/>
      <c r="G36" s="358"/>
      <c r="H36" s="358"/>
      <c r="I36" s="358"/>
      <c r="J36" s="358"/>
      <c r="K36" s="358"/>
    </row>
    <row r="37" spans="1:11" s="282" customFormat="1" ht="14.25">
      <c r="A37" s="359"/>
      <c r="B37" s="196" t="s">
        <v>137</v>
      </c>
      <c r="C37" s="355">
        <f>C13+C14</f>
        <v>56585462</v>
      </c>
      <c r="D37" s="357"/>
      <c r="E37" s="358"/>
      <c r="F37" s="358"/>
      <c r="G37" s="358"/>
      <c r="H37" s="358"/>
      <c r="I37" s="358"/>
      <c r="J37" s="358"/>
      <c r="K37" s="358"/>
    </row>
    <row r="38" spans="1:11" s="282" customFormat="1" ht="14.25">
      <c r="A38" s="359"/>
      <c r="B38" s="355" t="s">
        <v>36</v>
      </c>
      <c r="C38" s="421">
        <f>C27</f>
        <v>22000000</v>
      </c>
      <c r="D38" s="364"/>
      <c r="E38" s="358"/>
      <c r="F38" s="358"/>
      <c r="G38" s="358"/>
      <c r="H38" s="358"/>
      <c r="I38" s="358"/>
      <c r="J38" s="358"/>
      <c r="K38" s="358"/>
    </row>
    <row r="39" spans="1:11" ht="14.25">
      <c r="A39" s="203"/>
      <c r="B39" s="360"/>
      <c r="C39" s="361"/>
      <c r="D39" s="203"/>
      <c r="E39" s="132"/>
      <c r="F39" s="132"/>
      <c r="G39" s="132"/>
      <c r="H39" s="132"/>
      <c r="I39" s="132"/>
      <c r="J39" s="132"/>
      <c r="K39" s="132"/>
    </row>
    <row r="40" spans="1:11" ht="14.25">
      <c r="A40" s="203"/>
      <c r="B40" s="360"/>
      <c r="C40" s="361"/>
      <c r="D40" s="203"/>
      <c r="E40" s="132"/>
      <c r="F40" s="132"/>
      <c r="G40" s="132"/>
      <c r="H40" s="132"/>
      <c r="I40" s="132"/>
      <c r="J40" s="132"/>
      <c r="K40" s="132"/>
    </row>
    <row r="41" spans="1:11" ht="51" customHeight="1">
      <c r="A41" s="204"/>
      <c r="B41" s="360"/>
      <c r="C41" s="361"/>
      <c r="D41" s="195"/>
      <c r="E41" s="132"/>
      <c r="F41" s="132"/>
      <c r="G41" s="132"/>
      <c r="H41" s="132"/>
      <c r="I41" s="132"/>
      <c r="J41" s="132"/>
      <c r="K41" s="132"/>
    </row>
    <row r="42" spans="1:11" s="207" customFormat="1" ht="16.5">
      <c r="A42" s="409" t="s">
        <v>147</v>
      </c>
      <c r="B42" s="409"/>
      <c r="C42" s="409"/>
      <c r="D42" s="409"/>
      <c r="E42" s="409"/>
      <c r="F42" s="409"/>
      <c r="G42" s="409"/>
      <c r="H42" s="409"/>
      <c r="I42" s="409"/>
      <c r="J42" s="409"/>
      <c r="K42" s="409"/>
    </row>
    <row r="45" ht="36.75" customHeight="1"/>
    <row r="47" spans="1:2" ht="14.25">
      <c r="A47" s="362" t="s">
        <v>61</v>
      </c>
      <c r="B47" s="363"/>
    </row>
    <row r="48" spans="1:2" ht="14.25">
      <c r="A48" s="362" t="s">
        <v>80</v>
      </c>
      <c r="B48" s="362"/>
    </row>
    <row r="49" ht="14.25">
      <c r="A49" s="208"/>
    </row>
  </sheetData>
  <mergeCells count="32">
    <mergeCell ref="A1:K1"/>
    <mergeCell ref="A2:K2"/>
    <mergeCell ref="A5:K5"/>
    <mergeCell ref="A7:A10"/>
    <mergeCell ref="B7:B10"/>
    <mergeCell ref="C7:C10"/>
    <mergeCell ref="D7:D10"/>
    <mergeCell ref="E7:E10"/>
    <mergeCell ref="F7:G8"/>
    <mergeCell ref="H7:H10"/>
    <mergeCell ref="I7:I10"/>
    <mergeCell ref="J7:J10"/>
    <mergeCell ref="K7:K10"/>
    <mergeCell ref="L7:N7"/>
    <mergeCell ref="L8:N8"/>
    <mergeCell ref="F9:F10"/>
    <mergeCell ref="G9:G10"/>
    <mergeCell ref="A11:A23"/>
    <mergeCell ref="B11:B12"/>
    <mergeCell ref="C11:C12"/>
    <mergeCell ref="D11:D12"/>
    <mergeCell ref="E11:E12"/>
    <mergeCell ref="J11:J12"/>
    <mergeCell ref="K11:K12"/>
    <mergeCell ref="B16:B19"/>
    <mergeCell ref="B20:B22"/>
    <mergeCell ref="A24:A27"/>
    <mergeCell ref="J29:J30"/>
    <mergeCell ref="K29:K31"/>
    <mergeCell ref="A33:B33"/>
    <mergeCell ref="A34:B34"/>
    <mergeCell ref="A42:K42"/>
  </mergeCells>
  <printOptions horizontalCentered="1"/>
  <pageMargins left="0.1798611111111111" right="0.19027777777777777" top="0.9840277777777777" bottom="0.1798611111111111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workbookViewId="0" topLeftCell="D7">
      <pane ySplit="1140" topLeftCell="A1" activePane="bottomLeft" state="split"/>
      <selection pane="topLeft" activeCell="D7" sqref="D7"/>
      <selection pane="bottomLeft" activeCell="F13" sqref="F13"/>
    </sheetView>
  </sheetViews>
  <sheetFormatPr defaultColWidth="9.00390625" defaultRowHeight="12.75"/>
  <cols>
    <col min="1" max="1" width="30.875" style="1" customWidth="1"/>
    <col min="2" max="2" width="27.00390625" style="0" customWidth="1"/>
    <col min="3" max="3" width="14.375" style="0" customWidth="1"/>
    <col min="4" max="4" width="13.875" style="2" customWidth="1"/>
    <col min="5" max="5" width="14.875" style="0" customWidth="1"/>
    <col min="6" max="6" width="39.875" style="0" customWidth="1"/>
    <col min="7" max="7" width="8.25390625" style="0" customWidth="1"/>
    <col min="8" max="8" width="15.625" style="0" customWidth="1"/>
    <col min="9" max="9" width="14.625" style="0" customWidth="1"/>
    <col min="10" max="10" width="10.625" style="0" customWidth="1"/>
    <col min="11" max="11" width="31.625" style="0" customWidth="1"/>
    <col min="12" max="14" width="0" style="0" hidden="1" customWidth="1"/>
    <col min="15" max="15" width="22.00390625" style="0" customWidth="1"/>
  </cols>
  <sheetData>
    <row r="1" spans="1:11" ht="16.5">
      <c r="A1" s="365" t="s">
        <v>119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1" ht="16.5">
      <c r="A2" s="365" t="s">
        <v>148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 ht="16.5">
      <c r="A3" s="366"/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11" ht="16.5">
      <c r="A4" s="366"/>
      <c r="B4" s="366"/>
      <c r="C4" s="366"/>
      <c r="D4" s="366"/>
      <c r="E4" s="366"/>
      <c r="F4" s="366"/>
      <c r="G4" s="366"/>
      <c r="H4" s="366"/>
      <c r="I4" s="366"/>
      <c r="J4" s="366"/>
      <c r="K4" s="366"/>
    </row>
    <row r="5" spans="1:11" ht="12">
      <c r="A5" s="367"/>
      <c r="B5" s="367"/>
      <c r="C5" s="367"/>
      <c r="D5" s="367"/>
      <c r="E5" s="367"/>
      <c r="F5" s="367"/>
      <c r="G5" s="367"/>
      <c r="H5" s="367"/>
      <c r="I5" s="367"/>
      <c r="J5" s="367"/>
      <c r="K5" s="367"/>
    </row>
    <row r="6" ht="12">
      <c r="K6" s="368" t="s">
        <v>121</v>
      </c>
    </row>
    <row r="7" spans="1:14" s="255" customFormat="1" ht="14.25">
      <c r="A7" s="369" t="s">
        <v>122</v>
      </c>
      <c r="B7" s="370" t="s">
        <v>123</v>
      </c>
      <c r="C7" s="370" t="s">
        <v>124</v>
      </c>
      <c r="D7" s="370" t="s">
        <v>125</v>
      </c>
      <c r="E7" s="370" t="s">
        <v>126</v>
      </c>
      <c r="F7" s="371" t="s">
        <v>127</v>
      </c>
      <c r="G7" s="371"/>
      <c r="H7" s="370" t="s">
        <v>128</v>
      </c>
      <c r="I7" s="370" t="s">
        <v>129</v>
      </c>
      <c r="J7" s="370" t="s">
        <v>130</v>
      </c>
      <c r="K7" s="372" t="s">
        <v>131</v>
      </c>
      <c r="L7" s="254" t="s">
        <v>10</v>
      </c>
      <c r="M7" s="254"/>
      <c r="N7" s="254"/>
    </row>
    <row r="8" spans="1:14" s="255" customFormat="1" ht="14.25">
      <c r="A8" s="369"/>
      <c r="B8" s="370"/>
      <c r="C8" s="370"/>
      <c r="D8" s="370"/>
      <c r="E8" s="370"/>
      <c r="F8" s="371"/>
      <c r="G8" s="371"/>
      <c r="H8" s="370"/>
      <c r="I8" s="370"/>
      <c r="J8" s="370"/>
      <c r="K8" s="372"/>
      <c r="L8" s="260" t="s">
        <v>21</v>
      </c>
      <c r="M8" s="260"/>
      <c r="N8" s="260"/>
    </row>
    <row r="9" spans="1:14" s="255" customFormat="1" ht="14.25">
      <c r="A9" s="369"/>
      <c r="B9" s="370"/>
      <c r="C9" s="370"/>
      <c r="D9" s="370"/>
      <c r="E9" s="370"/>
      <c r="F9" s="373" t="s">
        <v>26</v>
      </c>
      <c r="G9" s="373" t="s">
        <v>27</v>
      </c>
      <c r="H9" s="370"/>
      <c r="I9" s="370"/>
      <c r="J9" s="370"/>
      <c r="K9" s="372"/>
      <c r="L9" s="254" t="s">
        <v>31</v>
      </c>
      <c r="M9" s="261" t="s">
        <v>32</v>
      </c>
      <c r="N9" s="262" t="s">
        <v>33</v>
      </c>
    </row>
    <row r="10" spans="1:14" s="270" customFormat="1" ht="14.25">
      <c r="A10" s="369"/>
      <c r="B10" s="370"/>
      <c r="C10" s="370"/>
      <c r="D10" s="370"/>
      <c r="E10" s="370"/>
      <c r="F10" s="373"/>
      <c r="G10" s="373"/>
      <c r="H10" s="370"/>
      <c r="I10" s="370"/>
      <c r="J10" s="370"/>
      <c r="K10" s="372"/>
      <c r="L10" s="268"/>
      <c r="M10" s="269"/>
      <c r="N10" s="268"/>
    </row>
    <row r="11" spans="1:14" s="282" customFormat="1" ht="21" customHeight="1">
      <c r="A11" s="374" t="s">
        <v>72</v>
      </c>
      <c r="B11" s="410" t="s">
        <v>149</v>
      </c>
      <c r="C11" s="411">
        <v>56000000</v>
      </c>
      <c r="D11" s="412">
        <v>38913</v>
      </c>
      <c r="E11" s="413">
        <v>38366</v>
      </c>
      <c r="F11" s="414" t="s">
        <v>36</v>
      </c>
      <c r="G11" s="415">
        <f>25+40+134+52</f>
        <v>251</v>
      </c>
      <c r="H11" s="416">
        <f>2659200+2137000+2800600+2600000</f>
        <v>10196800</v>
      </c>
      <c r="I11" s="417">
        <f>1279998.33+1592780.32+1677474.64+1557321.31</f>
        <v>6107574.6</v>
      </c>
      <c r="J11" s="418">
        <v>0.15</v>
      </c>
      <c r="K11" s="419" t="s">
        <v>82</v>
      </c>
      <c r="L11" s="279"/>
      <c r="M11" s="280"/>
      <c r="N11" s="281"/>
    </row>
    <row r="12" spans="1:14" s="282" customFormat="1" ht="15.75" customHeight="1">
      <c r="A12" s="374"/>
      <c r="B12" s="410"/>
      <c r="C12" s="411"/>
      <c r="D12" s="412"/>
      <c r="E12" s="412"/>
      <c r="F12" s="302" t="s">
        <v>36</v>
      </c>
      <c r="G12" s="303">
        <f>3000+2000+8590+15000</f>
        <v>28590</v>
      </c>
      <c r="H12" s="385">
        <f>2358000+62370000+11733940+25200000</f>
        <v>101661940</v>
      </c>
      <c r="I12" s="385">
        <f>1412370.64+37357742.45+7028274.95+15094037.35</f>
        <v>60892425.39000001</v>
      </c>
      <c r="J12" s="418"/>
      <c r="K12" s="418"/>
      <c r="L12" s="279"/>
      <c r="M12" s="280"/>
      <c r="N12" s="281"/>
    </row>
    <row r="13" spans="1:14" s="282" customFormat="1" ht="14.25">
      <c r="A13" s="374"/>
      <c r="B13" s="272" t="s">
        <v>150</v>
      </c>
      <c r="C13" s="375">
        <v>25000000</v>
      </c>
      <c r="D13" s="274">
        <v>38863</v>
      </c>
      <c r="E13" s="274">
        <v>38135</v>
      </c>
      <c r="F13" s="275" t="s">
        <v>137</v>
      </c>
      <c r="G13" s="276"/>
      <c r="H13" s="375">
        <v>30099571.54</v>
      </c>
      <c r="I13" s="375">
        <v>30099571.54</v>
      </c>
      <c r="J13" s="277">
        <v>0.18</v>
      </c>
      <c r="K13" s="285" t="s">
        <v>39</v>
      </c>
      <c r="L13" s="279"/>
      <c r="M13" s="280"/>
      <c r="N13" s="281" t="s">
        <v>39</v>
      </c>
    </row>
    <row r="14" spans="1:14" s="282" customFormat="1" ht="14.25">
      <c r="A14" s="374"/>
      <c r="B14" s="283" t="s">
        <v>36</v>
      </c>
      <c r="C14" s="375">
        <f>35000000-3414538</f>
        <v>31585462</v>
      </c>
      <c r="D14" s="274">
        <v>38716</v>
      </c>
      <c r="E14" s="274">
        <v>37981</v>
      </c>
      <c r="F14" s="275" t="s">
        <v>36</v>
      </c>
      <c r="G14" s="276"/>
      <c r="H14" s="375">
        <v>83613157</v>
      </c>
      <c r="I14" s="375">
        <v>48347712</v>
      </c>
      <c r="J14" s="284">
        <v>0.195</v>
      </c>
      <c r="K14" s="285" t="s">
        <v>39</v>
      </c>
      <c r="L14" s="279"/>
      <c r="M14" s="280"/>
      <c r="N14" s="281"/>
    </row>
    <row r="15" spans="1:14" s="282" customFormat="1" ht="14.25">
      <c r="A15" s="374"/>
      <c r="B15" s="283" t="s">
        <v>36</v>
      </c>
      <c r="C15" s="376">
        <v>100000000</v>
      </c>
      <c r="D15" s="377">
        <v>38786</v>
      </c>
      <c r="E15" s="377">
        <v>38429</v>
      </c>
      <c r="F15" s="378" t="s">
        <v>36</v>
      </c>
      <c r="G15" s="379"/>
      <c r="H15" s="376">
        <v>129136700</v>
      </c>
      <c r="I15" s="376">
        <v>100000000</v>
      </c>
      <c r="J15" s="380">
        <v>0.15</v>
      </c>
      <c r="K15" s="381" t="s">
        <v>133</v>
      </c>
      <c r="L15" s="279"/>
      <c r="M15" s="280"/>
      <c r="N15" s="281"/>
    </row>
    <row r="16" spans="1:14" s="282" customFormat="1" ht="14.25">
      <c r="A16" s="374"/>
      <c r="B16" s="382" t="s">
        <v>36</v>
      </c>
      <c r="C16" s="383"/>
      <c r="D16" s="288"/>
      <c r="E16" s="288"/>
      <c r="F16" s="289" t="s">
        <v>36</v>
      </c>
      <c r="G16" s="290">
        <v>255</v>
      </c>
      <c r="H16" s="383">
        <v>15045000</v>
      </c>
      <c r="I16" s="383">
        <v>7522500</v>
      </c>
      <c r="J16" s="291"/>
      <c r="K16" s="292"/>
      <c r="L16" s="279"/>
      <c r="M16" s="280"/>
      <c r="N16" s="281"/>
    </row>
    <row r="17" spans="1:14" s="282" customFormat="1" ht="14.25">
      <c r="A17" s="374"/>
      <c r="B17" s="382"/>
      <c r="C17" s="384">
        <v>15000000</v>
      </c>
      <c r="D17" s="294">
        <v>38704</v>
      </c>
      <c r="E17" s="294">
        <v>38371</v>
      </c>
      <c r="F17" s="295" t="s">
        <v>38</v>
      </c>
      <c r="G17" s="296">
        <v>2192</v>
      </c>
      <c r="H17" s="384">
        <v>68357520</v>
      </c>
      <c r="I17" s="384">
        <v>34178760</v>
      </c>
      <c r="J17" s="297">
        <v>0.18</v>
      </c>
      <c r="K17" s="298" t="s">
        <v>89</v>
      </c>
      <c r="L17" s="279"/>
      <c r="M17" s="280"/>
      <c r="N17" s="281"/>
    </row>
    <row r="18" spans="1:14" s="282" customFormat="1" ht="14.25">
      <c r="A18" s="374"/>
      <c r="B18" s="382"/>
      <c r="C18" s="384">
        <v>15000000</v>
      </c>
      <c r="D18" s="294"/>
      <c r="E18" s="294"/>
      <c r="F18" s="295" t="s">
        <v>36</v>
      </c>
      <c r="G18" s="296">
        <v>119</v>
      </c>
      <c r="H18" s="384">
        <v>7021000</v>
      </c>
      <c r="I18" s="384">
        <v>3510500</v>
      </c>
      <c r="J18" s="297"/>
      <c r="K18" s="298"/>
      <c r="L18" s="279"/>
      <c r="M18" s="280"/>
      <c r="N18" s="281"/>
    </row>
    <row r="19" spans="1:14" s="282" customFormat="1" ht="14.25">
      <c r="A19" s="374"/>
      <c r="B19" s="382"/>
      <c r="C19" s="385">
        <v>15000000</v>
      </c>
      <c r="D19" s="301"/>
      <c r="E19" s="301"/>
      <c r="F19" s="302"/>
      <c r="G19" s="303"/>
      <c r="H19" s="385"/>
      <c r="I19" s="385"/>
      <c r="J19" s="304"/>
      <c r="K19" s="305"/>
      <c r="L19" s="279"/>
      <c r="M19" s="280"/>
      <c r="N19" s="281"/>
    </row>
    <row r="20" spans="1:14" s="282" customFormat="1" ht="14.25">
      <c r="A20" s="374"/>
      <c r="B20" s="424" t="s">
        <v>36</v>
      </c>
      <c r="C20" s="384">
        <v>10000000</v>
      </c>
      <c r="D20" s="294">
        <v>38691</v>
      </c>
      <c r="E20" s="294">
        <v>38531</v>
      </c>
      <c r="F20" s="295"/>
      <c r="G20" s="296"/>
      <c r="H20" s="384"/>
      <c r="I20" s="384"/>
      <c r="J20" s="297">
        <v>0.22</v>
      </c>
      <c r="K20" s="298"/>
      <c r="L20" s="279"/>
      <c r="M20" s="280"/>
      <c r="N20" s="281"/>
    </row>
    <row r="21" spans="1:14" s="282" customFormat="1" ht="14.25">
      <c r="A21" s="374"/>
      <c r="B21" s="379" t="s">
        <v>38</v>
      </c>
      <c r="C21" s="383"/>
      <c r="D21" s="288"/>
      <c r="E21" s="288"/>
      <c r="F21" s="289" t="s">
        <v>108</v>
      </c>
      <c r="G21" s="290">
        <v>7</v>
      </c>
      <c r="H21" s="287">
        <v>19088000</v>
      </c>
      <c r="I21" s="383">
        <v>11363700</v>
      </c>
      <c r="J21" s="291"/>
      <c r="K21" s="292"/>
      <c r="L21" s="279"/>
      <c r="M21" s="280"/>
      <c r="N21" s="281"/>
    </row>
    <row r="22" spans="1:14" s="282" customFormat="1" ht="14.25">
      <c r="A22" s="374"/>
      <c r="B22" s="379"/>
      <c r="C22" s="384">
        <v>18000000</v>
      </c>
      <c r="D22" s="294">
        <v>38736</v>
      </c>
      <c r="E22" s="294">
        <v>38366</v>
      </c>
      <c r="F22" s="295" t="s">
        <v>38</v>
      </c>
      <c r="G22" s="296">
        <v>21</v>
      </c>
      <c r="H22" s="280">
        <v>5455800</v>
      </c>
      <c r="I22" s="384">
        <v>2727900</v>
      </c>
      <c r="J22" s="297">
        <v>0.18</v>
      </c>
      <c r="K22" s="298" t="s">
        <v>39</v>
      </c>
      <c r="L22" s="279"/>
      <c r="M22" s="280"/>
      <c r="N22" s="281"/>
    </row>
    <row r="23" spans="1:14" s="282" customFormat="1" ht="14.25">
      <c r="A23" s="374"/>
      <c r="B23" s="379"/>
      <c r="C23" s="385"/>
      <c r="D23" s="301"/>
      <c r="E23" s="301"/>
      <c r="F23" s="302" t="s">
        <v>36</v>
      </c>
      <c r="G23" s="303">
        <v>268</v>
      </c>
      <c r="H23" s="300">
        <v>16080000</v>
      </c>
      <c r="I23" s="385">
        <v>7236000</v>
      </c>
      <c r="J23" s="304"/>
      <c r="K23" s="305"/>
      <c r="L23" s="279"/>
      <c r="M23" s="280"/>
      <c r="N23" s="281"/>
    </row>
    <row r="24" spans="1:14" s="318" customFormat="1" ht="14.25">
      <c r="A24" s="374"/>
      <c r="B24" s="311" t="s">
        <v>41</v>
      </c>
      <c r="C24" s="386">
        <f>SUM(C11:C23)</f>
        <v>285585462</v>
      </c>
      <c r="D24" s="313"/>
      <c r="E24" s="312"/>
      <c r="F24" s="312"/>
      <c r="G24" s="312"/>
      <c r="H24" s="386">
        <f>SUM(H11:H23)</f>
        <v>485755488.53999996</v>
      </c>
      <c r="I24" s="386">
        <f>SUM(I11:I23)</f>
        <v>311986643.53000003</v>
      </c>
      <c r="J24" s="312"/>
      <c r="K24" s="328"/>
      <c r="L24" s="315">
        <f>SUM(L11:L15)</f>
        <v>0</v>
      </c>
      <c r="M24" s="316">
        <f>SUM(M11:M15)</f>
        <v>0</v>
      </c>
      <c r="N24" s="317" t="s">
        <v>42</v>
      </c>
    </row>
    <row r="25" spans="1:14" s="396" customFormat="1" ht="14.25">
      <c r="A25" s="422" t="s">
        <v>36</v>
      </c>
      <c r="B25" s="378" t="s">
        <v>36</v>
      </c>
      <c r="C25" s="388">
        <v>5000000</v>
      </c>
      <c r="D25" s="389">
        <v>38861</v>
      </c>
      <c r="E25" s="389"/>
      <c r="F25" s="382" t="s">
        <v>38</v>
      </c>
      <c r="G25" s="390">
        <v>1</v>
      </c>
      <c r="H25" s="388">
        <v>7100000</v>
      </c>
      <c r="I25" s="388">
        <v>7100000</v>
      </c>
      <c r="J25" s="391"/>
      <c r="K25" s="392"/>
      <c r="L25" s="393"/>
      <c r="M25" s="394"/>
      <c r="N25" s="395"/>
    </row>
    <row r="26" spans="1:14" s="396" customFormat="1" ht="14.25">
      <c r="A26" s="422"/>
      <c r="B26" s="397" t="s">
        <v>38</v>
      </c>
      <c r="C26" s="376">
        <v>30000000</v>
      </c>
      <c r="D26" s="377">
        <v>38806</v>
      </c>
      <c r="E26" s="377">
        <v>38442</v>
      </c>
      <c r="F26" s="382" t="s">
        <v>36</v>
      </c>
      <c r="G26" s="390">
        <v>1</v>
      </c>
      <c r="H26" s="376">
        <v>45000000</v>
      </c>
      <c r="I26" s="376">
        <v>45000000</v>
      </c>
      <c r="J26" s="380">
        <v>0.15</v>
      </c>
      <c r="K26" s="278" t="s">
        <v>82</v>
      </c>
      <c r="L26" s="393"/>
      <c r="M26" s="394"/>
      <c r="N26" s="395"/>
    </row>
    <row r="27" spans="1:14" s="396" customFormat="1" ht="14.25">
      <c r="A27" s="422"/>
      <c r="B27" s="272" t="s">
        <v>38</v>
      </c>
      <c r="C27" s="376">
        <v>37000000</v>
      </c>
      <c r="D27" s="377">
        <v>39018</v>
      </c>
      <c r="E27" s="377">
        <v>38447</v>
      </c>
      <c r="F27" s="382" t="s">
        <v>36</v>
      </c>
      <c r="G27" s="379"/>
      <c r="H27" s="376">
        <f>97466554.88</f>
        <v>97466554.88</v>
      </c>
      <c r="I27" s="376">
        <f>45000000*1.18</f>
        <v>53100000</v>
      </c>
      <c r="J27" s="380">
        <v>0.15</v>
      </c>
      <c r="K27" s="425" t="s">
        <v>142</v>
      </c>
      <c r="L27" s="393"/>
      <c r="M27" s="394"/>
      <c r="N27" s="395"/>
    </row>
    <row r="28" spans="1:14" s="396" customFormat="1" ht="14.25">
      <c r="A28" s="422"/>
      <c r="B28" s="272" t="s">
        <v>36</v>
      </c>
      <c r="C28" s="376">
        <v>25000000</v>
      </c>
      <c r="D28" s="377">
        <v>38547</v>
      </c>
      <c r="E28" s="377">
        <v>38517</v>
      </c>
      <c r="F28" s="382" t="s">
        <v>36</v>
      </c>
      <c r="G28" s="379">
        <v>1</v>
      </c>
      <c r="H28" s="376">
        <v>66614500</v>
      </c>
      <c r="I28" s="376">
        <v>50370000</v>
      </c>
      <c r="J28" s="380">
        <v>0.18</v>
      </c>
      <c r="K28" s="426">
        <v>38517</v>
      </c>
      <c r="L28" s="393"/>
      <c r="M28" s="394"/>
      <c r="N28" s="395"/>
    </row>
    <row r="29" spans="1:14" s="282" customFormat="1" ht="14.25">
      <c r="A29" s="423"/>
      <c r="B29" s="326" t="s">
        <v>41</v>
      </c>
      <c r="C29" s="402">
        <f>SUM(C25:C28)</f>
        <v>97000000</v>
      </c>
      <c r="D29" s="327"/>
      <c r="E29" s="327"/>
      <c r="F29" s="327"/>
      <c r="G29" s="327"/>
      <c r="H29" s="402">
        <f>SUM(H25:H28)</f>
        <v>216181054.88</v>
      </c>
      <c r="I29" s="402">
        <f>SUM(I25:I28)</f>
        <v>155570000</v>
      </c>
      <c r="J29" s="312"/>
      <c r="K29" s="328"/>
      <c r="L29" s="315" t="e">
        <f>SUM(#REF!)</f>
        <v>#REF!</v>
      </c>
      <c r="M29" s="316" t="e">
        <f>SUM(#REF!)</f>
        <v>#REF!</v>
      </c>
      <c r="N29" s="317" t="s">
        <v>42</v>
      </c>
    </row>
    <row r="30" spans="1:14" s="338" customFormat="1" ht="12.75" hidden="1">
      <c r="A30" s="329"/>
      <c r="B30" s="275"/>
      <c r="C30" s="403"/>
      <c r="D30" s="331"/>
      <c r="E30" s="332"/>
      <c r="F30" s="275"/>
      <c r="G30" s="275"/>
      <c r="H30" s="403"/>
      <c r="I30" s="403"/>
      <c r="J30" s="333"/>
      <c r="K30" s="334"/>
      <c r="L30" s="335" t="e">
        <f>C30*J30/365*#REF!</f>
        <v>#REF!</v>
      </c>
      <c r="M30" s="336">
        <v>1272986</v>
      </c>
      <c r="N30" s="337"/>
    </row>
    <row r="31" spans="1:14" s="338" customFormat="1" ht="12.75" hidden="1">
      <c r="A31" s="339"/>
      <c r="B31" s="340"/>
      <c r="C31" s="404"/>
      <c r="D31" s="341"/>
      <c r="E31" s="342"/>
      <c r="F31" s="302"/>
      <c r="G31" s="302"/>
      <c r="H31" s="404"/>
      <c r="I31" s="404"/>
      <c r="J31" s="333"/>
      <c r="K31" s="334"/>
      <c r="L31" s="343"/>
      <c r="M31" s="344"/>
      <c r="N31" s="337"/>
    </row>
    <row r="32" spans="1:14" s="338" customFormat="1" ht="12.75" hidden="1">
      <c r="A32" s="339"/>
      <c r="B32" s="345"/>
      <c r="C32" s="403"/>
      <c r="D32" s="331"/>
      <c r="E32" s="332"/>
      <c r="F32" s="275"/>
      <c r="G32" s="275"/>
      <c r="H32" s="403"/>
      <c r="I32" s="403"/>
      <c r="J32" s="346"/>
      <c r="K32" s="334"/>
      <c r="L32" s="335" t="e">
        <f>C32*J32/365*#REF!</f>
        <v>#REF!</v>
      </c>
      <c r="M32" s="344">
        <v>0</v>
      </c>
      <c r="N32" s="337"/>
    </row>
    <row r="33" spans="1:14" s="282" customFormat="1" ht="12.75" hidden="1">
      <c r="A33" s="310"/>
      <c r="B33" s="311" t="s">
        <v>41</v>
      </c>
      <c r="C33" s="386">
        <f>SUM(C30:C32)</f>
        <v>0</v>
      </c>
      <c r="D33" s="312"/>
      <c r="E33" s="312"/>
      <c r="F33" s="312"/>
      <c r="G33" s="312"/>
      <c r="H33" s="386">
        <f>SUM(H30:H32)</f>
        <v>0</v>
      </c>
      <c r="I33" s="386">
        <f>SUM(I30:I32)</f>
        <v>0</v>
      </c>
      <c r="J33" s="312"/>
      <c r="K33" s="314"/>
      <c r="L33" s="315" t="e">
        <f>SUM(L30:L32)</f>
        <v>#REF!</v>
      </c>
      <c r="M33" s="316">
        <f>SUM(M30:M32)</f>
        <v>1272986</v>
      </c>
      <c r="N33" s="317" t="s">
        <v>42</v>
      </c>
    </row>
    <row r="34" spans="1:14" s="354" customFormat="1" ht="14.25">
      <c r="A34" s="347" t="s">
        <v>59</v>
      </c>
      <c r="B34" s="347"/>
      <c r="C34" s="405">
        <f>C24+C29</f>
        <v>382585462</v>
      </c>
      <c r="D34" s="348"/>
      <c r="E34" s="348"/>
      <c r="F34" s="348"/>
      <c r="G34" s="348"/>
      <c r="H34" s="405">
        <f>H24+H29</f>
        <v>701936543.42</v>
      </c>
      <c r="I34" s="405">
        <f>I24+I29</f>
        <v>467556643.53000003</v>
      </c>
      <c r="J34" s="406"/>
      <c r="K34" s="407"/>
      <c r="L34" s="351" t="e">
        <f>L24+L29+L33+#REF!+#REF!</f>
        <v>#REF!</v>
      </c>
      <c r="M34" s="352" t="e">
        <f>M24+M29+M33+#REF!+#REF!</f>
        <v>#REF!</v>
      </c>
      <c r="N34" s="353" t="s">
        <v>42</v>
      </c>
    </row>
    <row r="35" spans="1:11" s="282" customFormat="1" ht="14.25">
      <c r="A35" s="355"/>
      <c r="B35" s="355"/>
      <c r="C35" s="356"/>
      <c r="D35" s="357"/>
      <c r="E35" s="358"/>
      <c r="F35" s="358"/>
      <c r="G35" s="358"/>
      <c r="H35" s="358"/>
      <c r="I35" s="358"/>
      <c r="J35" s="358"/>
      <c r="K35" s="358"/>
    </row>
    <row r="36" spans="1:11" s="282" customFormat="1" ht="14.25">
      <c r="A36" s="196"/>
      <c r="B36" s="355"/>
      <c r="C36" s="355"/>
      <c r="D36" s="357"/>
      <c r="E36" s="358"/>
      <c r="F36" s="358"/>
      <c r="G36" s="358"/>
      <c r="H36" s="358"/>
      <c r="I36" s="358"/>
      <c r="J36" s="358"/>
      <c r="K36" s="358"/>
    </row>
    <row r="37" spans="1:11" s="282" customFormat="1" ht="14.25">
      <c r="A37" s="359"/>
      <c r="B37" s="196" t="s">
        <v>151</v>
      </c>
      <c r="C37" s="355">
        <f>C38+C39</f>
        <v>40260000</v>
      </c>
      <c r="D37" s="357"/>
      <c r="E37" s="358"/>
      <c r="F37" s="358"/>
      <c r="G37" s="358"/>
      <c r="H37" s="358"/>
      <c r="I37" s="358"/>
      <c r="J37" s="358"/>
      <c r="K37" s="358"/>
    </row>
    <row r="38" spans="1:11" s="282" customFormat="1" ht="14.25">
      <c r="A38" s="359"/>
      <c r="B38" s="196" t="s">
        <v>36</v>
      </c>
      <c r="C38" s="355">
        <f>5260000+10000000</f>
        <v>15260000</v>
      </c>
      <c r="D38" s="358"/>
      <c r="E38" s="358"/>
      <c r="F38" s="358"/>
      <c r="G38" s="358"/>
      <c r="H38" s="358"/>
      <c r="I38" s="358"/>
      <c r="J38" s="358"/>
      <c r="K38" s="358"/>
    </row>
    <row r="39" spans="1:11" s="282" customFormat="1" ht="14.25">
      <c r="A39" s="359"/>
      <c r="B39" s="355" t="s">
        <v>36</v>
      </c>
      <c r="C39" s="421">
        <f>C28</f>
        <v>25000000</v>
      </c>
      <c r="D39" s="364"/>
      <c r="E39" s="358"/>
      <c r="F39" s="358"/>
      <c r="G39" s="358"/>
      <c r="H39" s="358"/>
      <c r="I39" s="358"/>
      <c r="J39" s="358"/>
      <c r="K39" s="358"/>
    </row>
    <row r="40" spans="1:11" ht="14.25">
      <c r="A40" s="203"/>
      <c r="B40" s="360"/>
      <c r="C40" s="361"/>
      <c r="D40" s="203"/>
      <c r="E40" s="132"/>
      <c r="F40" s="132"/>
      <c r="G40" s="132"/>
      <c r="H40" s="132"/>
      <c r="I40" s="132"/>
      <c r="J40" s="132"/>
      <c r="K40" s="132"/>
    </row>
    <row r="41" spans="1:11" ht="14.25">
      <c r="A41" s="203"/>
      <c r="B41" s="360"/>
      <c r="C41" s="361"/>
      <c r="D41" s="203"/>
      <c r="E41" s="132"/>
      <c r="F41" s="132"/>
      <c r="G41" s="132"/>
      <c r="H41" s="132"/>
      <c r="I41" s="132"/>
      <c r="J41" s="132"/>
      <c r="K41" s="132"/>
    </row>
    <row r="42" spans="1:11" ht="51" customHeight="1">
      <c r="A42" s="204"/>
      <c r="B42" s="360"/>
      <c r="C42" s="361"/>
      <c r="D42" s="195"/>
      <c r="E42" s="132"/>
      <c r="F42" s="132"/>
      <c r="G42" s="132"/>
      <c r="H42" s="132"/>
      <c r="I42" s="132"/>
      <c r="J42" s="132"/>
      <c r="K42" s="132"/>
    </row>
    <row r="43" spans="1:11" s="207" customFormat="1" ht="16.5">
      <c r="A43" s="409" t="s">
        <v>36</v>
      </c>
      <c r="B43" s="409"/>
      <c r="C43" s="409"/>
      <c r="D43" s="409"/>
      <c r="E43" s="409"/>
      <c r="F43" s="409"/>
      <c r="G43" s="409"/>
      <c r="H43" s="409"/>
      <c r="I43" s="409"/>
      <c r="J43" s="409"/>
      <c r="K43" s="409"/>
    </row>
    <row r="46" ht="36.75" customHeight="1"/>
    <row r="48" spans="1:2" ht="14.25">
      <c r="A48" s="362" t="s">
        <v>61</v>
      </c>
      <c r="B48" s="363"/>
    </row>
    <row r="49" spans="1:2" ht="14.25">
      <c r="A49" s="362" t="s">
        <v>36</v>
      </c>
      <c r="B49" s="362"/>
    </row>
    <row r="50" ht="14.25">
      <c r="A50" s="208"/>
    </row>
  </sheetData>
  <mergeCells count="32">
    <mergeCell ref="A1:K1"/>
    <mergeCell ref="A2:K2"/>
    <mergeCell ref="A5:K5"/>
    <mergeCell ref="A7:A10"/>
    <mergeCell ref="B7:B10"/>
    <mergeCell ref="C7:C10"/>
    <mergeCell ref="D7:D10"/>
    <mergeCell ref="E7:E10"/>
    <mergeCell ref="F7:G8"/>
    <mergeCell ref="H7:H10"/>
    <mergeCell ref="I7:I10"/>
    <mergeCell ref="J7:J10"/>
    <mergeCell ref="K7:K10"/>
    <mergeCell ref="L7:N7"/>
    <mergeCell ref="L8:N8"/>
    <mergeCell ref="F9:F10"/>
    <mergeCell ref="G9:G10"/>
    <mergeCell ref="A11:A24"/>
    <mergeCell ref="B11:B12"/>
    <mergeCell ref="C11:C12"/>
    <mergeCell ref="D11:D12"/>
    <mergeCell ref="E11:E12"/>
    <mergeCell ref="J11:J12"/>
    <mergeCell ref="K11:K12"/>
    <mergeCell ref="B16:B19"/>
    <mergeCell ref="B21:B23"/>
    <mergeCell ref="A25:A28"/>
    <mergeCell ref="J30:J31"/>
    <mergeCell ref="K30:K32"/>
    <mergeCell ref="A34:B34"/>
    <mergeCell ref="A35:B35"/>
    <mergeCell ref="A43:K43"/>
  </mergeCells>
  <printOptions/>
  <pageMargins left="0.45" right="0.49027777777777776" top="0.5" bottom="0.5201388888888889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workbookViewId="0" topLeftCell="A1">
      <selection activeCell="F28" sqref="F28"/>
    </sheetView>
  </sheetViews>
  <sheetFormatPr defaultColWidth="9.00390625" defaultRowHeight="12.75"/>
  <cols>
    <col min="1" max="1" width="30.875" style="1" customWidth="1"/>
    <col min="2" max="2" width="27.00390625" style="0" customWidth="1"/>
    <col min="3" max="3" width="14.375" style="0" customWidth="1"/>
    <col min="4" max="4" width="13.875" style="2" customWidth="1"/>
    <col min="5" max="5" width="14.875" style="0" customWidth="1"/>
    <col min="6" max="6" width="39.875" style="0" customWidth="1"/>
    <col min="7" max="7" width="8.25390625" style="0" customWidth="1"/>
    <col min="8" max="8" width="15.625" style="0" customWidth="1"/>
    <col min="9" max="9" width="14.625" style="0" customWidth="1"/>
    <col min="10" max="10" width="10.625" style="0" customWidth="1"/>
    <col min="11" max="11" width="31.625" style="0" customWidth="1"/>
    <col min="12" max="14" width="0" style="0" hidden="1" customWidth="1"/>
    <col min="15" max="15" width="22.00390625" style="0" customWidth="1"/>
  </cols>
  <sheetData>
    <row r="1" spans="1:11" ht="16.5">
      <c r="A1" s="365" t="s">
        <v>119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1" ht="16.5">
      <c r="A2" s="365" t="s">
        <v>36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 ht="16.5">
      <c r="A3" s="366"/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11" ht="16.5">
      <c r="A4" s="366"/>
      <c r="B4" s="366"/>
      <c r="C4" s="366"/>
      <c r="D4" s="366"/>
      <c r="E4" s="366"/>
      <c r="F4" s="366"/>
      <c r="G4" s="366"/>
      <c r="H4" s="366"/>
      <c r="I4" s="366"/>
      <c r="J4" s="366"/>
      <c r="K4" s="366"/>
    </row>
    <row r="5" spans="1:11" ht="12">
      <c r="A5" s="367"/>
      <c r="B5" s="367"/>
      <c r="C5" s="367"/>
      <c r="D5" s="367"/>
      <c r="E5" s="367"/>
      <c r="F5" s="367"/>
      <c r="G5" s="367"/>
      <c r="H5" s="367"/>
      <c r="I5" s="367"/>
      <c r="J5" s="367"/>
      <c r="K5" s="367"/>
    </row>
    <row r="6" ht="12">
      <c r="K6" s="368" t="s">
        <v>121</v>
      </c>
    </row>
    <row r="7" spans="1:14" s="255" customFormat="1" ht="14.25">
      <c r="A7" s="369" t="s">
        <v>122</v>
      </c>
      <c r="B7" s="370" t="s">
        <v>123</v>
      </c>
      <c r="C7" s="370" t="s">
        <v>124</v>
      </c>
      <c r="D7" s="370" t="s">
        <v>125</v>
      </c>
      <c r="E7" s="370" t="s">
        <v>126</v>
      </c>
      <c r="F7" s="371" t="s">
        <v>127</v>
      </c>
      <c r="G7" s="371"/>
      <c r="H7" s="370" t="s">
        <v>128</v>
      </c>
      <c r="I7" s="370" t="s">
        <v>129</v>
      </c>
      <c r="J7" s="370" t="s">
        <v>130</v>
      </c>
      <c r="K7" s="372" t="s">
        <v>131</v>
      </c>
      <c r="L7" s="254" t="s">
        <v>10</v>
      </c>
      <c r="M7" s="254"/>
      <c r="N7" s="254"/>
    </row>
    <row r="8" spans="1:14" s="255" customFormat="1" ht="14.25">
      <c r="A8" s="369"/>
      <c r="B8" s="370"/>
      <c r="C8" s="370"/>
      <c r="D8" s="370"/>
      <c r="E8" s="370"/>
      <c r="F8" s="371"/>
      <c r="G8" s="371"/>
      <c r="H8" s="370"/>
      <c r="I8" s="370"/>
      <c r="J8" s="370"/>
      <c r="K8" s="372"/>
      <c r="L8" s="260" t="s">
        <v>21</v>
      </c>
      <c r="M8" s="260"/>
      <c r="N8" s="260"/>
    </row>
    <row r="9" spans="1:14" s="255" customFormat="1" ht="14.25">
      <c r="A9" s="369"/>
      <c r="B9" s="370"/>
      <c r="C9" s="370"/>
      <c r="D9" s="370"/>
      <c r="E9" s="370"/>
      <c r="F9" s="373" t="s">
        <v>26</v>
      </c>
      <c r="G9" s="373" t="s">
        <v>27</v>
      </c>
      <c r="H9" s="370"/>
      <c r="I9" s="370"/>
      <c r="J9" s="370"/>
      <c r="K9" s="372"/>
      <c r="L9" s="254" t="s">
        <v>31</v>
      </c>
      <c r="M9" s="261" t="s">
        <v>32</v>
      </c>
      <c r="N9" s="262" t="s">
        <v>33</v>
      </c>
    </row>
    <row r="10" spans="1:14" s="270" customFormat="1" ht="14.25">
      <c r="A10" s="369"/>
      <c r="B10" s="370"/>
      <c r="C10" s="370"/>
      <c r="D10" s="370"/>
      <c r="E10" s="370"/>
      <c r="F10" s="373"/>
      <c r="G10" s="373"/>
      <c r="H10" s="370"/>
      <c r="I10" s="370"/>
      <c r="J10" s="370"/>
      <c r="K10" s="372"/>
      <c r="L10" s="268"/>
      <c r="M10" s="269"/>
      <c r="N10" s="268"/>
    </row>
    <row r="11" spans="1:14" s="282" customFormat="1" ht="21" customHeight="1">
      <c r="A11" s="374" t="s">
        <v>36</v>
      </c>
      <c r="B11" s="410" t="s">
        <v>152</v>
      </c>
      <c r="C11" s="411">
        <v>56000000</v>
      </c>
      <c r="D11" s="412">
        <v>38913</v>
      </c>
      <c r="E11" s="413">
        <v>38366</v>
      </c>
      <c r="F11" s="414" t="s">
        <v>36</v>
      </c>
      <c r="G11" s="415">
        <f>25+40+134+52</f>
        <v>251</v>
      </c>
      <c r="H11" s="416">
        <f>2659200+2137000+2800600+2600000</f>
        <v>10196800</v>
      </c>
      <c r="I11" s="417">
        <f>1279998.33+1592780.32+1677474.64+1557321.31</f>
        <v>6107574.6</v>
      </c>
      <c r="J11" s="418">
        <v>0.15</v>
      </c>
      <c r="K11" s="419" t="s">
        <v>82</v>
      </c>
      <c r="L11" s="279"/>
      <c r="M11" s="280"/>
      <c r="N11" s="281"/>
    </row>
    <row r="12" spans="1:14" s="282" customFormat="1" ht="15.75" customHeight="1">
      <c r="A12" s="374"/>
      <c r="B12" s="410"/>
      <c r="C12" s="411"/>
      <c r="D12" s="412"/>
      <c r="E12" s="412"/>
      <c r="F12" s="302" t="s">
        <v>36</v>
      </c>
      <c r="G12" s="303">
        <f>3000+2000+8590+15000</f>
        <v>28590</v>
      </c>
      <c r="H12" s="385">
        <f>2358000+62370000+11733940+25200000</f>
        <v>101661940</v>
      </c>
      <c r="I12" s="385">
        <f>1412370.64+37357742.45+7028274.95+15094037.35</f>
        <v>60892425.39000001</v>
      </c>
      <c r="J12" s="418"/>
      <c r="K12" s="418"/>
      <c r="L12" s="279"/>
      <c r="M12" s="280"/>
      <c r="N12" s="281"/>
    </row>
    <row r="13" spans="1:14" s="282" customFormat="1" ht="14.25">
      <c r="A13" s="374"/>
      <c r="B13" s="272" t="s">
        <v>36</v>
      </c>
      <c r="C13" s="375">
        <v>25000000</v>
      </c>
      <c r="D13" s="274">
        <v>38863</v>
      </c>
      <c r="E13" s="274">
        <v>38135</v>
      </c>
      <c r="F13" s="275" t="s">
        <v>88</v>
      </c>
      <c r="G13" s="276"/>
      <c r="H13" s="375">
        <v>30099571.54</v>
      </c>
      <c r="I13" s="375">
        <v>30099571.54</v>
      </c>
      <c r="J13" s="277">
        <v>0.18</v>
      </c>
      <c r="K13" s="285" t="s">
        <v>39</v>
      </c>
      <c r="L13" s="279"/>
      <c r="M13" s="280"/>
      <c r="N13" s="281" t="s">
        <v>39</v>
      </c>
    </row>
    <row r="14" spans="1:14" s="282" customFormat="1" ht="14.25">
      <c r="A14" s="374"/>
      <c r="B14" s="283" t="s">
        <v>36</v>
      </c>
      <c r="C14" s="375">
        <f>35000000-3414538-5260000</f>
        <v>26325462</v>
      </c>
      <c r="D14" s="274">
        <v>38716</v>
      </c>
      <c r="E14" s="274">
        <v>37981</v>
      </c>
      <c r="F14" s="275" t="s">
        <v>36</v>
      </c>
      <c r="G14" s="276"/>
      <c r="H14" s="375">
        <v>83613157</v>
      </c>
      <c r="I14" s="375">
        <v>48347712</v>
      </c>
      <c r="J14" s="284">
        <v>0.195</v>
      </c>
      <c r="K14" s="285" t="s">
        <v>39</v>
      </c>
      <c r="L14" s="279"/>
      <c r="M14" s="280"/>
      <c r="N14" s="281"/>
    </row>
    <row r="15" spans="1:14" s="282" customFormat="1" ht="14.25">
      <c r="A15" s="374"/>
      <c r="B15" s="283" t="s">
        <v>36</v>
      </c>
      <c r="C15" s="376">
        <v>100000000</v>
      </c>
      <c r="D15" s="377">
        <v>38786</v>
      </c>
      <c r="E15" s="377">
        <v>38429</v>
      </c>
      <c r="F15" s="378" t="s">
        <v>38</v>
      </c>
      <c r="G15" s="379"/>
      <c r="H15" s="376">
        <v>129136700</v>
      </c>
      <c r="I15" s="376">
        <v>100000000</v>
      </c>
      <c r="J15" s="380">
        <v>0.15</v>
      </c>
      <c r="K15" s="381" t="s">
        <v>133</v>
      </c>
      <c r="L15" s="279"/>
      <c r="M15" s="280"/>
      <c r="N15" s="281"/>
    </row>
    <row r="16" spans="1:14" s="282" customFormat="1" ht="14.25">
      <c r="A16" s="374"/>
      <c r="B16" s="382" t="s">
        <v>38</v>
      </c>
      <c r="C16" s="383"/>
      <c r="D16" s="288"/>
      <c r="E16" s="288"/>
      <c r="F16" s="289" t="s">
        <v>36</v>
      </c>
      <c r="G16" s="290">
        <v>255</v>
      </c>
      <c r="H16" s="383">
        <v>15045000</v>
      </c>
      <c r="I16" s="383">
        <v>7522500</v>
      </c>
      <c r="J16" s="291"/>
      <c r="K16" s="292"/>
      <c r="L16" s="279"/>
      <c r="M16" s="280"/>
      <c r="N16" s="281"/>
    </row>
    <row r="17" spans="1:14" s="282" customFormat="1" ht="14.25">
      <c r="A17" s="374"/>
      <c r="B17" s="382"/>
      <c r="C17" s="384">
        <v>15000000</v>
      </c>
      <c r="D17" s="294">
        <v>38704</v>
      </c>
      <c r="E17" s="294">
        <v>38371</v>
      </c>
      <c r="F17" s="295" t="s">
        <v>88</v>
      </c>
      <c r="G17" s="296">
        <v>2192</v>
      </c>
      <c r="H17" s="384">
        <v>68357520</v>
      </c>
      <c r="I17" s="384">
        <v>34178760</v>
      </c>
      <c r="J17" s="297">
        <v>0.18</v>
      </c>
      <c r="K17" s="298" t="s">
        <v>89</v>
      </c>
      <c r="L17" s="279"/>
      <c r="M17" s="280"/>
      <c r="N17" s="281"/>
    </row>
    <row r="18" spans="1:14" s="282" customFormat="1" ht="14.25">
      <c r="A18" s="374"/>
      <c r="B18" s="382"/>
      <c r="C18" s="384">
        <v>15000000</v>
      </c>
      <c r="D18" s="294"/>
      <c r="E18" s="294"/>
      <c r="F18" s="295" t="s">
        <v>36</v>
      </c>
      <c r="G18" s="296">
        <v>119</v>
      </c>
      <c r="H18" s="384">
        <v>7021000</v>
      </c>
      <c r="I18" s="384">
        <v>3510500</v>
      </c>
      <c r="J18" s="297"/>
      <c r="K18" s="298"/>
      <c r="L18" s="279"/>
      <c r="M18" s="280"/>
      <c r="N18" s="281"/>
    </row>
    <row r="19" spans="1:14" s="282" customFormat="1" ht="14.25">
      <c r="A19" s="374"/>
      <c r="B19" s="382"/>
      <c r="C19" s="385">
        <v>15000000</v>
      </c>
      <c r="D19" s="301"/>
      <c r="E19" s="301"/>
      <c r="F19" s="302"/>
      <c r="G19" s="303"/>
      <c r="H19" s="385"/>
      <c r="I19" s="385"/>
      <c r="J19" s="304"/>
      <c r="K19" s="305"/>
      <c r="L19" s="279"/>
      <c r="M19" s="280"/>
      <c r="N19" s="281"/>
    </row>
    <row r="20" spans="1:14" s="282" customFormat="1" ht="14.25">
      <c r="A20" s="374"/>
      <c r="B20" s="424" t="s">
        <v>45</v>
      </c>
      <c r="C20" s="384">
        <v>10000000</v>
      </c>
      <c r="D20" s="294">
        <v>38691</v>
      </c>
      <c r="E20" s="294">
        <v>38531</v>
      </c>
      <c r="F20" s="295"/>
      <c r="G20" s="296"/>
      <c r="H20" s="384"/>
      <c r="I20" s="384"/>
      <c r="J20" s="297">
        <v>0.22</v>
      </c>
      <c r="K20" s="298"/>
      <c r="L20" s="279"/>
      <c r="M20" s="280"/>
      <c r="N20" s="281"/>
    </row>
    <row r="21" spans="1:14" s="282" customFormat="1" ht="14.25">
      <c r="A21" s="374"/>
      <c r="B21" s="379" t="s">
        <v>36</v>
      </c>
      <c r="C21" s="383"/>
      <c r="D21" s="288"/>
      <c r="E21" s="288"/>
      <c r="F21" s="289" t="s">
        <v>153</v>
      </c>
      <c r="G21" s="290">
        <v>7</v>
      </c>
      <c r="H21" s="287">
        <v>19088000</v>
      </c>
      <c r="I21" s="383">
        <v>11363700</v>
      </c>
      <c r="J21" s="291"/>
      <c r="K21" s="292"/>
      <c r="L21" s="279"/>
      <c r="M21" s="280"/>
      <c r="N21" s="281"/>
    </row>
    <row r="22" spans="1:14" s="282" customFormat="1" ht="14.25">
      <c r="A22" s="374"/>
      <c r="B22" s="379"/>
      <c r="C22" s="384">
        <v>18000000</v>
      </c>
      <c r="D22" s="294">
        <v>38736</v>
      </c>
      <c r="E22" s="294">
        <v>38366</v>
      </c>
      <c r="F22" s="295" t="s">
        <v>153</v>
      </c>
      <c r="G22" s="296">
        <v>21</v>
      </c>
      <c r="H22" s="280">
        <v>5455800</v>
      </c>
      <c r="I22" s="384">
        <v>2727900</v>
      </c>
      <c r="J22" s="297">
        <v>0.18</v>
      </c>
      <c r="K22" s="298" t="s">
        <v>39</v>
      </c>
      <c r="L22" s="279"/>
      <c r="M22" s="280"/>
      <c r="N22" s="281"/>
    </row>
    <row r="23" spans="1:14" s="282" customFormat="1" ht="14.25">
      <c r="A23" s="374"/>
      <c r="B23" s="379"/>
      <c r="C23" s="385"/>
      <c r="D23" s="301"/>
      <c r="E23" s="301"/>
      <c r="F23" s="302" t="s">
        <v>36</v>
      </c>
      <c r="G23" s="303">
        <v>268</v>
      </c>
      <c r="H23" s="300">
        <v>16080000</v>
      </c>
      <c r="I23" s="385">
        <v>7236000</v>
      </c>
      <c r="J23" s="304"/>
      <c r="K23" s="305"/>
      <c r="L23" s="279"/>
      <c r="M23" s="280"/>
      <c r="N23" s="281"/>
    </row>
    <row r="24" spans="1:14" s="318" customFormat="1" ht="14.25">
      <c r="A24" s="374"/>
      <c r="B24" s="311" t="s">
        <v>88</v>
      </c>
      <c r="C24" s="386">
        <f>SUM(C11:C23)</f>
        <v>280325462</v>
      </c>
      <c r="D24" s="313"/>
      <c r="E24" s="312"/>
      <c r="F24" s="312" t="s">
        <v>36</v>
      </c>
      <c r="G24" s="312"/>
      <c r="H24" s="386">
        <f>SUM(H11:H23)</f>
        <v>485755488.53999996</v>
      </c>
      <c r="I24" s="386">
        <f>SUM(I11:I23)</f>
        <v>311986643.53000003</v>
      </c>
      <c r="J24" s="312"/>
      <c r="K24" s="328"/>
      <c r="L24" s="315">
        <f>SUM(L11:L15)</f>
        <v>0</v>
      </c>
      <c r="M24" s="316">
        <f>SUM(M11:M15)</f>
        <v>0</v>
      </c>
      <c r="N24" s="317" t="s">
        <v>42</v>
      </c>
    </row>
    <row r="25" spans="1:14" s="396" customFormat="1" ht="14.25">
      <c r="A25" s="422" t="s">
        <v>36</v>
      </c>
      <c r="B25" s="378" t="s">
        <v>36</v>
      </c>
      <c r="C25" s="388">
        <v>5000000</v>
      </c>
      <c r="D25" s="389">
        <v>38861</v>
      </c>
      <c r="E25" s="389"/>
      <c r="F25" s="382" t="s">
        <v>36</v>
      </c>
      <c r="G25" s="390">
        <v>1</v>
      </c>
      <c r="H25" s="388">
        <v>7100000</v>
      </c>
      <c r="I25" s="388">
        <v>7100000</v>
      </c>
      <c r="J25" s="391"/>
      <c r="K25" s="392"/>
      <c r="L25" s="393"/>
      <c r="M25" s="394"/>
      <c r="N25" s="395"/>
    </row>
    <row r="26" spans="1:14" s="396" customFormat="1" ht="14.25">
      <c r="A26" s="422"/>
      <c r="B26" s="397" t="s">
        <v>36</v>
      </c>
      <c r="C26" s="376">
        <v>30000000</v>
      </c>
      <c r="D26" s="377">
        <v>38806</v>
      </c>
      <c r="E26" s="377">
        <v>38442</v>
      </c>
      <c r="F26" s="382" t="s">
        <v>36</v>
      </c>
      <c r="G26" s="390">
        <v>1</v>
      </c>
      <c r="H26" s="376">
        <v>45000000</v>
      </c>
      <c r="I26" s="376">
        <v>45000000</v>
      </c>
      <c r="J26" s="380">
        <v>0.15</v>
      </c>
      <c r="K26" s="278" t="s">
        <v>82</v>
      </c>
      <c r="L26" s="393"/>
      <c r="M26" s="394"/>
      <c r="N26" s="395"/>
    </row>
    <row r="27" spans="1:14" s="396" customFormat="1" ht="14.25">
      <c r="A27" s="422"/>
      <c r="B27" s="272" t="s">
        <v>88</v>
      </c>
      <c r="C27" s="376">
        <v>37000000</v>
      </c>
      <c r="D27" s="377">
        <v>39018</v>
      </c>
      <c r="E27" s="377">
        <v>38447</v>
      </c>
      <c r="F27" s="382" t="s">
        <v>36</v>
      </c>
      <c r="G27" s="379"/>
      <c r="H27" s="376">
        <f>97466554.88</f>
        <v>97466554.88</v>
      </c>
      <c r="I27" s="376">
        <f>45000000*1.18</f>
        <v>53100000</v>
      </c>
      <c r="J27" s="380">
        <v>0.15</v>
      </c>
      <c r="K27" s="425" t="s">
        <v>142</v>
      </c>
      <c r="L27" s="393"/>
      <c r="M27" s="394"/>
      <c r="N27" s="395"/>
    </row>
    <row r="28" spans="1:14" s="396" customFormat="1" ht="14.25">
      <c r="A28" s="422"/>
      <c r="B28" s="272" t="s">
        <v>38</v>
      </c>
      <c r="C28" s="376">
        <v>25000000</v>
      </c>
      <c r="D28" s="377">
        <v>38583</v>
      </c>
      <c r="E28" s="377">
        <v>38552</v>
      </c>
      <c r="F28" s="382" t="s">
        <v>80</v>
      </c>
      <c r="G28" s="379">
        <v>1</v>
      </c>
      <c r="H28" s="376">
        <v>66614500</v>
      </c>
      <c r="I28" s="376">
        <v>50370000</v>
      </c>
      <c r="J28" s="380">
        <v>0.18</v>
      </c>
      <c r="K28" s="426">
        <v>38583</v>
      </c>
      <c r="L28" s="393"/>
      <c r="M28" s="394"/>
      <c r="N28" s="395"/>
    </row>
    <row r="29" spans="1:14" s="282" customFormat="1" ht="14.25">
      <c r="A29" s="423"/>
      <c r="B29" s="326" t="s">
        <v>41</v>
      </c>
      <c r="C29" s="402">
        <f>SUM(C25:C28)</f>
        <v>97000000</v>
      </c>
      <c r="D29" s="327"/>
      <c r="E29" s="327"/>
      <c r="F29" s="327"/>
      <c r="G29" s="327"/>
      <c r="H29" s="402">
        <f>SUM(H25:H28)</f>
        <v>216181054.88</v>
      </c>
      <c r="I29" s="402">
        <f>SUM(I25:I28)</f>
        <v>155570000</v>
      </c>
      <c r="J29" s="312"/>
      <c r="K29" s="328"/>
      <c r="L29" s="315" t="e">
        <f>SUM(#REF!)</f>
        <v>#REF!</v>
      </c>
      <c r="M29" s="316" t="e">
        <f>SUM(#REF!)</f>
        <v>#REF!</v>
      </c>
      <c r="N29" s="317" t="s">
        <v>42</v>
      </c>
    </row>
    <row r="30" spans="1:14" s="338" customFormat="1" ht="12.75" hidden="1">
      <c r="A30" s="329"/>
      <c r="B30" s="275"/>
      <c r="C30" s="403"/>
      <c r="D30" s="331"/>
      <c r="E30" s="332"/>
      <c r="F30" s="275"/>
      <c r="G30" s="275"/>
      <c r="H30" s="403"/>
      <c r="I30" s="403"/>
      <c r="J30" s="333"/>
      <c r="K30" s="334"/>
      <c r="L30" s="335" t="e">
        <f>C30*J30/365*#REF!</f>
        <v>#REF!</v>
      </c>
      <c r="M30" s="336">
        <v>1272986</v>
      </c>
      <c r="N30" s="337"/>
    </row>
    <row r="31" spans="1:14" s="338" customFormat="1" ht="12.75" hidden="1">
      <c r="A31" s="339"/>
      <c r="B31" s="340"/>
      <c r="C31" s="404"/>
      <c r="D31" s="341"/>
      <c r="E31" s="342"/>
      <c r="F31" s="302"/>
      <c r="G31" s="302"/>
      <c r="H31" s="404"/>
      <c r="I31" s="404"/>
      <c r="J31" s="333"/>
      <c r="K31" s="334"/>
      <c r="L31" s="343"/>
      <c r="M31" s="344"/>
      <c r="N31" s="337"/>
    </row>
    <row r="32" spans="1:14" s="338" customFormat="1" ht="12.75" hidden="1">
      <c r="A32" s="339"/>
      <c r="B32" s="345"/>
      <c r="C32" s="403"/>
      <c r="D32" s="331"/>
      <c r="E32" s="332"/>
      <c r="F32" s="275"/>
      <c r="G32" s="275"/>
      <c r="H32" s="403"/>
      <c r="I32" s="403"/>
      <c r="J32" s="346"/>
      <c r="K32" s="334"/>
      <c r="L32" s="335" t="e">
        <f>C32*J32/365*#REF!</f>
        <v>#REF!</v>
      </c>
      <c r="M32" s="344">
        <v>0</v>
      </c>
      <c r="N32" s="337"/>
    </row>
    <row r="33" spans="1:14" s="282" customFormat="1" ht="12.75" hidden="1">
      <c r="A33" s="310"/>
      <c r="B33" s="311" t="s">
        <v>41</v>
      </c>
      <c r="C33" s="386">
        <f>SUM(C30:C32)</f>
        <v>0</v>
      </c>
      <c r="D33" s="312"/>
      <c r="E33" s="312"/>
      <c r="F33" s="312"/>
      <c r="G33" s="312"/>
      <c r="H33" s="386">
        <f>SUM(H30:H32)</f>
        <v>0</v>
      </c>
      <c r="I33" s="386">
        <f>SUM(I30:I32)</f>
        <v>0</v>
      </c>
      <c r="J33" s="312"/>
      <c r="K33" s="314"/>
      <c r="L33" s="315" t="e">
        <f>SUM(L30:L32)</f>
        <v>#REF!</v>
      </c>
      <c r="M33" s="316">
        <f>SUM(M30:M32)</f>
        <v>1272986</v>
      </c>
      <c r="N33" s="317" t="s">
        <v>42</v>
      </c>
    </row>
    <row r="34" spans="1:14" s="354" customFormat="1" ht="14.25">
      <c r="A34" s="347" t="s">
        <v>59</v>
      </c>
      <c r="B34" s="347"/>
      <c r="C34" s="405">
        <f>C24+C29</f>
        <v>377325462</v>
      </c>
      <c r="D34" s="348"/>
      <c r="E34" s="348"/>
      <c r="F34" s="348"/>
      <c r="G34" s="348"/>
      <c r="H34" s="405">
        <f>H24+H29</f>
        <v>701936543.42</v>
      </c>
      <c r="I34" s="405">
        <f>I24+I29</f>
        <v>467556643.53000003</v>
      </c>
      <c r="J34" s="406"/>
      <c r="K34" s="407"/>
      <c r="L34" s="351" t="e">
        <f>L24+L29+L33+#REF!+#REF!</f>
        <v>#REF!</v>
      </c>
      <c r="M34" s="352" t="e">
        <f>M24+M29+M33+#REF!+#REF!</f>
        <v>#REF!</v>
      </c>
      <c r="N34" s="353" t="s">
        <v>42</v>
      </c>
    </row>
    <row r="35" spans="1:11" s="282" customFormat="1" ht="14.25">
      <c r="A35" s="355"/>
      <c r="B35" s="355"/>
      <c r="C35" s="356"/>
      <c r="D35" s="357"/>
      <c r="E35" s="358"/>
      <c r="F35" s="358"/>
      <c r="G35" s="358"/>
      <c r="H35" s="358"/>
      <c r="I35" s="358"/>
      <c r="J35" s="358"/>
      <c r="K35" s="358"/>
    </row>
    <row r="36" spans="1:11" s="282" customFormat="1" ht="14.25">
      <c r="A36" s="196"/>
      <c r="B36" s="355"/>
      <c r="C36" s="355"/>
      <c r="D36" s="357"/>
      <c r="E36" s="358"/>
      <c r="F36" s="358"/>
      <c r="G36" s="358"/>
      <c r="H36" s="358"/>
      <c r="I36" s="358"/>
      <c r="J36" s="358"/>
      <c r="K36" s="358"/>
    </row>
    <row r="37" spans="1:11" s="282" customFormat="1" ht="14.25">
      <c r="A37" s="359"/>
      <c r="B37" s="196" t="s">
        <v>151</v>
      </c>
      <c r="C37" s="355">
        <f>C38+C39</f>
        <v>40260000</v>
      </c>
      <c r="D37" s="357"/>
      <c r="E37" s="358"/>
      <c r="F37" s="358"/>
      <c r="G37" s="358"/>
      <c r="H37" s="358"/>
      <c r="I37" s="358"/>
      <c r="J37" s="358"/>
      <c r="K37" s="358"/>
    </row>
    <row r="38" spans="1:11" s="282" customFormat="1" ht="14.25">
      <c r="A38" s="359"/>
      <c r="B38" s="196" t="s">
        <v>38</v>
      </c>
      <c r="C38" s="355">
        <f>5260000+10000000</f>
        <v>15260000</v>
      </c>
      <c r="D38" s="358"/>
      <c r="E38" s="358"/>
      <c r="F38" s="358"/>
      <c r="G38" s="358"/>
      <c r="H38" s="358"/>
      <c r="I38" s="358"/>
      <c r="J38" s="358"/>
      <c r="K38" s="358"/>
    </row>
    <row r="39" spans="1:11" s="282" customFormat="1" ht="14.25">
      <c r="A39" s="359"/>
      <c r="B39" s="355" t="s">
        <v>36</v>
      </c>
      <c r="C39" s="421">
        <f>C28</f>
        <v>25000000</v>
      </c>
      <c r="D39" s="364"/>
      <c r="E39" s="358"/>
      <c r="F39" s="358"/>
      <c r="G39" s="358"/>
      <c r="H39" s="358"/>
      <c r="I39" s="358"/>
      <c r="J39" s="358"/>
      <c r="K39" s="358"/>
    </row>
    <row r="40" spans="1:11" ht="14.25">
      <c r="A40" s="203"/>
      <c r="B40" s="360"/>
      <c r="C40" s="361"/>
      <c r="D40" s="203"/>
      <c r="E40" s="132"/>
      <c r="F40" s="132"/>
      <c r="G40" s="132"/>
      <c r="H40" s="132"/>
      <c r="I40" s="132"/>
      <c r="J40" s="132"/>
      <c r="K40" s="132"/>
    </row>
    <row r="41" spans="1:11" ht="14.25">
      <c r="A41" s="203"/>
      <c r="B41" s="360"/>
      <c r="C41" s="361"/>
      <c r="D41" s="203"/>
      <c r="E41" s="132"/>
      <c r="F41" s="132"/>
      <c r="G41" s="132"/>
      <c r="H41" s="132"/>
      <c r="I41" s="132"/>
      <c r="J41" s="132"/>
      <c r="K41" s="132"/>
    </row>
    <row r="42" spans="1:11" ht="51" customHeight="1">
      <c r="A42" s="204"/>
      <c r="B42" s="360"/>
      <c r="C42" s="361"/>
      <c r="D42" s="195"/>
      <c r="E42" s="132"/>
      <c r="F42" s="132"/>
      <c r="G42" s="132"/>
      <c r="H42" s="132"/>
      <c r="I42" s="132"/>
      <c r="J42" s="132"/>
      <c r="K42" s="132"/>
    </row>
    <row r="43" spans="1:11" s="207" customFormat="1" ht="16.5">
      <c r="A43" s="409" t="s">
        <v>36</v>
      </c>
      <c r="B43" s="409"/>
      <c r="C43" s="409"/>
      <c r="D43" s="409"/>
      <c r="E43" s="409"/>
      <c r="F43" s="409"/>
      <c r="G43" s="409"/>
      <c r="H43" s="409"/>
      <c r="I43" s="409"/>
      <c r="J43" s="409"/>
      <c r="K43" s="409"/>
    </row>
    <row r="46" ht="36.75" customHeight="1"/>
    <row r="48" spans="1:2" ht="14.25">
      <c r="A48" s="362" t="s">
        <v>61</v>
      </c>
      <c r="B48" s="363"/>
    </row>
    <row r="49" spans="1:2" ht="14.25">
      <c r="A49" s="362" t="s">
        <v>36</v>
      </c>
      <c r="B49" s="362"/>
    </row>
    <row r="50" ht="14.25">
      <c r="A50" s="208"/>
    </row>
  </sheetData>
  <mergeCells count="32">
    <mergeCell ref="A1:K1"/>
    <mergeCell ref="A2:K2"/>
    <mergeCell ref="A5:K5"/>
    <mergeCell ref="A7:A10"/>
    <mergeCell ref="B7:B10"/>
    <mergeCell ref="C7:C10"/>
    <mergeCell ref="D7:D10"/>
    <mergeCell ref="E7:E10"/>
    <mergeCell ref="F7:G8"/>
    <mergeCell ref="H7:H10"/>
    <mergeCell ref="I7:I10"/>
    <mergeCell ref="J7:J10"/>
    <mergeCell ref="K7:K10"/>
    <mergeCell ref="L7:N7"/>
    <mergeCell ref="L8:N8"/>
    <mergeCell ref="F9:F10"/>
    <mergeCell ref="G9:G10"/>
    <mergeCell ref="A11:A24"/>
    <mergeCell ref="B11:B12"/>
    <mergeCell ref="C11:C12"/>
    <mergeCell ref="D11:D12"/>
    <mergeCell ref="E11:E12"/>
    <mergeCell ref="J11:J12"/>
    <mergeCell ref="K11:K12"/>
    <mergeCell ref="B16:B19"/>
    <mergeCell ref="B21:B23"/>
    <mergeCell ref="A25:A28"/>
    <mergeCell ref="J30:J31"/>
    <mergeCell ref="K30:K32"/>
    <mergeCell ref="A34:B34"/>
    <mergeCell ref="A35:B35"/>
    <mergeCell ref="A43:K43"/>
  </mergeCells>
  <printOptions horizontalCentered="1"/>
  <pageMargins left="0.7875" right="0.7875" top="0.5" bottom="0.49027777777777776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й</dc:creator>
  <cp:keywords/>
  <dc:description/>
  <cp:lastModifiedBy>user</cp:lastModifiedBy>
  <cp:lastPrinted>2007-01-22T08:29:06Z</cp:lastPrinted>
  <dcterms:created xsi:type="dcterms:W3CDTF">2002-12-02T10:04:03Z</dcterms:created>
  <dcterms:modified xsi:type="dcterms:W3CDTF">2007-01-05T09:13:06Z</dcterms:modified>
  <cp:category/>
  <cp:version/>
  <cp:contentType/>
  <cp:contentStatus/>
  <cp:revision>1</cp:revision>
</cp:coreProperties>
</file>