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15" windowWidth="20325" windowHeight="8355" tabRatio="613" activeTab="1"/>
  </bookViews>
  <sheets>
    <sheet name="Input" sheetId="1" r:id="rId1"/>
    <sheet name="Losses" sheetId="2" r:id="rId2"/>
    <sheet name="Summary" sheetId="3" r:id="rId3"/>
    <sheet name="Withdrawal" sheetId="4" r:id="rId4"/>
    <sheet name="TaxNI" sheetId="5" r:id="rId5"/>
  </sheets>
  <definedNames>
    <definedName name="AnnuitiesFJ">'Losses'!$L$45:$M$60</definedName>
    <definedName name="AnnuitiesFS">'Losses'!$L$26:$M$42</definedName>
    <definedName name="AnnuitiesMJ">'Losses'!$I$45:$J$60</definedName>
    <definedName name="AnnuitiesMS">'Losses'!$I$26:$J$42</definedName>
    <definedName name="Discount">'Losses'!$E$9</definedName>
    <definedName name="DismissDate">'Losses'!$E$13</definedName>
    <definedName name="DismissDateRef">'Losses'!$D$13</definedName>
    <definedName name="Excel_BuiltIn_Print_Area" localSheetId="4">'Summary'!$B$52:$Q$81</definedName>
    <definedName name="Excel_BuiltIn_Print_Area" localSheetId="3">'Summary'!$B$6:$Q$81</definedName>
    <definedName name="Gender">'Input'!$E$13</definedName>
    <definedName name="IBMPRA">'Withdrawal'!$G$51:$G$68</definedName>
    <definedName name="InterestRate">'Losses'!$E$10</definedName>
    <definedName name="MidPointDays" comment="Days over which to calculate interest for tribunal damages">'Losses'!$E$16</definedName>
    <definedName name="NEWJOBPRA">'Withdrawal'!$G$119:$G$136</definedName>
    <definedName name="_xlnm.Print_Area" localSheetId="2">('Summary'!$B$6:$Q$81,'Summary'!$B$52:$Q$81)</definedName>
    <definedName name="PVdate" comment="Target date for all PV calculations">'Losses'!$E$17</definedName>
    <definedName name="PVdateRef">'Losses'!$D$17</definedName>
    <definedName name="SingleOrJoint">'Input'!$E$38</definedName>
    <definedName name="solver_cvg" localSheetId="2">0.0001</definedName>
    <definedName name="solver_drv" localSheetId="2">1</definedName>
    <definedName name="solver_est" localSheetId="2">1</definedName>
    <definedName name="solver_itr" localSheetId="2">100</definedName>
    <definedName name="solver_lin" localSheetId="2">2</definedName>
    <definedName name="solver_neg" localSheetId="2">2</definedName>
    <definedName name="solver_num" localSheetId="2">0</definedName>
    <definedName name="solver_nwt" localSheetId="2">1</definedName>
    <definedName name="solver_opt" localSheetId="4">'Summary'!$T$78</definedName>
    <definedName name="solver_pre" localSheetId="2">0.000001</definedName>
    <definedName name="solver_scl" localSheetId="2">2</definedName>
    <definedName name="solver_sho" localSheetId="2">2</definedName>
    <definedName name="solver_tim" localSheetId="2">100</definedName>
    <definedName name="solver_tol" localSheetId="2">0.05</definedName>
    <definedName name="solver_typ" localSheetId="2">1</definedName>
    <definedName name="solver_val" localSheetId="2">0</definedName>
    <definedName name="StatCap">'Losses'!$E$11</definedName>
    <definedName name="StatCapRef">'Losses'!$D$11</definedName>
    <definedName name="TribDateRef">'Losses'!$D$14</definedName>
    <definedName name="TribIntRate">'Losses'!$E$12</definedName>
    <definedName name="TribunalDate">'Losses'!$E$14</definedName>
    <definedName name="VersionNo">'Losses'!$E$8</definedName>
    <definedName name="WFIBM">'Withdrawal'!$G$51:$BA$68</definedName>
    <definedName name="WFNewJob">'Withdrawal'!$G$119:$BA$136</definedName>
  </definedNames>
  <calcPr fullCalcOnLoad="1"/>
</workbook>
</file>

<file path=xl/comments2.xml><?xml version="1.0" encoding="utf-8"?>
<comments xmlns="http://schemas.openxmlformats.org/spreadsheetml/2006/main">
  <authors>
    <author>MymsMan</author>
  </authors>
  <commentList>
    <comment ref="G292" authorId="0">
      <text>
        <r>
          <rPr>
            <b/>
            <sz val="9"/>
            <rFont val="Tahoma"/>
            <family val="2"/>
          </rPr>
          <t>MymsMan:</t>
        </r>
        <r>
          <rPr>
            <sz val="9"/>
            <rFont val="Tahoma"/>
            <family val="2"/>
          </rPr>
          <t xml:space="preserve">
Figures to be updated with actual data as close to tribunal date as possible
</t>
        </r>
      </text>
    </comment>
  </commentList>
</comments>
</file>

<file path=xl/sharedStrings.xml><?xml version="1.0" encoding="utf-8"?>
<sst xmlns="http://schemas.openxmlformats.org/spreadsheetml/2006/main" count="803" uniqueCount="498">
  <si>
    <t xml:space="preserve"> </t>
  </si>
  <si>
    <t>Enter your personal data in the cells shaded light green. Ensure your data are as accurate as possible.</t>
  </si>
  <si>
    <t>Section [a] - Individual Parameters</t>
  </si>
  <si>
    <t>Individual Parameters</t>
  </si>
  <si>
    <t>Ref</t>
  </si>
  <si>
    <t>Value</t>
  </si>
  <si>
    <t>Notes</t>
  </si>
  <si>
    <t>Full name</t>
  </si>
  <si>
    <t>Joseph Cornelius Bloggs</t>
  </si>
  <si>
    <t>Date of birth</t>
  </si>
  <si>
    <t>aa</t>
  </si>
  <si>
    <t>Yours</t>
  </si>
  <si>
    <t>Actual retirement date</t>
  </si>
  <si>
    <t>Planned retirement date</t>
  </si>
  <si>
    <t>Gender</t>
  </si>
  <si>
    <t>Male</t>
  </si>
  <si>
    <t>ba</t>
  </si>
  <si>
    <t>12 x (Monthly Pre You* Salary + Monthly You* Fund Additions)</t>
  </si>
  <si>
    <t>Commission before tax</t>
  </si>
  <si>
    <t>Applicable to Enhanced M Plan members only</t>
  </si>
  <si>
    <r>
      <t>Annual</t>
    </r>
    <r>
      <rPr>
        <sz val="10"/>
        <rFont val="Arial"/>
        <family val="2"/>
      </rPr>
      <t xml:space="preserve"> sum of employee pension contributions, e.g. C Plan Smart Contributions from payslips. </t>
    </r>
    <r>
      <rPr>
        <u val="single"/>
        <sz val="10"/>
        <rFont val="Arial"/>
        <family val="2"/>
      </rPr>
      <t>Include only your mandatory annual pension contributions</t>
    </r>
    <r>
      <rPr>
        <sz val="10"/>
        <rFont val="Arial"/>
        <family val="2"/>
      </rPr>
      <t>, not voluntary ones. AVCs and ASCs are voluntary and should not be included here.</t>
    </r>
  </si>
  <si>
    <t>ca</t>
  </si>
  <si>
    <t>C Plan</t>
  </si>
  <si>
    <t>Your most recent pension plan</t>
  </si>
  <si>
    <t>Date joined C-Plan, if applicable</t>
  </si>
  <si>
    <t>Joint life</t>
  </si>
  <si>
    <t>Expenses incurred whilst looking for work for this new job only</t>
  </si>
  <si>
    <t>da</t>
  </si>
  <si>
    <r>
      <t xml:space="preserve">Date you started your </t>
    </r>
    <r>
      <rPr>
        <b/>
        <sz val="10"/>
        <color indexed="10"/>
        <rFont val="Arial"/>
        <family val="2"/>
      </rPr>
      <t>current</t>
    </r>
    <r>
      <rPr>
        <sz val="10"/>
        <rFont val="Arial"/>
        <family val="2"/>
      </rPr>
      <t xml:space="preserve"> new job, or will start a new job</t>
    </r>
  </si>
  <si>
    <r>
      <t xml:space="preserve">If you haven't yet found a new job, leave this field empty. </t>
    </r>
    <r>
      <rPr>
        <sz val="10"/>
        <color indexed="10"/>
        <rFont val="Arial"/>
        <family val="2"/>
      </rPr>
      <t>You are under an obligation to mitigate your loss.</t>
    </r>
    <r>
      <rPr>
        <sz val="10"/>
        <rFont val="Arial"/>
        <family val="2"/>
      </rPr>
      <t xml:space="preserve"> This means reducing it so far as possible and includes the necessity of finding a new job when you are fit to return to the labour market.</t>
    </r>
  </si>
  <si>
    <t>Average proportion of each year you expect to be earning</t>
  </si>
  <si>
    <r>
      <t xml:space="preserve">If you are now a contractor, for example, allow for non-earning time between contracts, sickness, holidays, poor market conditions, etc. </t>
    </r>
    <r>
      <rPr>
        <sz val="10"/>
        <color indexed="10"/>
        <rFont val="Arial"/>
        <family val="2"/>
      </rPr>
      <t xml:space="preserve">You may find the </t>
    </r>
    <r>
      <rPr>
        <b/>
        <sz val="10"/>
        <color indexed="10"/>
        <rFont val="Arial"/>
        <family val="2"/>
      </rPr>
      <t>Calculator</t>
    </r>
    <r>
      <rPr>
        <sz val="10"/>
        <color indexed="10"/>
        <rFont val="Arial"/>
        <family val="2"/>
      </rPr>
      <t xml:space="preserve"> worksheet helpful for this calculation.</t>
    </r>
  </si>
  <si>
    <t>Gross annual salary and taxable expenses (full time, permanent basis - assume you work a full year with typical holidays, etc.)</t>
  </si>
  <si>
    <t>Your gross annual salary and taxable expenses paid to you by your employer, assuming you are working on a full-time, permanent basis - the factor in the field above will be used to reduce your full-time, permanent figure to the actual value.</t>
  </si>
  <si>
    <t>Annual employee-funded job-related expenses (full time, permanent basis)</t>
  </si>
  <si>
    <t>Employee-funded expenses only. Do not include employer-funded expenses.</t>
  </si>
  <si>
    <t>Gross annual benefits (from P11D) including car allowance (full time, permanent basis)</t>
  </si>
  <si>
    <t>Gross annual bonus (full time, permanent basis)</t>
  </si>
  <si>
    <t>Gross annual commission (full time, permanent basis)</t>
  </si>
  <si>
    <t>Company's annual contributions to your new pension (full time, permanent basis)</t>
  </si>
  <si>
    <t>If none, enter zero.</t>
  </si>
  <si>
    <t>Other tax-free additions to your salary (full time, permanent basis)</t>
  </si>
  <si>
    <t>Mandatory employee annual pension contributions (full time, permanent basis)</t>
  </si>
  <si>
    <t>Superannuation, mandatory pension contributions, etc., deducted from your gross salary</t>
  </si>
  <si>
    <t>Dividends paid to you as a director of the company (net amount after tax credits) (full time, permanent basis). This figure will be factored down by the average proportion of each year you expect to be earning</t>
  </si>
  <si>
    <r>
      <t xml:space="preserve">This should reflect the maximum dividends that you could take out of the business as a director of the company on a full time, annual basis, not necessarily the actual dividends withdrawn. The Employment Tribunal will assess your real earnings as a contractor and/or director, including any reserves you leave in the business that will be deferred to future years. </t>
    </r>
    <r>
      <rPr>
        <sz val="10"/>
        <color indexed="10"/>
        <rFont val="Arial"/>
        <family val="2"/>
      </rPr>
      <t xml:space="preserve">You may find the </t>
    </r>
    <r>
      <rPr>
        <b/>
        <sz val="10"/>
        <color indexed="10"/>
        <rFont val="Arial"/>
        <family val="2"/>
      </rPr>
      <t>Calculator</t>
    </r>
    <r>
      <rPr>
        <sz val="10"/>
        <color indexed="10"/>
        <rFont val="Arial"/>
        <family val="2"/>
      </rPr>
      <t xml:space="preserve"> worksheet helpful for this calculation.</t>
    </r>
  </si>
  <si>
    <t>Gross profit of your share of the business if self-employed or in partnership (other than a limited company) (full time, permanent basis)</t>
  </si>
  <si>
    <t>National Insurance rate applicable to your current new job</t>
  </si>
  <si>
    <t>Standard NI rate</t>
  </si>
  <si>
    <t>If unsure, select Standard NI rate.</t>
  </si>
  <si>
    <t>Expected annual salary growth rate in your current new job</t>
  </si>
  <si>
    <t>pa</t>
  </si>
  <si>
    <t>Start date</t>
  </si>
  <si>
    <t>Finish date</t>
  </si>
  <si>
    <t>ea</t>
  </si>
  <si>
    <t>Section [f] - Employment Tribunal</t>
  </si>
  <si>
    <t>Employment Tribunal</t>
  </si>
  <si>
    <t>Date of your employment tribunal's final hearing</t>
  </si>
  <si>
    <t>fa</t>
  </si>
  <si>
    <t>If you don't yet know the date of the final hearing, please do not change the default date.</t>
  </si>
  <si>
    <t>Compensation for injury to feelings</t>
  </si>
  <si>
    <t>The distress we suffered will be set out in our witness statements. This figure was advised by Now Legal. Do not change unless instructed to do so.</t>
  </si>
  <si>
    <t>Compensation for loss of statutory employment protection rights</t>
  </si>
  <si>
    <t>A statutory sum to reflect the fact that we were unfairly dismissed - do not change unless instructed by Now Legal.</t>
  </si>
  <si>
    <t>Section [g] - Attrition Rates</t>
  </si>
  <si>
    <t>Attrition Rates</t>
  </si>
  <si>
    <t>ga</t>
  </si>
  <si>
    <t>This value was obtained from evidence given in the High Court "1983 C-Plan proceedings" case. Do not change unless instructed to do so.</t>
  </si>
  <si>
    <t>Average New Job annual attrition rate over age groups 20 - 65</t>
  </si>
  <si>
    <t>Enter your alternative employer's average annual attrition rate. If you are unable to obtain this figure, assume 5%.</t>
  </si>
  <si>
    <t>Section [h] - Basic State Pension and Additional State Pension (or Second State Pension [S2P])</t>
  </si>
  <si>
    <t>State Pension</t>
  </si>
  <si>
    <t>ha</t>
  </si>
  <si>
    <t>https://www.gov.uk/calculate-state-pension</t>
  </si>
  <si>
    <t>http://en.wikipedia.org/wiki/UK_State_Pension</t>
  </si>
  <si>
    <t>Your age when you will begin or began receiving your State Pension</t>
  </si>
  <si>
    <t>Men: 65 or 66. Women: rising gradually from 60 to 66. (Whole years only - ignore months if you begin receiving your State Pension on a date that is other than your birthday.) See this Wikipedia link for tables of State Pension ages for men and women of various ages:</t>
  </si>
  <si>
    <t>Do not change anything below here</t>
  </si>
  <si>
    <t>Section [i] - Global parameters</t>
  </si>
  <si>
    <t>Global parameters - applicable to all claimants</t>
  </si>
  <si>
    <t>Discount rate for PV calculations</t>
  </si>
  <si>
    <t>ia</t>
  </si>
  <si>
    <t>Statutory cap on compensatory award</t>
  </si>
  <si>
    <t>Applicable to Constructive Unfair Dismissal only</t>
  </si>
  <si>
    <t>The values in the Global Parameters section should not be changed on an individual basis</t>
  </si>
  <si>
    <t>Section [j] - Annuity rates</t>
  </si>
  <si>
    <t>Annuity rates - applicable to all claimants</t>
  </si>
  <si>
    <t>Single</t>
  </si>
  <si>
    <t>Female</t>
  </si>
  <si>
    <t>Annuity rates vs Time</t>
  </si>
  <si>
    <t>Age</t>
  </si>
  <si>
    <t>Monthly Annuity per £200,000</t>
  </si>
  <si>
    <t>Month</t>
  </si>
  <si>
    <t>Annuity</t>
  </si>
  <si>
    <t>Normalised to Sep-2010</t>
  </si>
  <si>
    <t>Joint</t>
  </si>
  <si>
    <t>http://www.williamburrows.com/charts/chart100k.aspx</t>
  </si>
  <si>
    <t>Assumptions</t>
  </si>
  <si>
    <t>Data source (FSA website):</t>
  </si>
  <si>
    <t>http://www.moneymadeclear.org.uk/tables/</t>
  </si>
  <si>
    <t>Non-smokers</t>
  </si>
  <si>
    <t>No guarantee</t>
  </si>
  <si>
    <t>Monthly income - increasing by 3% pa</t>
  </si>
  <si>
    <t>Min retirement age is now 55. Ages 50 - 54 data are no longer available. These are estimated from the 55 - 65 data.</t>
  </si>
  <si>
    <t>£200,000 cash invested as a reference figure - used only to compute the annuity rate</t>
  </si>
  <si>
    <t>Data taken from FSA website on 02/09/2010</t>
  </si>
  <si>
    <t>Where Joint life is selected, spouses are the same ages</t>
  </si>
  <si>
    <t>Where Joint life is selected, spouse receives 50% of monthly income when annuity holder dies</t>
  </si>
  <si>
    <t>In all cases, the best (highest) annuity rates were selected from tables produced by FSA website</t>
  </si>
  <si>
    <t>Annuity rates vary over time according to</t>
  </si>
  <si>
    <t>Data for age 66 are also estimated. These are used for State Pension (Single Life) annuity rate calculations only.</t>
  </si>
  <si>
    <t>The values in the Annuity Rates section should not be changed on an individual basis</t>
  </si>
  <si>
    <t>Section [k] - Basic award</t>
  </si>
  <si>
    <t>Basic award</t>
  </si>
  <si>
    <t>Pseudo-code</t>
  </si>
  <si>
    <t>Comment</t>
  </si>
  <si>
    <t>ka</t>
  </si>
  <si>
    <t>Gross annual compensation used to calculate one week's gross pay as the basis for the Basic Award</t>
  </si>
  <si>
    <t>Length of service</t>
  </si>
  <si>
    <t>full years</t>
  </si>
  <si>
    <t>Date of 22nd birthday</t>
  </si>
  <si>
    <t>(22Y = 22 years)</t>
  </si>
  <si>
    <t>Date of 41st birthday</t>
  </si>
  <si>
    <t>Length of service while Age &lt; 22</t>
  </si>
  <si>
    <t>full years (1D = 1 day). See note below.</t>
  </si>
  <si>
    <t>Length of service while 22 &lt;= Age &lt; 41</t>
  </si>
  <si>
    <t>full years. See note below.</t>
  </si>
  <si>
    <t>Length of service while Age &gt;= 41</t>
  </si>
  <si>
    <t>Length of service while Age &lt; 22 counted towards the Basic Award</t>
  </si>
  <si>
    <r>
      <t>Note</t>
    </r>
    <r>
      <rPr>
        <sz val="10"/>
        <rFont val="Arial"/>
        <family val="2"/>
      </rPr>
      <t>: Only the most recent 20 years of employment are counted:</t>
    </r>
  </si>
  <si>
    <t>Length of service while 22 &lt;= Age &lt; 41 counted towards the Basic Award</t>
  </si>
  <si>
    <t>http://www.theemploymentlawsolicitors.co.uk/unfairdismissalclaims.php</t>
  </si>
  <si>
    <t>Length of service while Age &gt;= 41 counted towards the Basic Award</t>
  </si>
  <si>
    <t>One week's gross pay</t>
  </si>
  <si>
    <t>Capped at £380</t>
  </si>
  <si>
    <t>0.5 week's pay for each full year of service while Age &lt; 22</t>
  </si>
  <si>
    <t>1 week's pay for each full year of service while 22 &lt;= Age &lt;41</t>
  </si>
  <si>
    <t>1.5 weeks' pay for each full year of service while Age &gt;= 41</t>
  </si>
  <si>
    <t>Basic Award</t>
  </si>
  <si>
    <t>la</t>
  </si>
  <si>
    <t>years</t>
  </si>
  <si>
    <t>months</t>
  </si>
  <si>
    <t>Duration of working months lost</t>
  </si>
  <si>
    <r>
      <t xml:space="preserve">Present Value (PV)-adjusted number of working months lost; PV'ing to the date of the final hearing and adjusting for salary inflation. This allows for the fact that salary would have been paid monthly-in-advance over the period from actual to planned retirement, rather than in a single lump sum. Each monthly salary payment is adjusted individually for PV and inflation and the results are summed to give an effective number of working months lost at the hearing date, adjusted for inflation. See </t>
    </r>
    <r>
      <rPr>
        <b/>
        <sz val="10"/>
        <rFont val="Arial"/>
        <family val="2"/>
      </rPr>
      <t>http://www.investopedia.com/university/advancedbond/advancedbond5.asp</t>
    </r>
    <r>
      <rPr>
        <sz val="10"/>
        <rFont val="Arial"/>
        <family val="2"/>
      </rPr>
      <t xml:space="preserve"> for further information on Duration in the financial context.
In this context;
</t>
    </r>
    <r>
      <rPr>
        <b/>
        <sz val="10"/>
        <rFont val="Arial"/>
        <family val="2"/>
      </rPr>
      <t>Duration = Sigma_1_to_N[(1 + DiscountRate) ^ YearsToFinalDate_N * (1 + InflationRate) ^ YearsToFinalDate_N]</t>
    </r>
    <r>
      <rPr>
        <sz val="10"/>
        <rFont val="Arial"/>
        <family val="2"/>
      </rPr>
      <t xml:space="preserve">.
Read '_1_to_N' as meaning 'from 1 to N', where  N = the total number of working months lost.
Read '_N' as meaning 'subscript N'.
</t>
    </r>
    <r>
      <rPr>
        <b/>
        <sz val="10"/>
        <rFont val="Arial"/>
        <family val="2"/>
      </rPr>
      <t>YearsToFinalDate_N</t>
    </r>
    <r>
      <rPr>
        <sz val="10"/>
        <rFont val="Arial"/>
        <family val="2"/>
      </rPr>
      <t xml:space="preserve"> = the number of years between the Nth month, starting with the initial date (first argument) and ending with the final date (second argument), calculated individually for each month's cash flow, months counted from 1 to N</t>
    </r>
  </si>
  <si>
    <t>whole years</t>
  </si>
  <si>
    <t>Section [m] - Income from current new job</t>
  </si>
  <si>
    <t>Monthly net income gained from new job</t>
  </si>
  <si>
    <t>Average gross annual salary, benefits, bonus, commission, car allowance and other taxable compensation, allowing for non-working periods</t>
  </si>
  <si>
    <t>ma</t>
  </si>
  <si>
    <t>Average annual pension uplift and other non-taxable benefits, less tax-free employee pension contributions, allowing for non-working periods</t>
  </si>
  <si>
    <t>Average annual dividends received if you are a company director, allowing for non-working periods</t>
  </si>
  <si>
    <t>Net dividends excluding tax credits</t>
  </si>
  <si>
    <t>Average annual gross profit if you are self-employed or your share if you are in a partnership (other than a limited company), allowing for non-working periods</t>
  </si>
  <si>
    <t>Annual net income after tax and NI from current new job</t>
  </si>
  <si>
    <t>Losses from new jobs are not considered. Minimum value = £0.00
Positive value represents a gain</t>
  </si>
  <si>
    <t>na</t>
  </si>
  <si>
    <t>years. If you have not yet found a new job, then the elapsed time will be indicated as zero.</t>
  </si>
  <si>
    <t>months. If you have not yet found a new job, then the duration will be indicated as zero.</t>
  </si>
  <si>
    <t>Negative value represents a loss</t>
  </si>
  <si>
    <t>Age at the date of starting current new job if applicable</t>
  </si>
  <si>
    <t>Date of the employment tribunal final hearing</t>
  </si>
  <si>
    <t>oa</t>
  </si>
  <si>
    <t>Age at the date of employment tribunal final hearing</t>
  </si>
  <si>
    <t>(1 - New Job Withdrawal Factor) is the probability that you will remain with your current new employer from the date of the final employment tribunal hearing until your planned retirement date.</t>
  </si>
  <si>
    <t>Section [p] - Reduced pension vs planned pension</t>
  </si>
  <si>
    <t>Reduced pension</t>
  </si>
  <si>
    <t>Annual Defined Benefit pension growth rate from date of 2009 Pension Benefit Statement</t>
  </si>
  <si>
    <t>per annum</t>
  </si>
  <si>
    <t>Years from actual retirement to planned retirement</t>
  </si>
  <si>
    <t>Gross Defined Benefit pension at planned retirement age</t>
  </si>
  <si>
    <t>From 2009 Pension Benefit Statement</t>
  </si>
  <si>
    <t>Gross Defined Benefit pension at planned retirement age with expected salary growth factored in</t>
  </si>
  <si>
    <t>Defined Benefit pension is linked to final salary</t>
  </si>
  <si>
    <t>Age at planned retirement</t>
  </si>
  <si>
    <t>Annuity rate adjustment factor for actual retirement date</t>
  </si>
  <si>
    <t>Annuity rate at planned retirement as of September 2010</t>
  </si>
  <si>
    <t>Best annuity rate at planned retirement age available in September 2010 - taken from FSA website (see tables in Section [h])</t>
  </si>
  <si>
    <t>Annuity rate at planned retirement as of September 2010 adjusted to actual retirement date</t>
  </si>
  <si>
    <t>Best annuity rate at planned retirement age available in September 2010 adjusted to best annuity rate at planned retirement age available on actual retirement date</t>
  </si>
  <si>
    <t>Actuarial cash value of Defined Benefit pension at planned retirement age</t>
  </si>
  <si>
    <t>(Annual gross pension at planned retirement age) / (annuity rate)</t>
  </si>
  <si>
    <t>Gross Defined Benefit pension at actual retirement age</t>
  </si>
  <si>
    <t>Age at actual retirement</t>
  </si>
  <si>
    <t>Annuity rate at actual retirement as of September 2010</t>
  </si>
  <si>
    <t>Best annuity rate at actual retirement age available in September 2010 - taken from FSA website (see tables in Section [i])</t>
  </si>
  <si>
    <t>Annuity rate at actual retirement as of September 2010 adjusted to actual retirement date</t>
  </si>
  <si>
    <t>Best annuity rate at actual retirement age available in September 2010 adjusted to best annuity rate at actual retirement age available on actual retirement date</t>
  </si>
  <si>
    <t>Actuarial cash value of Defined Benefit pension at actual retirement age</t>
  </si>
  <si>
    <t>(Annual gross pension at actual retirement age) / (annuity rate)</t>
  </si>
  <si>
    <r>
      <t xml:space="preserve">Negative value represents a reduction in pension value. Maximum value of reduction = £0; i.e. an increased value of Defined Benefit pension is considered as zero reduction. Interest </t>
    </r>
    <r>
      <rPr>
        <b/>
        <sz val="10"/>
        <rFont val="Arial"/>
        <family val="2"/>
      </rPr>
      <t>is not</t>
    </r>
    <r>
      <rPr>
        <sz val="10"/>
        <rFont val="Arial"/>
        <family val="2"/>
      </rPr>
      <t xml:space="preserve"> included in this calculation, as it is not included in compensation for Constructive Unfair Dismissal.</t>
    </r>
  </si>
  <si>
    <t>Years from actual retirement date to the date of the final Employment Tribunal hearing</t>
  </si>
  <si>
    <t>http://www.employmenttribunals.gov.uk/Documents/Publications/LossOfPensionRights.pdf</t>
  </si>
  <si>
    <r>
      <t xml:space="preserve">Negative value represents a reduction in pension value. Maximum value of reduction = £0; i.e. an increased value of Defined Benefit pension is considered as zero reduction. Interest </t>
    </r>
    <r>
      <rPr>
        <b/>
        <sz val="10"/>
        <rFont val="Arial"/>
        <family val="2"/>
      </rPr>
      <t>is</t>
    </r>
    <r>
      <rPr>
        <sz val="10"/>
        <rFont val="Arial"/>
        <family val="2"/>
      </rPr>
      <t xml:space="preserve"> included in this calculation, as it is included in compensation for Age Discrimination.</t>
    </r>
  </si>
  <si>
    <t>Section [q] - Additional net income earned from previous new jobs</t>
  </si>
  <si>
    <t>Additional income and pension earned from previous new jobs</t>
  </si>
  <si>
    <t>qa</t>
  </si>
  <si>
    <t>calendar days</t>
  </si>
  <si>
    <t>per calendar day</t>
  </si>
  <si>
    <t>Additional net income earned from previous new jobs (excluding current new job if applicable) PV'd to Employment Tribunal final hearing date</t>
  </si>
  <si>
    <t>Section [r] - Statutory employment protection rights</t>
  </si>
  <si>
    <t>Statutory employment protection rights</t>
  </si>
  <si>
    <t>ra</t>
  </si>
  <si>
    <t>Section [s] - Injury to feelings</t>
  </si>
  <si>
    <t>Injury to feelings</t>
  </si>
  <si>
    <t>sa</t>
  </si>
  <si>
    <t>Applicable only to Age Discrmination</t>
  </si>
  <si>
    <t>Years from date of dismissal to date of final Employment Tribunal hearing</t>
  </si>
  <si>
    <t>Interest on compensation for injury to feelings from date of dismissal to date of final Employment Tribunal hearing</t>
  </si>
  <si>
    <t>Compensation for injury to feelings + interest</t>
  </si>
  <si>
    <t>Section [t] - Expenses and one-off losses</t>
  </si>
  <si>
    <t>Expenses incurred whilst looking for new jobs</t>
  </si>
  <si>
    <t>Compensation for expenses incurred whilst looking for work</t>
  </si>
  <si>
    <t>ta</t>
  </si>
  <si>
    <t>Net-after-tax one-off losses</t>
  </si>
  <si>
    <t>Section [u] - State Pension losses</t>
  </si>
  <si>
    <t>State Pension losses</t>
  </si>
  <si>
    <t>Gross annual State Pension loss</t>
  </si>
  <si>
    <t>ua</t>
  </si>
  <si>
    <t>Age when State Pension is first paid</t>
  </si>
  <si>
    <t>Annuity rate at State Pension age as of September 2010</t>
  </si>
  <si>
    <t>Best annuity rate at State Pension age available in September 2010 - taken from FSA website (see tables in Section [i])</t>
  </si>
  <si>
    <t>Annuity rate at State Pension age as of September 2010 adjusted to actual retirement date</t>
  </si>
  <si>
    <t>Best annuity rate at Stage Pension age available in September 2010 adjusted to best annuity rate at State Pension age available on actual retirement date</t>
  </si>
  <si>
    <t>Actuarial cash value of State Pension lost at State Pension age</t>
  </si>
  <si>
    <t>(Gross annual State Pension lost at State Pension age) / (annuity rate at State Pension age in September 2010 adjusted to actual retirement date)</t>
  </si>
  <si>
    <t>Section [v] - C-Plan Supplement losses</t>
  </si>
  <si>
    <t>Member of C-Plan or Enhanced-M Plan</t>
  </si>
  <si>
    <t>va</t>
  </si>
  <si>
    <t>Were you ever a member of the C-Plan?</t>
  </si>
  <si>
    <t>Age at retirement</t>
  </si>
  <si>
    <t>full years. You are ineligible for the full C-Plan Supplement if you retired before age 60. Therefore, if you were forced to retire prior to age 60, you have incurred the loss of the part of the C-Plan Supplement that would otherwise have been payable between ages 63 and 65, had you not been forced to retire early.</t>
  </si>
  <si>
    <t>C-Plan Supplements for men are calculated over their full service period, whereas C-Plan Supplements for women are only calculated on service after 6 May 1990.</t>
  </si>
  <si>
    <t>Service reference date for C-Plan Supplement purposes</t>
  </si>
  <si>
    <t>Length of Service to Normal Retirement Age for C-Plan Supplement purposes</t>
  </si>
  <si>
    <t>Normal Retirement Date at Age = 63</t>
  </si>
  <si>
    <t>Lookup SPD table below for month and year of Normal Retirement Date</t>
  </si>
  <si>
    <t>Annual C-Plan Supplement from age 63</t>
  </si>
  <si>
    <t>Monthly C-Plan Supplement from age 63</t>
  </si>
  <si>
    <t>Final C-Plan Supplement payment date at Age = 65</t>
  </si>
  <si>
    <t>Duration of lost C-Plan Supplement payments</t>
  </si>
  <si>
    <t>Total C-Plan Supplement Losses, Ages 63 &amp; 64, PV'd to Employment Tribunal final hearing date and adjusted for inflation</t>
  </si>
  <si>
    <t>A negative figure represents a loss</t>
  </si>
  <si>
    <t>Section [w] - Potential compensation for Constructive Unfair Dismissal</t>
  </si>
  <si>
    <t>Potential compensation</t>
  </si>
  <si>
    <t>wa</t>
  </si>
  <si>
    <t>Income lost from date of retirement to the earlier of the date of employment tribunal hearing, or the date of planned retirement</t>
  </si>
  <si>
    <t>Compensatory award</t>
  </si>
  <si>
    <t>Income lost from date of employment tribunal hearing to date of planned retirement</t>
  </si>
  <si>
    <t>Lost occupational pension</t>
  </si>
  <si>
    <t>Compensatory award, excluding interest calculations. Interest not included for CUD.</t>
  </si>
  <si>
    <t>Loss of statutory employment protection rights</t>
  </si>
  <si>
    <t>Expenses incurred whilst looking for work</t>
  </si>
  <si>
    <t>One-off losses for awards failing to reaching their maturity date</t>
  </si>
  <si>
    <t>Reduced State Pension</t>
  </si>
  <si>
    <r>
      <t xml:space="preserve">Less income </t>
    </r>
    <r>
      <rPr>
        <sz val="10"/>
        <color indexed="10"/>
        <rFont val="Arial"/>
        <family val="2"/>
      </rPr>
      <t>(gained)</t>
    </r>
    <r>
      <rPr>
        <sz val="10"/>
        <rFont val="Arial"/>
        <family val="2"/>
      </rPr>
      <t xml:space="preserve"> from previous new jobs</t>
    </r>
  </si>
  <si>
    <t>Reduces compensatory award</t>
  </si>
  <si>
    <t>Basic award plus compensatory award PV-adjusted to date of final hearing capped at statutory limit</t>
  </si>
  <si>
    <t>Basic award + compensatory award capped at statutory limit. Compensatory award has a minimum value of zero and cannot be negative.</t>
  </si>
  <si>
    <t>Section [x] - Potential compensation for Age Discrimination</t>
  </si>
  <si>
    <t>xa</t>
  </si>
  <si>
    <t>Compensatory award, including interest on lost pension value. Interest included for Age Discrimination.</t>
  </si>
  <si>
    <t>Injury to feelings, including interest</t>
  </si>
  <si>
    <t>Compensatory award applicable only to Age Discrimination</t>
  </si>
  <si>
    <t>Total losses PV-adjusted to date of final hearing</t>
  </si>
  <si>
    <t>Compensatory award has a minimum value of zero and cannot be negative.</t>
  </si>
  <si>
    <t>Section [y] - Potential compensation for Constructive Unfair Dismissal and Age Discrimination</t>
  </si>
  <si>
    <t>ya</t>
  </si>
  <si>
    <t>Basic award + compensatory award. Compensatory award has a minimum value of zero and cannot be negative.</t>
  </si>
  <si>
    <t>Section [z] - Summary</t>
  </si>
  <si>
    <t>Summary</t>
  </si>
  <si>
    <t>za</t>
  </si>
  <si>
    <t>Actual retirement age</t>
  </si>
  <si>
    <t>Planned retirement age</t>
  </si>
  <si>
    <t>Actual service</t>
  </si>
  <si>
    <t>Planned service</t>
  </si>
  <si>
    <t>Lost service</t>
  </si>
  <si>
    <t>Current new job gross salary, benefits, bonus, commission, company pension contributions, dividends, gross profit, etc., after mandatory employee pension contributions and employee-funded expenses have been deducted</t>
  </si>
  <si>
    <t>Date current new job started</t>
  </si>
  <si>
    <t>If no new job has been acquired, this field will indicate "N/A"</t>
  </si>
  <si>
    <t>Average proportion of each year you expect to be earning from your current new job</t>
  </si>
  <si>
    <t>Effective gross annual income from current new job</t>
  </si>
  <si>
    <t>Effective gross total income from previous new job(s)</t>
  </si>
  <si>
    <t>Total cash value of pension(s) from previous new job(s)</t>
  </si>
  <si>
    <t>Total expenses incurred whilst looking for new job(s)</t>
  </si>
  <si>
    <t>Total losses PV-adjusted to the date of the final hearing</t>
  </si>
  <si>
    <t>Potential net compensation after tax for Constructive Unfair Dismissal</t>
  </si>
  <si>
    <t>Basic award =</t>
  </si>
  <si>
    <t>Compensatory award =</t>
  </si>
  <si>
    <t>Potential net compensation after tax for Age Discrimination</t>
  </si>
  <si>
    <t>Potential net compensation after tax for Constructive Unfair Dismissal and Age Discrimination</t>
  </si>
  <si>
    <t>Alpha</t>
  </si>
  <si>
    <t>Beta</t>
  </si>
  <si>
    <t>Average</t>
  </si>
  <si>
    <t>Uniform</t>
  </si>
  <si>
    <t>Weibull</t>
  </si>
  <si>
    <t>Weighted Weibull</t>
  </si>
  <si>
    <t>Attrition rate</t>
  </si>
  <si>
    <t>PRA</t>
  </si>
  <si>
    <t>Probability of surviving to PRA</t>
  </si>
  <si>
    <t>Withdrawal Factor</t>
  </si>
  <si>
    <t>Average attrition rate (New job)</t>
  </si>
  <si>
    <t>New job</t>
  </si>
  <si>
    <t>Type of income (or gain)</t>
  </si>
  <si>
    <t>Allowances</t>
  </si>
  <si>
    <t>Tax band</t>
  </si>
  <si>
    <t>Taxable income up to</t>
  </si>
  <si>
    <t>up to</t>
  </si>
  <si>
    <t>All remaining taxable income</t>
  </si>
  <si>
    <t>Modified allowances threshold</t>
  </si>
  <si>
    <t>reduced by</t>
  </si>
  <si>
    <t>for every</t>
  </si>
  <si>
    <t>until</t>
  </si>
  <si>
    <t>First</t>
  </si>
  <si>
    <t>Next</t>
  </si>
  <si>
    <r>
      <t xml:space="preserve">Non-savings income (salary, pension etc)
</t>
    </r>
    <r>
      <rPr>
        <i/>
        <sz val="10"/>
        <rFont val="Arial"/>
        <family val="2"/>
      </rPr>
      <t>For example, income from employment or self-employment, income from property or share scheme benefits</t>
    </r>
  </si>
  <si>
    <r>
      <t xml:space="preserve">Savings income
</t>
    </r>
    <r>
      <rPr>
        <sz val="10"/>
        <rFont val="Arial"/>
        <family val="2"/>
      </rPr>
      <t>Includes bank and building society interest and gains made on life insurance policies (without tax paid)</t>
    </r>
  </si>
  <si>
    <t>Dividends with tax credits</t>
  </si>
  <si>
    <t>Dividends without tax credits</t>
  </si>
  <si>
    <t>National Insurance</t>
  </si>
  <si>
    <t>Tax rate</t>
  </si>
  <si>
    <t>All remaining</t>
  </si>
  <si>
    <t>Modified allowances</t>
  </si>
  <si>
    <t>Employed (standard rate)</t>
  </si>
  <si>
    <t>Self-employed</t>
  </si>
  <si>
    <t>Employed (contracted-out rate)</t>
  </si>
  <si>
    <r>
      <t>Note</t>
    </r>
    <r>
      <rPr>
        <sz val="10"/>
        <rFont val="Arial"/>
        <family val="2"/>
      </rPr>
      <t>: Contracted-out NI rebate = 1.6% from 11% base NI rate. Net = 9.4%</t>
    </r>
  </si>
  <si>
    <t>Gross</t>
  </si>
  <si>
    <t>Rounded</t>
  </si>
  <si>
    <t>Tax</t>
  </si>
  <si>
    <t>NI (standard)</t>
  </si>
  <si>
    <t>NI (contr out)</t>
  </si>
  <si>
    <t>Net (standard)</t>
  </si>
  <si>
    <t>Net (contr-out)</t>
  </si>
  <si>
    <t>Rate (standard)</t>
  </si>
  <si>
    <t>Rate (contr-out)</t>
  </si>
  <si>
    <r>
      <t>Note</t>
    </r>
    <r>
      <rPr>
        <sz val="10"/>
        <rFont val="Arial"/>
        <family val="2"/>
      </rPr>
      <t>: Cells B16:B21 can be used as a Tax and NI calcuator. Do not change or move any other cells on this sheet!</t>
    </r>
  </si>
  <si>
    <t>Salary employee</t>
  </si>
  <si>
    <t>Profit self-employed</t>
  </si>
  <si>
    <t>Pension</t>
  </si>
  <si>
    <t>Savings</t>
  </si>
  <si>
    <t>Dividends UK companies with tax credits</t>
  </si>
  <si>
    <t>Dividends foreign companies without tax credits</t>
  </si>
  <si>
    <t>Total</t>
  </si>
  <si>
    <r>
      <t xml:space="preserve">Note: </t>
    </r>
    <r>
      <rPr>
        <b/>
        <sz val="10"/>
        <rFont val="Arial"/>
        <family val="2"/>
      </rPr>
      <t>All figures with light green background above are editable. Do not edit anything below here or anywhere other than light green above.</t>
    </r>
    <r>
      <rPr>
        <sz val="10"/>
        <rFont val="Arial"/>
        <family val="2"/>
      </rPr>
      <t xml:space="preserve"> The cells in light green from Column B to Column M are also used internally by the netIncome( ) macro. Do not change the addresses of any of these cells or you will break the macro!</t>
    </r>
  </si>
  <si>
    <t>Salary employed</t>
  </si>
  <si>
    <t>Untaxed value remaining</t>
  </si>
  <si>
    <t>Tax band size</t>
  </si>
  <si>
    <t>Allowances remaining</t>
  </si>
  <si>
    <t>Taxable</t>
  </si>
  <si>
    <t>Tax band remaining</t>
  </si>
  <si>
    <t>National Insurance employed</t>
  </si>
  <si>
    <t>National Insurance self-employed</t>
  </si>
  <si>
    <t>National Insurance employed (contracted-out)</t>
  </si>
  <si>
    <t>Note: Modified allowance not currently applicable to NI calc</t>
  </si>
  <si>
    <t>Personal allowances will be reduced for income over £100,000 from April 2010, and this will be reduced at a rate of £1 in every £2, going down to Zero.</t>
  </si>
  <si>
    <t>Class 2 NIC</t>
  </si>
  <si>
    <r>
      <t>Note</t>
    </r>
    <r>
      <rPr>
        <sz val="10"/>
        <rFont val="Arial"/>
        <family val="2"/>
      </rPr>
      <t>: The first £30,000 of your award is tax free. Award will be adjusted upward to allow for any tax that becomes due on an award in excess of this amount.</t>
    </r>
  </si>
  <si>
    <t>dd</t>
  </si>
  <si>
    <t>b</t>
  </si>
  <si>
    <t>c</t>
  </si>
  <si>
    <t>e</t>
  </si>
  <si>
    <t>Date of tribunal</t>
  </si>
  <si>
    <t>Midpoint Date</t>
  </si>
  <si>
    <t>Days between midpoint and tribunal</t>
  </si>
  <si>
    <t>Defined interest rate for unpaid damages and between midpoint and tribunal</t>
  </si>
  <si>
    <t xml:space="preserve">Tribunal can award interest on damages from the midpoint between Loss and Tribunal </t>
  </si>
  <si>
    <t>Date of dismissal</t>
  </si>
  <si>
    <t>Adjust amounts arising before or afterwards to Tribunal date</t>
  </si>
  <si>
    <t>Target date for Present value calculations</t>
  </si>
  <si>
    <t>Tribunal interest rate on damages</t>
  </si>
  <si>
    <t>Current version for this spreadheet</t>
  </si>
  <si>
    <t>3.0.9</t>
  </si>
  <si>
    <t>p.a.</t>
  </si>
  <si>
    <t>Losses Spreadsheet version</t>
  </si>
  <si>
    <t>Interest rate for Losses calculations</t>
  </si>
  <si>
    <t>Date joined XYZ</t>
  </si>
  <si>
    <t>Date you joined XYZ, Service reference date</t>
  </si>
  <si>
    <t>Date you began your retirement from XYZ - IMPORTANT! usually the 6th of the month.  Do not count XYZ holidays (vacation) as part of your retirement.</t>
  </si>
  <si>
    <t>Your intended or planned retirement date, had XYZ not made its pension and early retirement announcements in 2009. Unless otherwise instructed, please enter your Normal Retirement Date from your 2009 Pension Statement. This is the 6th of the month that is coincident with or immediately following your 63rd birthday (C-Plan and Enhanced-M Plan) or the 6th of the month that is coincident with or immediately following your 65th birthday (N-Plan). Unless otherwise instructed, assume that your intended or planned retirement date is the same as your Normal Retirement Date throughout this spreadsheet.</t>
  </si>
  <si>
    <t>Section [b] - XYZ Salary, Benefits &amp; Awards</t>
  </si>
  <si>
    <t>XYZ Salary &amp; Benefits</t>
  </si>
  <si>
    <t>Gross annual XYZ salary</t>
  </si>
  <si>
    <t>Gross annual XYZ benefits (from P11D) and car allowance</t>
  </si>
  <si>
    <t>Annual total Company Car, Private Medical, London Allowance and other taxable benefits (See most recent P11D for total figure.) Include your annual car allowance before tax if this was paid by XYZ in lieu of a company car and also include Negative Private Use charge from a company car if applicable.</t>
  </si>
  <si>
    <t>Gross annual XYZ commission</t>
  </si>
  <si>
    <t>Gross annual XYZ bonus (GDP)</t>
  </si>
  <si>
    <t>Select most recent Growth Driven Profit (GDP) Bonus whilst still employed by XYZ, but not the one received after leaving.</t>
  </si>
  <si>
    <t>XYZ annual contributions to Enhanced M Plan pension pot</t>
  </si>
  <si>
    <t>XYZ annual Additional Smart Contributions (ASC) uplift and other tax-free additions to salary</t>
  </si>
  <si>
    <t>Annual sum of all tax-free additions to salary. Note: From salary period 06/12/2009 - 05/01/2010 until retirement, XYZ allowed employees to increase AVC/ASC contributions to a maximum of 100% of salary. If you increased your ASC contributions during this period, please calculate an annual ASC uplift figure that's based on your ASC contributions prior to this period. In other words, please calculate XYZ's annual AVC uplift based on typical, rather than exceptional figures. Your ASC uplift amounts are shown on your payslips.</t>
  </si>
  <si>
    <t>Mandatory employee annual XYZ pension contributions deducted from gross salary</t>
  </si>
  <si>
    <t>Expected annual salary growth rate if you had remained with XYZ until planned retirement date</t>
  </si>
  <si>
    <t>Your reasonable expectation of average annual salary increases until your planned retirement date had you not retired from XYZ when you did.</t>
  </si>
  <si>
    <t>One-off losses (net-after-tax) incurred as a result of leaving XYZ prior to an award or bonus reaching its maturity date</t>
  </si>
  <si>
    <t>Enter the net value after tax of any bonuses or awards that you had received, but whose value would not have matured until after you left XYZ and which became worthless as a result of leaving XYZ. For example, enter the net value after tax of the shares element of a Corporate Award that was paid half in cash and half in shares, the shares element of which would have vested after the date you left XYZ had you not left the company. In this example, enter only the element of the award that you were not given, namely the net-after-tax value of the shares and not the cash.</t>
  </si>
  <si>
    <t>Section [c] - XYZ Pension</t>
  </si>
  <si>
    <t>XYZ Pension</t>
  </si>
  <si>
    <t>XYZ Pension Plan</t>
  </si>
  <si>
    <t>Leave empty if not applicable - usually the 6th of the month following the earlier of the date you joined XYZ and your 25th birthday</t>
  </si>
  <si>
    <t>Planned gross XYZ Defined Benefit pension before commutation (conversion to tax free cash lump sum)</t>
  </si>
  <si>
    <t>This is your gross XYZ Defined Benefit pension before commutation at your intended or planned retirement date as estimated in your 2009 Pension Benefit Statement. Include only your XYZ Defined Benefit pension at your intended retirement date. Do not include any ASC/AVC or Defined Contribution pension figures in this field.</t>
  </si>
  <si>
    <t>Actual gross XYZ Defined Benefit pension before commutation</t>
  </si>
  <si>
    <t>For the purpose of this estimate, assume you took or will take your full pension with no commutation to a tax free lump sum. Include only your XYZ Defined Benefit pension at your actual retirement date. Do not include any ASC/AVC or Defined Contribution pension figures in this field.</t>
  </si>
  <si>
    <t>Actual gross XYZ pension after commutation</t>
  </si>
  <si>
    <t>For the purpose of calculating the tax liability on your XYZ pension, which, in turn, is used to calculate the tax liability on your new job after leaving XYZ, enter the actual gross XYZ pension (Defined Benefit + Defined Contribution + pension from ASCs and AVCs) after commutation. If you took your full XYZ pension instead of converting part of it to a tax-free lump sum and you have no Defined Contribution, ASC or AVC elements in your pension, enter the same value here as you have in the field immediately above. These are both annual figures.</t>
  </si>
  <si>
    <t>Single or Joint life XYZ pension</t>
  </si>
  <si>
    <t>If you have a spouse and XYZ will provide your spouse with a pension when you die, select Joint; otherwise Single.</t>
  </si>
  <si>
    <t>Percentage of your XYZ salary increases that were pensionable for the Defined Benefit element of your pension since 2006</t>
  </si>
  <si>
    <t>Since XYZ's 2006 announcements, only 2/3rds (66.67%) of salary increases were pensionable for Defined Benefit pension plans. 100% for enhanced M plan members</t>
  </si>
  <si>
    <t>Expected annual XYZ pension growth</t>
  </si>
  <si>
    <t>Average growth of your XYZ pension in payment, can be estimated from indivual anuual pension increase letters</t>
  </si>
  <si>
    <t>Section [d] - Current New Job Since Leaving XYZ - Enter details of only your current (active) new job in this section. Enter previous new jobs in the next section.</t>
  </si>
  <si>
    <t>Current new job since leaving XYZ</t>
  </si>
  <si>
    <t>Expenses you incurred whilst looking for your current new job after you left XYZ</t>
  </si>
  <si>
    <t>Section [e] - Previous New Jobs Since Leaving XYZ - Enter details of all previous (terminated) new jobs or businesses that you have since closed since leaving XYZ.</t>
  </si>
  <si>
    <t>Previous new jobs since leaving XYZ</t>
  </si>
  <si>
    <t>First employer since leaving XYZ prior to current new employer</t>
  </si>
  <si>
    <t>Enter the name of your first employer since leaving XYZ with your Start and Finish dates, but only if this is not your current new job.</t>
  </si>
  <si>
    <t>Average XYZ annual attrition rate over age groups 20 - 65</t>
  </si>
  <si>
    <t>Gross annual State Pension lost as a result of leaving XYZ early</t>
  </si>
  <si>
    <t>This is the amount of State Pension and Second State Pension (S2P) you have lost as a result of leaving XYZ early, perhaps because you have, or will have made fewer than 30 years' National Insurance contributions or received certain State benefits to qualify for the full State Pension by the time you reach State Pension age. You are advised to contact the Department of Work and Pensions (DWP), who should be able to provide details of this loss. You should be able to use their reply as supporting evidence for the tribunal. Most claimants will have achieved 30 years' NI contributions or alternatively received qualifying State benefits, such as Child Benefit, for a sufficient period by the time they reach State Retirement age, in which case this field should be set to £0.00. A maximum S2P pension may require more than 30 years' NI contributions. Your 2009 XYZ Pension Benefits Statement also contains details of your expected State Pension. These links may be helpful:</t>
  </si>
  <si>
    <t>The above table is used to adjust the annuity rates in the four tables on the left, which were taken from the FSA's website in September 2010 to those on claimants' actual dates of retirement from XYZ.</t>
  </si>
  <si>
    <t>Gross annual salary, benefits, bonus, XYZ AVC uplift and Enhanced M contributions, if appropriate</t>
  </si>
  <si>
    <t>Section [l] - XYZ income lost from retirement date to earliest date of a) starting current new job, b) employment tribunal final hearing, and c) planned retirement from XYZ</t>
  </si>
  <si>
    <t>XYZ total income lost after tax from actual retirement to planned retirement</t>
  </si>
  <si>
    <t>Gross annual XYZ compensation</t>
  </si>
  <si>
    <t>Annual (net XYZ salary, benefits, bonus and commission after tax) plus (non-taxable AVC uplift and company contributions to Defined Contribution pension plan) minus (non-taxable mandatory employee pension contributions)</t>
  </si>
  <si>
    <t>The earliest date of a) starting current new job, b) Employment Tribunal final hearing or c) planned retirement date from XYZ</t>
  </si>
  <si>
    <t>Years from actual retirement to earliest of a) starting current new job, b) employment tribunal final hearing or c) planned retirement date from XYZ</t>
  </si>
  <si>
    <t>Working months lost from retirement to earliest of a) starting current new job, b) employment tribunal final hearing or c) planned retirement date from XYZ</t>
  </si>
  <si>
    <t>Date of retirement from XYZ</t>
  </si>
  <si>
    <t>The earliest date of a) starting current new job, b) Employment Tribunal final hearing and c) planned retirement date from XYZ</t>
  </si>
  <si>
    <t>Age at the date of retiring from XYZ (date of dismissal)</t>
  </si>
  <si>
    <t>Age at date of the earliest of a) the date of starting current new job, b) the date of the employment tribunal final hearing and c) the date of planned retirement from XYZ</t>
  </si>
  <si>
    <t>XYZ Withdrawal Factor from date of retiring from XYZ to the earliest of a) the date of starting current new job, b) the date of the employment tribunal final hearing and c) the date of planned retirement from XYZ</t>
  </si>
  <si>
    <t>This is the statistically derived probability that you would have left XYZ between the date of retiring from XYZ and the earliest of a) starting current new job, b) the date of the employment tribunal final hearing and c) the date of planned retirement from XYZ, for reasons other than premature death (i.e. normal attrition). It will be assessed by the Employment Tribunal, which is likely to take account of individual circumstances and adjust this probability accordingly. For the purpose of this spreadsheet, which is used by all Now Legal claimants, a statistical estimate alone must be used. The Tribunal may adjust this estimate when it examines each individual's circumstances. XYZ's average attrition rate was obtained from evidence given in the "1983" High Court case ("C-Plan Proceedings").</t>
  </si>
  <si>
    <t>Total annual net XYZ compensation between actual retirement and the earliest of a) finding current new job, b) ET final hearing, c) planned retirement, PV'd to the date of the final hearing and adjusted for inflation and XYZ Withdrawal Factor</t>
  </si>
  <si>
    <t>(Monthly net XYZ income) x (Duration of working months lost) x (1 - XYZ Withdrawal Factor)
Negative value represents a loss</t>
  </si>
  <si>
    <t>Monthly net income after tax from current new job after leaving XYZ (without inflation adjustment)</t>
  </si>
  <si>
    <t>Section [n] - Balance of income from date of starting current new job to the earlier of a) employment tribunal final hearing b) planned retirement from XYZ</t>
  </si>
  <si>
    <t>Balance of net lost and gained income after tax from date of starting current new job to the earlier of a) employment tribunal final hearing or b) planned retirement from XYZ</t>
  </si>
  <si>
    <t>The earlier of a) the date of the employment tribunal final hearing and b) the date of planned retirement from XYZ</t>
  </si>
  <si>
    <t>Years from starting current new job to the earlier of a) the date of the employment tribunal final hearing and b) planned retirement from XYZ</t>
  </si>
  <si>
    <t>Working months elapsed from date of starting current new job to the earlier of a) the date of the employment tribunal final hearing and b) the date of planned retirement from XYZ</t>
  </si>
  <si>
    <t>Duration of working months elapsed from date of starting current new job to the earlier of a) the date of the employment tribunal final hearing and b) the date of planned retirement from XYZ, PV'd to the date of the final hearing and adjusted for XYZ salary inflation</t>
  </si>
  <si>
    <t>Duration of working months elapsed from date of starting current new job to the earlier of a) the date of the employment tribunal final hearing and b) the date of planned retirement from XYZ, PV'd to the date of the final hearing and adjusted for new job salary inflation</t>
  </si>
  <si>
    <t>Total net income lost from XYZ from date of starting current new job to the earlier of a) the date of the employment tribunal final hearing and b) planned retirement from XYZ, PV'd to the date of the final hearing and adjusted for expected XYZ salary inflation</t>
  </si>
  <si>
    <t>Age at date of the earlier of a) the employment tribunal final hearing.  b) the date of planned retirement from XYZ, c) Today</t>
  </si>
  <si>
    <t>Age at date of the earlier of a) the employment tribunal final hearing and b) the date of planned retirement from XYZ</t>
  </si>
  <si>
    <t>XYZ Withdrawal Factor from date of starting current new job to the earlier of a) the date of the employment tribunal final hearing and b) the date of planned retirement from XYZ</t>
  </si>
  <si>
    <t>This is the statistically derived probability that you would have left XYZ for reasons other than premature death (i.e. normal attrition). It will be assessed by the Employment Tribunal, which is likely to take account of individual circumstances and adjust this probability accordingly. For the purpose of this spreadsheet, which is used by all Now Legal claimants, a statistical estimate alone must be used. The Tribunal may adjust this estimate when it examines each individual's circumstances. XYZ's average attrition rate was obtained from evidence given in the "1983" High Court case ("C-Plan Proceedings").</t>
  </si>
  <si>
    <t>Total net income lost from XYZ from date of starting current new job to the earlier of a) the date of the employment tribunal final hearing and b) planned retirement from XYZ, PV'd to the date of the final hearing and adjusted for expected XYZ salary inflation and XYZ Withdrawal Factor</t>
  </si>
  <si>
    <t>(1 - XYZ Withdrawal Factor) is the probability that you would have remained with XYZ until your planned retirement date, had you not been constructively dismissed. Negative value represents a loss.</t>
  </si>
  <si>
    <t>Total net income gained from current new job from date of starting it to the earlier of a) the date of the employment tribunal final hearing and b) the date of planned retirement from XYZ, PV'd to the date of the final hearing and adjusted for new job salary inflation</t>
  </si>
  <si>
    <t>New Job Withdrawal Factor from date of starting current new job to the earlier of a) the date of the employment tribunal final hearing and b) the date of planned retirement from XYZ</t>
  </si>
  <si>
    <t>This is the statistically derived probability that you  will leave your current new job for reasons other than premature death (i.e. normal attrition) by the date of the employment tribunal. It will be assessed by the employment tribunal, which is likely to take account of individual circumstances and adjust this probability accordingly. Having no facts about your current new job available at the time of design of this spreadsheet, your current new job's average attrition rate and distribution over the working age range is assumed to be 5% per annum - a little higher than XYZ's 3% per annum. If you are able to obtain the correct average attrition rate for your new employer, please enter it in Section [g].</t>
  </si>
  <si>
    <t>Total net income gained from current new job from date of starting it to the earlier of a) the date of employment tribunal final hearing and b) the date of planned retirement from XYZ, PV'd to the date of the final hearing and adjusted for current new job salary inflation and New Job Withdrawal Factor</t>
  </si>
  <si>
    <t>(1 - New Job Withdrawal Factor) is the probability that you will remain with your new employer until the tribunal or the date of your planned retirement from XYZ</t>
  </si>
  <si>
    <t>Balance of total net income lost from XYZ and gained from current new job from date of starting current new job to the earlier of a) the date of the employment tribunal final hearing and b) the date of planned retirement from XYZ, PV'd to the date of the final hearing and adjusted for inflation and withdrawal factors</t>
  </si>
  <si>
    <t>Negative value represents a net loss of total net income after tax from XYZ and current new job from date of starting current new job to the earlier of a) the date of the employment tribunal final hearing and b) the date of planned retirement from XYZ. If total net income from your current new job is greater than that from XYZ over this period, then the resulting balance is capped at zero.</t>
  </si>
  <si>
    <t>Section [o] - Balance of XYZ and current new job income from date of employment tribunal final hearing to the date of planned retirement from XYZ</t>
  </si>
  <si>
    <t>Balance of net lost and gained income after tax from date of employment tribunal final hearing to the date of planned retirement from XYZ</t>
  </si>
  <si>
    <t>Date of planned retirement from XYZ</t>
  </si>
  <si>
    <t>Years from the date of the employment tribunal final hearing to the date of planned retirement from XYZ</t>
  </si>
  <si>
    <t>years. If the employment tribunal final hearing occurs after your planned retirement date from XYZ, this figure will be zero.</t>
  </si>
  <si>
    <t>Working months elapsed from date of employment tribunal final hearing to the date of planned retirement from XYZ</t>
  </si>
  <si>
    <t>Duration of working months elapsed from date of the employment tribunal final hearing and the date of planned retirement from XYZ, PV'd to the date of the final hearing and adjusted for XYZ salary inflation</t>
  </si>
  <si>
    <t>Duration of working months elapsed from date of the employment tribunal final hearing and the date of planned retirement from XYZ, PV'd to the date of the final hearing and adjusted for current new job salary inflation</t>
  </si>
  <si>
    <t>Total net income lost from XYZ from date of the employment tribunal final hearing and planned retirement from XYZ, PV'd to the date of the final hearing and adjusted for expected XYZ salary inflation</t>
  </si>
  <si>
    <t>Age at date of planned retirement from XYZ</t>
  </si>
  <si>
    <t>XYZ Withdrawal Factor from date of the employment tribunal final hearing and the date of planned retirement from XYZ</t>
  </si>
  <si>
    <t>Total net income lost from XYZ from date of the employment tribunal final hearing to the date of planned retirement from XYZ, PV'd to the date of the final hearing and adjusted for expected XYZ salary inflation and XYZ Withdrawal Factor</t>
  </si>
  <si>
    <t>(1 - XYZ Withdrawal Factor) is the probability that you would have remained with XYZ from the date of the employment tribunal final hearing until your planned retirement date, had you not been constructively dismissed</t>
  </si>
  <si>
    <t>Total net income gained from current new job from date of the employment tribunal final hearing and the date of planned retirement from XYZ, PV'd to the date of the final hearing and adjusted for current new job salary inflation</t>
  </si>
  <si>
    <t>New Job Withdrawal Factor from the date of the employment tribunal final hearing and the date of planned retirement from XYZ</t>
  </si>
  <si>
    <t>This is the statistically derived probability that you would have left or will leave your current new job for reasons other than premature death (i.e. normal attrition) after the date of the employment tribunal. It will be assessed by the employment tribunal, which is likely to take account of individual circumstances and adjust this probability accordingly. Having no facts about your current new job available at the time of design of this spreadsheet, your current new job's average attrition rate and distribution over the working age range is assumed to be 5% per annum - a little higher than XYZ's 3% per annum. If you are able to obtain the correct average attrition rate for your new employer, please enter it in Section [g].</t>
  </si>
  <si>
    <t>Total net income gained from current new job from date of employment tribunal final hearing and the date of planned retirement from XYZ, PV'd to the date of the final hearing and adjusted for current new job salary inflation and New Job Withdrawal Factor</t>
  </si>
  <si>
    <t>Balance of total net income lost from XYZ and gained from current new job from date of the employment tribunal final hearing to the date of planned retirement from XYZ, PV'd to the date of the final hearing and adjusted for inflation and withdrawal factors</t>
  </si>
  <si>
    <t>Negative value represents a net loss of total net income after tax from XYZ and current new job from date of the employment tribunal final hearing to the date of planned retirement from XYZ. If total net income from your current new job is greater than that from XYZ over this period, then the resulting balance is capped at zero.</t>
  </si>
  <si>
    <t>Month of retirement from XYZ</t>
  </si>
  <si>
    <t>Used in the Annuity Rates vs Time lookup table above to obtain a valid annuity rate at the actual date of retirement from XYZ</t>
  </si>
  <si>
    <t>Cash value of additional pensions earned from previous new jobs since leaving XYZ</t>
  </si>
  <si>
    <t>Change to cash value of Defined Benefit pension as a result of leaving XYZ earlier than planned</t>
  </si>
  <si>
    <t>Interest on change to cash value of Defined Benefit pension as a result of leaving XYZ earlier than planned, calculated from actual retirement date to the date of the final Employment Tribunal hearing</t>
  </si>
  <si>
    <t>Change to cash value of Defined Benefit pension as a result of leaving XYZ earlier than planned, including interest to the date of the final Employment Tribunal hearing</t>
  </si>
  <si>
    <t>One-off losses incurred as a result of leaving XYZ prior to the award or bonus reaching its maturity date</t>
  </si>
  <si>
    <t>Factor by which best annuity rate available in September 2010 must be multiplied to find best annuity rate at the actual date of retirement from XYZ</t>
  </si>
  <si>
    <t>Date of last working day at XYZ at Normal Retirement Age = 63</t>
  </si>
  <si>
    <t>State Pension Deduction (SPD) or estimated SPD at date of last working day at XYZ at Normal Retirement Age = 63</t>
  </si>
  <si>
    <t>Will not be paid by XYZ if you retired prior to age 60</t>
  </si>
  <si>
    <t>State Pension Deduction (SPD) table taken from XYZ 2009, 2010, 2011 &amp; 2012 Pension Benefit Statements. Estimated figures beyond April 2013 are based on 2011 inflation, which incorporate the lowest inflation rates in the available data.</t>
  </si>
  <si>
    <t>Age joined XYZ</t>
  </si>
  <si>
    <t>Final gross XYZ salary, benefits, bonus, commission, ASC uplift, XYZ Defined Contribution pension contributions, etc. after mandatory employee pension contributions have been deducted</t>
  </si>
  <si>
    <t>Actual gross XYZ Defined Benefit pension before commutation to a tax-free lump sum</t>
  </si>
  <si>
    <t>Actual gross XYZ pension after commutation to a tax-free lump sum</t>
  </si>
  <si>
    <t>Planned gross XYZ Defined Benefit pension before commutation to a tax-free lump sum</t>
  </si>
  <si>
    <t>Average attrition rate (XYZ)</t>
  </si>
  <si>
    <t>XYZ</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</si>
</sst>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quot;-£&quot;#,##0.00"/>
    <numFmt numFmtId="165" formatCode="0.0%"/>
    <numFmt numFmtId="166" formatCode="\£#,##0"/>
    <numFmt numFmtId="167" formatCode="0.0000"/>
    <numFmt numFmtId="168" formatCode="\£#,##0;&quot;-£&quot;#,##0"/>
    <numFmt numFmtId="169" formatCode="\£#,##0;[Red]&quot;-£&quot;#,##0"/>
    <numFmt numFmtId="170" formatCode="\£#,##0.00"/>
    <numFmt numFmtId="171" formatCode="0.000"/>
    <numFmt numFmtId="172" formatCode="#,##0.000"/>
    <numFmt numFmtId="173" formatCode="d\-mmm\-yyyy"/>
    <numFmt numFmtId="174" formatCode="0.000%"/>
    <numFmt numFmtId="175" formatCode="dd/md/yyyy"/>
    <numFmt numFmtId="176" formatCode="#,##0.000_ ;[Red]\-#,##0.000\ "/>
    <numFmt numFmtId="177" formatCode="00"/>
    <numFmt numFmtId="178" formatCode="#,##0.0_ ;[Red]\-#,##0.0\ "/>
    <numFmt numFmtId="179" formatCode="0.000000%"/>
    <numFmt numFmtId="180" formatCode="0.00000%"/>
    <numFmt numFmtId="181" formatCode="&quot;£&quot;#,##0"/>
    <numFmt numFmtId="182" formatCode="[$-809]dd\ mmmm\ yyyy"/>
    <numFmt numFmtId="183" formatCode="0.00_ ;[Red]\-0.00\ "/>
    <numFmt numFmtId="184" formatCode="0_ ;[Red]\-0\ "/>
    <numFmt numFmtId="185" formatCode="#,##0.00;[Red]#,##0.00"/>
  </numFmts>
  <fonts count="55">
    <font>
      <sz val="10"/>
      <name val="Arial"/>
      <family val="2"/>
    </font>
    <font>
      <sz val="10"/>
      <color indexed="11"/>
      <name val="Arial"/>
      <family val="2"/>
    </font>
    <font>
      <sz val="20"/>
      <name val="Arial"/>
      <family val="2"/>
    </font>
    <font>
      <b/>
      <sz val="10"/>
      <name val="Arial"/>
      <family val="2"/>
    </font>
    <font>
      <sz val="10"/>
      <color indexed="10"/>
      <name val="Arial"/>
      <family val="2"/>
    </font>
    <font>
      <u val="single"/>
      <sz val="10"/>
      <name val="Arial"/>
      <family val="2"/>
    </font>
    <font>
      <b/>
      <sz val="16"/>
      <name val="Arial"/>
      <family val="2"/>
    </font>
    <font>
      <b/>
      <sz val="10"/>
      <color indexed="10"/>
      <name val="Arial"/>
      <family val="2"/>
    </font>
    <font>
      <u val="single"/>
      <sz val="10"/>
      <color indexed="12"/>
      <name val="Arial"/>
      <family val="2"/>
    </font>
    <font>
      <i/>
      <sz val="10"/>
      <name val="Arial"/>
      <family val="2"/>
    </font>
    <font>
      <sz val="10"/>
      <color indexed="8"/>
      <name val="Arial"/>
      <family val="2"/>
    </font>
    <font>
      <b/>
      <sz val="10"/>
      <color indexed="8"/>
      <name val="Arial"/>
      <family val="2"/>
    </font>
    <font>
      <sz val="18"/>
      <name val="Arial"/>
      <family val="2"/>
    </font>
    <font>
      <sz val="9"/>
      <name val="Tahoma"/>
      <family val="2"/>
    </font>
    <font>
      <b/>
      <sz val="9"/>
      <name val="Tahoma"/>
      <family val="2"/>
    </font>
    <font>
      <sz val="7.7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8"/>
      <name val="Arial"/>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11"/>
        <bgColor indexed="64"/>
      </patternFill>
    </fill>
    <fill>
      <patternFill patternType="solid">
        <fgColor indexed="15"/>
        <bgColor indexed="64"/>
      </patternFill>
    </fill>
    <fill>
      <patternFill patternType="solid">
        <fgColor indexed="50"/>
        <bgColor indexed="64"/>
      </patternFill>
    </fill>
    <fill>
      <patternFill patternType="solid">
        <fgColor indexed="49"/>
        <bgColor indexed="64"/>
      </patternFill>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theme="8" tint="0.5999600291252136"/>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double">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double">
        <color indexed="8"/>
      </left>
      <right style="thin">
        <color indexed="8"/>
      </right>
      <top style="double">
        <color indexed="8"/>
      </top>
      <bottom style="thin">
        <color indexed="8"/>
      </bottom>
    </border>
    <border>
      <left style="medium">
        <color indexed="8"/>
      </left>
      <right style="medium">
        <color indexed="8"/>
      </right>
      <top style="medium">
        <color indexed="8"/>
      </top>
      <bottom style="double">
        <color indexed="8"/>
      </bottom>
    </border>
    <border>
      <left>
        <color indexed="63"/>
      </left>
      <right style="thin">
        <color indexed="8"/>
      </right>
      <top style="thin">
        <color indexed="8"/>
      </top>
      <bottom style="double">
        <color indexed="8"/>
      </bottom>
    </border>
    <border>
      <left style="medium">
        <color indexed="8"/>
      </left>
      <right style="medium">
        <color indexed="8"/>
      </right>
      <top style="medium">
        <color indexed="8"/>
      </top>
      <bottom>
        <color indexed="63"/>
      </bottom>
    </border>
    <border>
      <left>
        <color indexed="63"/>
      </left>
      <right style="thin">
        <color indexed="8"/>
      </right>
      <top style="double">
        <color indexed="8"/>
      </top>
      <bottom style="thin">
        <color indexed="8"/>
      </bottom>
    </border>
    <border>
      <left>
        <color indexed="63"/>
      </left>
      <right style="double">
        <color indexed="8"/>
      </right>
      <top style="double">
        <color indexed="8"/>
      </top>
      <bottom style="thin">
        <color indexed="8"/>
      </bottom>
    </border>
    <border>
      <left>
        <color indexed="63"/>
      </left>
      <right style="double">
        <color indexed="8"/>
      </right>
      <top style="thin">
        <color indexed="8"/>
      </top>
      <bottom style="thin">
        <color indexed="8"/>
      </bottom>
    </border>
    <border>
      <left>
        <color indexed="63"/>
      </left>
      <right style="double">
        <color indexed="8"/>
      </right>
      <top style="thin">
        <color indexed="8"/>
      </top>
      <bottom style="double">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double">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1"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52">
    <xf numFmtId="0" fontId="0" fillId="0" borderId="0" xfId="0" applyAlignment="1">
      <alignment/>
    </xf>
    <xf numFmtId="0" fontId="0" fillId="0" borderId="10" xfId="0" applyFont="1" applyBorder="1"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0" xfId="0" applyAlignment="1">
      <alignment horizontal="center"/>
    </xf>
    <xf numFmtId="0" fontId="0" fillId="0" borderId="0" xfId="0" applyAlignment="1">
      <alignment/>
    </xf>
    <xf numFmtId="0" fontId="5" fillId="0" borderId="0" xfId="0" applyFont="1" applyAlignment="1">
      <alignment horizontal="left"/>
    </xf>
    <xf numFmtId="0" fontId="3" fillId="0" borderId="11" xfId="0" applyFont="1" applyBorder="1" applyAlignment="1">
      <alignment horizontal="left" vertical="top"/>
    </xf>
    <xf numFmtId="0" fontId="3" fillId="0" borderId="12" xfId="0" applyFont="1" applyBorder="1" applyAlignment="1">
      <alignment horizontal="left" vertical="top" wrapText="1"/>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0" fillId="0" borderId="13" xfId="0" applyBorder="1" applyAlignment="1">
      <alignment horizontal="center"/>
    </xf>
    <xf numFmtId="0" fontId="0" fillId="0" borderId="14" xfId="0" applyFont="1" applyBorder="1" applyAlignment="1">
      <alignment horizontal="left" vertical="top" wrapText="1"/>
    </xf>
    <xf numFmtId="0" fontId="0" fillId="0" borderId="13" xfId="0" applyFill="1" applyBorder="1" applyAlignment="1">
      <alignment horizontal="center"/>
    </xf>
    <xf numFmtId="0" fontId="0" fillId="0" borderId="15" xfId="0" applyFont="1" applyBorder="1" applyAlignment="1">
      <alignment horizontal="left" vertical="top" wrapText="1"/>
    </xf>
    <xf numFmtId="0" fontId="0" fillId="0" borderId="10" xfId="0" applyFont="1" applyBorder="1" applyAlignment="1">
      <alignment horizontal="center" vertical="top" wrapText="1"/>
    </xf>
    <xf numFmtId="0" fontId="0" fillId="0" borderId="10" xfId="0" applyFont="1" applyFill="1" applyBorder="1" applyAlignment="1">
      <alignment horizontal="left" vertical="top" wrapText="1"/>
    </xf>
    <xf numFmtId="14" fontId="0" fillId="0" borderId="16" xfId="0" applyNumberFormat="1" applyFill="1" applyBorder="1" applyAlignment="1">
      <alignment horizontal="center" vertical="top"/>
    </xf>
    <xf numFmtId="0" fontId="0" fillId="0" borderId="10" xfId="0" applyFont="1" applyBorder="1" applyAlignment="1">
      <alignment horizontal="left" vertical="top" wrapText="1"/>
    </xf>
    <xf numFmtId="0" fontId="0" fillId="0" borderId="15" xfId="0" applyBorder="1" applyAlignment="1">
      <alignment horizontal="center"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19" xfId="0" applyBorder="1" applyAlignment="1">
      <alignment horizontal="center" vertical="top"/>
    </xf>
    <xf numFmtId="0" fontId="0" fillId="0" borderId="20" xfId="0" applyBorder="1" applyAlignment="1">
      <alignment horizontal="center" vertical="top"/>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Border="1" applyAlignment="1">
      <alignment horizontal="center" vertical="top"/>
    </xf>
    <xf numFmtId="0" fontId="0" fillId="0" borderId="0" xfId="0" applyBorder="1" applyAlignment="1">
      <alignment horizontal="center"/>
    </xf>
    <xf numFmtId="0" fontId="0" fillId="0" borderId="12" xfId="0" applyFont="1" applyBorder="1" applyAlignment="1">
      <alignment horizontal="left" vertical="top" wrapText="1"/>
    </xf>
    <xf numFmtId="0" fontId="3" fillId="0" borderId="21" xfId="0" applyFont="1" applyBorder="1" applyAlignment="1">
      <alignment horizontal="center" vertical="top" wrapText="1"/>
    </xf>
    <xf numFmtId="0" fontId="0" fillId="0" borderId="15" xfId="0" applyFont="1" applyBorder="1" applyAlignment="1">
      <alignment horizontal="left" vertical="top"/>
    </xf>
    <xf numFmtId="10" fontId="0" fillId="0" borderId="13" xfId="0" applyNumberFormat="1" applyFill="1" applyBorder="1" applyAlignment="1">
      <alignment horizontal="center"/>
    </xf>
    <xf numFmtId="0" fontId="3" fillId="0" borderId="10" xfId="0" applyFont="1" applyBorder="1" applyAlignment="1">
      <alignment horizontal="left" vertical="top" wrapText="1"/>
    </xf>
    <xf numFmtId="0" fontId="0" fillId="0" borderId="18" xfId="0" applyFill="1" applyBorder="1" applyAlignment="1">
      <alignment horizontal="center"/>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13" xfId="0" applyFont="1" applyBorder="1" applyAlignment="1">
      <alignment horizontal="left" vertical="top"/>
    </xf>
    <xf numFmtId="0" fontId="3" fillId="0" borderId="19" xfId="0" applyFont="1" applyBorder="1" applyAlignment="1">
      <alignment horizontal="center" vertical="top" wrapText="1"/>
    </xf>
    <xf numFmtId="0" fontId="3" fillId="0" borderId="0" xfId="0" applyFont="1" applyBorder="1" applyAlignment="1">
      <alignment horizontal="center" vertical="top"/>
    </xf>
    <xf numFmtId="0" fontId="0" fillId="0" borderId="15" xfId="0" applyFont="1" applyBorder="1" applyAlignment="1">
      <alignment horizontal="left"/>
    </xf>
    <xf numFmtId="14" fontId="0" fillId="0" borderId="13" xfId="0" applyNumberFormat="1" applyFill="1" applyBorder="1" applyAlignment="1">
      <alignment horizontal="center"/>
    </xf>
    <xf numFmtId="0" fontId="3" fillId="0" borderId="16" xfId="0" applyFont="1" applyBorder="1" applyAlignment="1">
      <alignment horizontal="left" vertical="top"/>
    </xf>
    <xf numFmtId="0" fontId="0" fillId="0" borderId="21" xfId="0" applyFont="1" applyBorder="1" applyAlignment="1">
      <alignment horizontal="left" vertical="top" wrapText="1"/>
    </xf>
    <xf numFmtId="0" fontId="0" fillId="0" borderId="18" xfId="0" applyBorder="1" applyAlignment="1">
      <alignment horizontal="center"/>
    </xf>
    <xf numFmtId="0" fontId="0" fillId="0" borderId="19" xfId="0" applyBorder="1" applyAlignment="1">
      <alignment horizontal="left" vertical="top" wrapText="1"/>
    </xf>
    <xf numFmtId="0" fontId="0" fillId="0" borderId="19" xfId="0" applyFill="1"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3" fillId="0" borderId="13"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9" xfId="0" applyBorder="1" applyAlignment="1">
      <alignment horizontal="center"/>
    </xf>
    <xf numFmtId="0" fontId="0" fillId="0" borderId="19" xfId="0" applyFill="1" applyBorder="1" applyAlignment="1">
      <alignment horizontal="center"/>
    </xf>
    <xf numFmtId="0" fontId="0" fillId="0" borderId="0" xfId="0" applyFill="1" applyBorder="1" applyAlignment="1">
      <alignment horizontal="center"/>
    </xf>
    <xf numFmtId="0" fontId="0" fillId="0" borderId="17" xfId="0" applyFill="1" applyBorder="1" applyAlignment="1">
      <alignment horizontal="left" vertical="top" wrapText="1"/>
    </xf>
    <xf numFmtId="0" fontId="3" fillId="0" borderId="11" xfId="0" applyFont="1" applyBorder="1" applyAlignment="1">
      <alignment horizontal="left"/>
    </xf>
    <xf numFmtId="0" fontId="0" fillId="0" borderId="12" xfId="0" applyBorder="1" applyAlignment="1">
      <alignment horizontal="left"/>
    </xf>
    <xf numFmtId="0" fontId="3" fillId="0" borderId="13" xfId="0" applyFont="1" applyBorder="1" applyAlignment="1">
      <alignment horizontal="left"/>
    </xf>
    <xf numFmtId="0" fontId="3" fillId="0" borderId="18" xfId="0" applyFont="1" applyBorder="1" applyAlignment="1">
      <alignment horizontal="left"/>
    </xf>
    <xf numFmtId="0" fontId="0" fillId="0" borderId="19" xfId="0" applyBorder="1" applyAlignment="1">
      <alignment horizontal="center" vertical="top" wrapText="1"/>
    </xf>
    <xf numFmtId="0" fontId="3" fillId="0" borderId="13" xfId="0" applyFont="1" applyFill="1" applyBorder="1" applyAlignment="1">
      <alignment horizontal="left"/>
    </xf>
    <xf numFmtId="0" fontId="8" fillId="0" borderId="0" xfId="54" applyNumberFormat="1" applyFont="1" applyFill="1" applyBorder="1" applyAlignment="1" applyProtection="1">
      <alignment/>
      <protection/>
    </xf>
    <xf numFmtId="0" fontId="3" fillId="0" borderId="0" xfId="0" applyFont="1" applyBorder="1" applyAlignment="1">
      <alignment horizontal="left"/>
    </xf>
    <xf numFmtId="0" fontId="0" fillId="0" borderId="0" xfId="0" applyBorder="1" applyAlignment="1">
      <alignment horizontal="center" vertical="top" wrapText="1"/>
    </xf>
    <xf numFmtId="10" fontId="0" fillId="0" borderId="13" xfId="0" applyNumberFormat="1" applyFont="1" applyBorder="1" applyAlignment="1">
      <alignment horizontal="left" vertical="top"/>
    </xf>
    <xf numFmtId="165" fontId="0" fillId="33" borderId="10" xfId="0" applyNumberFormat="1" applyFill="1" applyBorder="1" applyAlignment="1">
      <alignment horizontal="center"/>
    </xf>
    <xf numFmtId="0" fontId="0" fillId="0" borderId="10" xfId="0" applyFont="1" applyBorder="1" applyAlignment="1">
      <alignment horizontal="left" wrapText="1"/>
    </xf>
    <xf numFmtId="166" fontId="0" fillId="33" borderId="10" xfId="0" applyNumberFormat="1" applyFill="1" applyBorder="1" applyAlignment="1">
      <alignment horizontal="center"/>
    </xf>
    <xf numFmtId="0" fontId="0" fillId="0" borderId="22" xfId="0" applyBorder="1" applyAlignment="1">
      <alignment horizontal="left"/>
    </xf>
    <xf numFmtId="0" fontId="3" fillId="0" borderId="19" xfId="0" applyFont="1"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12" xfId="0" applyBorder="1" applyAlignment="1">
      <alignment horizontal="center" vertical="top" wrapText="1"/>
    </xf>
    <xf numFmtId="0" fontId="0" fillId="0" borderId="12" xfId="0" applyBorder="1" applyAlignment="1">
      <alignment horizontal="center"/>
    </xf>
    <xf numFmtId="0" fontId="0" fillId="0" borderId="23" xfId="0" applyBorder="1" applyAlignment="1">
      <alignment horizontal="center"/>
    </xf>
    <xf numFmtId="0" fontId="0" fillId="0" borderId="0" xfId="0" applyBorder="1" applyAlignment="1">
      <alignment/>
    </xf>
    <xf numFmtId="0" fontId="3" fillId="0" borderId="0" xfId="0" applyFont="1" applyBorder="1" applyAlignment="1">
      <alignment horizontal="right"/>
    </xf>
    <xf numFmtId="0" fontId="3" fillId="0" borderId="11" xfId="0" applyFont="1" applyBorder="1" applyAlignment="1">
      <alignment horizontal="right"/>
    </xf>
    <xf numFmtId="0" fontId="3" fillId="0" borderId="23" xfId="0" applyFont="1" applyBorder="1" applyAlignment="1">
      <alignment horizontal="right" wrapText="1"/>
    </xf>
    <xf numFmtId="0" fontId="3" fillId="0" borderId="12" xfId="0" applyFont="1" applyBorder="1" applyAlignment="1">
      <alignment horizontal="left"/>
    </xf>
    <xf numFmtId="0" fontId="3" fillId="0" borderId="23" xfId="0" applyFont="1" applyBorder="1" applyAlignment="1">
      <alignment horizontal="left"/>
    </xf>
    <xf numFmtId="0" fontId="0" fillId="0" borderId="13" xfId="0" applyBorder="1" applyAlignment="1">
      <alignment horizontal="right"/>
    </xf>
    <xf numFmtId="166" fontId="0" fillId="34" borderId="22" xfId="0" applyNumberFormat="1" applyFill="1" applyBorder="1" applyAlignment="1">
      <alignment horizontal="right"/>
    </xf>
    <xf numFmtId="17" fontId="0" fillId="0" borderId="13" xfId="0" applyNumberFormat="1" applyBorder="1" applyAlignment="1">
      <alignment horizontal="left"/>
    </xf>
    <xf numFmtId="166" fontId="0" fillId="0" borderId="0" xfId="0" applyNumberFormat="1" applyBorder="1" applyAlignment="1">
      <alignment horizontal="left"/>
    </xf>
    <xf numFmtId="167" fontId="0" fillId="0" borderId="22" xfId="0" applyNumberFormat="1" applyBorder="1" applyAlignment="1">
      <alignment horizontal="left"/>
    </xf>
    <xf numFmtId="166" fontId="0" fillId="33" borderId="22" xfId="0" applyNumberFormat="1" applyFill="1" applyBorder="1" applyAlignment="1">
      <alignment horizontal="right"/>
    </xf>
    <xf numFmtId="17" fontId="3" fillId="0" borderId="13" xfId="0" applyNumberFormat="1" applyFont="1" applyBorder="1" applyAlignment="1">
      <alignment horizontal="left"/>
    </xf>
    <xf numFmtId="166" fontId="3" fillId="0" borderId="0" xfId="0" applyNumberFormat="1" applyFont="1" applyBorder="1" applyAlignment="1">
      <alignment horizontal="left"/>
    </xf>
    <xf numFmtId="167" fontId="3" fillId="0" borderId="22" xfId="0" applyNumberFormat="1" applyFont="1" applyBorder="1" applyAlignment="1">
      <alignment horizontal="left"/>
    </xf>
    <xf numFmtId="0" fontId="0" fillId="0" borderId="18" xfId="0" applyBorder="1" applyAlignment="1">
      <alignment horizontal="right"/>
    </xf>
    <xf numFmtId="166" fontId="0" fillId="34" borderId="20" xfId="0" applyNumberFormat="1" applyFill="1" applyBorder="1" applyAlignment="1">
      <alignment horizontal="right"/>
    </xf>
    <xf numFmtId="0" fontId="8" fillId="0" borderId="18" xfId="54" applyNumberFormat="1" applyFont="1" applyFill="1" applyBorder="1" applyAlignment="1" applyProtection="1">
      <alignment horizontal="left" vertical="top"/>
      <protection/>
    </xf>
    <xf numFmtId="0" fontId="8" fillId="0" borderId="19" xfId="54" applyNumberFormat="1" applyFill="1" applyBorder="1" applyAlignment="1" applyProtection="1">
      <alignment horizontal="left"/>
      <protection/>
    </xf>
    <xf numFmtId="0" fontId="8" fillId="0" borderId="20" xfId="54" applyNumberFormat="1" applyFill="1" applyBorder="1" applyAlignment="1" applyProtection="1">
      <alignment horizontal="left"/>
      <protection/>
    </xf>
    <xf numFmtId="0" fontId="8" fillId="0" borderId="0" xfId="54" applyNumberFormat="1" applyFill="1" applyBorder="1" applyAlignment="1" applyProtection="1">
      <alignment horizontal="left"/>
      <protection/>
    </xf>
    <xf numFmtId="17" fontId="0" fillId="0" borderId="0" xfId="0" applyNumberFormat="1" applyBorder="1" applyAlignment="1">
      <alignment horizontal="left"/>
    </xf>
    <xf numFmtId="0" fontId="8" fillId="0" borderId="12" xfId="54" applyNumberFormat="1" applyFont="1" applyFill="1" applyBorder="1" applyAlignment="1" applyProtection="1">
      <alignment horizontal="left"/>
      <protection/>
    </xf>
    <xf numFmtId="0" fontId="0" fillId="0" borderId="23" xfId="0" applyBorder="1" applyAlignment="1">
      <alignment/>
    </xf>
    <xf numFmtId="0" fontId="0" fillId="0" borderId="13" xfId="0" applyFont="1" applyBorder="1" applyAlignment="1">
      <alignment horizontal="left"/>
    </xf>
    <xf numFmtId="0" fontId="0" fillId="0" borderId="22" xfId="0" applyBorder="1" applyAlignment="1">
      <alignment/>
    </xf>
    <xf numFmtId="17" fontId="0" fillId="0" borderId="0" xfId="0" applyNumberFormat="1" applyFont="1" applyBorder="1" applyAlignment="1">
      <alignment horizontal="left"/>
    </xf>
    <xf numFmtId="0" fontId="0" fillId="0" borderId="22" xfId="0" applyBorder="1" applyAlignment="1">
      <alignment horizontal="center"/>
    </xf>
    <xf numFmtId="0" fontId="0" fillId="0" borderId="18" xfId="0" applyFont="1" applyBorder="1" applyAlignment="1">
      <alignment horizontal="left"/>
    </xf>
    <xf numFmtId="0" fontId="0" fillId="0" borderId="20" xfId="0" applyBorder="1" applyAlignment="1">
      <alignment/>
    </xf>
    <xf numFmtId="166" fontId="0" fillId="33" borderId="20" xfId="0" applyNumberFormat="1" applyFill="1" applyBorder="1" applyAlignment="1">
      <alignment horizontal="right"/>
    </xf>
    <xf numFmtId="0" fontId="0" fillId="0" borderId="0" xfId="0" applyFill="1" applyBorder="1" applyAlignment="1">
      <alignment horizontal="right"/>
    </xf>
    <xf numFmtId="166" fontId="0" fillId="0" borderId="0" xfId="0" applyNumberFormat="1" applyFill="1" applyBorder="1" applyAlignment="1">
      <alignment horizontal="right"/>
    </xf>
    <xf numFmtId="0" fontId="0" fillId="0" borderId="0" xfId="0" applyFill="1" applyBorder="1" applyAlignment="1">
      <alignment horizontal="left"/>
    </xf>
    <xf numFmtId="0" fontId="0" fillId="0" borderId="20" xfId="0" applyBorder="1" applyAlignment="1">
      <alignment horizontal="center"/>
    </xf>
    <xf numFmtId="0" fontId="3" fillId="0" borderId="11" xfId="0" applyFont="1" applyBorder="1" applyAlignment="1">
      <alignment horizontal="left" vertical="top" wrapText="1"/>
    </xf>
    <xf numFmtId="0" fontId="3" fillId="0" borderId="12" xfId="0" applyFont="1" applyBorder="1" applyAlignment="1">
      <alignment vertical="top"/>
    </xf>
    <xf numFmtId="0" fontId="0" fillId="0" borderId="12" xfId="0" applyBorder="1" applyAlignment="1">
      <alignment horizontal="center" vertical="top"/>
    </xf>
    <xf numFmtId="0" fontId="0" fillId="0" borderId="23" xfId="0" applyBorder="1" applyAlignment="1">
      <alignment horizontal="center" vertical="top"/>
    </xf>
    <xf numFmtId="164" fontId="0" fillId="0" borderId="10" xfId="0" applyNumberFormat="1" applyFill="1" applyBorder="1" applyAlignment="1">
      <alignment horizontal="center" vertical="top"/>
    </xf>
    <xf numFmtId="168" fontId="0" fillId="0" borderId="10" xfId="0" applyNumberFormat="1" applyFont="1" applyBorder="1" applyAlignment="1">
      <alignment horizontal="center" vertical="top" wrapText="1"/>
    </xf>
    <xf numFmtId="38" fontId="0" fillId="0" borderId="10" xfId="0" applyNumberFormat="1" applyBorder="1" applyAlignment="1">
      <alignment horizontal="center" vertical="top"/>
    </xf>
    <xf numFmtId="14" fontId="0" fillId="0" borderId="10" xfId="0" applyNumberFormat="1" applyFill="1" applyBorder="1" applyAlignment="1">
      <alignment horizontal="center" vertical="top"/>
    </xf>
    <xf numFmtId="1" fontId="0" fillId="0" borderId="10" xfId="0" applyNumberFormat="1" applyBorder="1" applyAlignment="1">
      <alignment horizontal="center" vertical="top"/>
    </xf>
    <xf numFmtId="164" fontId="0" fillId="0" borderId="10" xfId="0" applyNumberFormat="1" applyBorder="1" applyAlignment="1">
      <alignment horizontal="center" vertical="top"/>
    </xf>
    <xf numFmtId="164" fontId="0" fillId="0" borderId="10" xfId="0" applyNumberFormat="1" applyBorder="1" applyAlignment="1">
      <alignment horizontal="center" vertical="top" wrapText="1"/>
    </xf>
    <xf numFmtId="169" fontId="0" fillId="0" borderId="10" xfId="0" applyNumberFormat="1" applyBorder="1" applyAlignment="1">
      <alignment horizontal="center" vertical="top"/>
    </xf>
    <xf numFmtId="169" fontId="0" fillId="0" borderId="10" xfId="0" applyNumberFormat="1" applyBorder="1" applyAlignment="1">
      <alignment horizontal="center" vertical="top" wrapText="1"/>
    </xf>
    <xf numFmtId="168" fontId="0" fillId="0" borderId="10" xfId="0" applyNumberFormat="1" applyBorder="1" applyAlignment="1">
      <alignment horizontal="center" vertical="top"/>
    </xf>
    <xf numFmtId="168" fontId="0" fillId="0" borderId="14" xfId="0" applyNumberFormat="1" applyBorder="1" applyAlignment="1">
      <alignment horizontal="center" vertical="top"/>
    </xf>
    <xf numFmtId="0" fontId="3" fillId="0" borderId="19" xfId="0" applyFont="1" applyBorder="1" applyAlignment="1">
      <alignment horizontal="left" vertical="top" wrapText="1"/>
    </xf>
    <xf numFmtId="168" fontId="3" fillId="0" borderId="24" xfId="0" applyNumberFormat="1" applyFont="1" applyBorder="1" applyAlignment="1">
      <alignment horizontal="center" vertical="top"/>
    </xf>
    <xf numFmtId="168" fontId="0" fillId="0" borderId="17" xfId="0" applyNumberFormat="1" applyFont="1" applyBorder="1" applyAlignment="1">
      <alignment horizontal="center" vertical="top" wrapText="1"/>
    </xf>
    <xf numFmtId="0" fontId="3" fillId="0" borderId="0" xfId="0" applyFont="1" applyBorder="1" applyAlignment="1">
      <alignment horizontal="left" vertical="top" wrapText="1"/>
    </xf>
    <xf numFmtId="168" fontId="3" fillId="0" borderId="0" xfId="0" applyNumberFormat="1" applyFont="1" applyBorder="1" applyAlignment="1">
      <alignment horizontal="center" vertical="top"/>
    </xf>
    <xf numFmtId="168" fontId="0" fillId="0" borderId="0" xfId="0" applyNumberFormat="1" applyFont="1" applyBorder="1" applyAlignment="1">
      <alignment horizontal="center" vertical="top" wrapText="1"/>
    </xf>
    <xf numFmtId="169" fontId="0" fillId="0" borderId="10" xfId="0" applyNumberFormat="1" applyFill="1" applyBorder="1" applyAlignment="1">
      <alignment horizontal="center" vertical="top" wrapText="1"/>
    </xf>
    <xf numFmtId="14" fontId="0" fillId="0" borderId="10" xfId="0" applyNumberFormat="1" applyBorder="1" applyAlignment="1">
      <alignment horizontal="center" vertical="top"/>
    </xf>
    <xf numFmtId="171" fontId="0" fillId="0" borderId="10" xfId="0" applyNumberFormat="1" applyFont="1" applyBorder="1" applyAlignment="1">
      <alignment horizontal="center" vertical="top"/>
    </xf>
    <xf numFmtId="172" fontId="0" fillId="0" borderId="10" xfId="0" applyNumberFormat="1" applyFill="1" applyBorder="1" applyAlignment="1">
      <alignment horizontal="center" vertical="top"/>
    </xf>
    <xf numFmtId="166" fontId="0" fillId="0" borderId="10" xfId="0" applyNumberFormat="1" applyFill="1" applyBorder="1" applyAlignment="1">
      <alignment horizontal="center" vertical="top" wrapText="1"/>
    </xf>
    <xf numFmtId="0" fontId="0" fillId="0" borderId="10" xfId="0" applyFill="1" applyBorder="1" applyAlignment="1">
      <alignment horizontal="center" vertical="top" wrapText="1"/>
    </xf>
    <xf numFmtId="14" fontId="0" fillId="0" borderId="14" xfId="0" applyNumberFormat="1" applyBorder="1" applyAlignment="1">
      <alignment horizontal="center" vertical="top"/>
    </xf>
    <xf numFmtId="14" fontId="0" fillId="0" borderId="14" xfId="0" applyNumberFormat="1" applyFill="1" applyBorder="1" applyAlignment="1">
      <alignment horizontal="center" vertical="top"/>
    </xf>
    <xf numFmtId="3" fontId="0" fillId="0" borderId="14" xfId="0" applyNumberFormat="1" applyFont="1" applyFill="1" applyBorder="1" applyAlignment="1">
      <alignment horizontal="center" vertical="top"/>
    </xf>
    <xf numFmtId="0" fontId="0" fillId="0" borderId="10" xfId="0" applyFont="1" applyFill="1" applyBorder="1" applyAlignment="1">
      <alignment horizontal="center" vertical="top" wrapText="1"/>
    </xf>
    <xf numFmtId="10" fontId="0" fillId="0" borderId="14" xfId="60" applyNumberFormat="1" applyFont="1" applyFill="1" applyBorder="1" applyAlignment="1" applyProtection="1">
      <alignment horizontal="center" vertical="top"/>
      <protection/>
    </xf>
    <xf numFmtId="169" fontId="3" fillId="0" borderId="10" xfId="0" applyNumberFormat="1" applyFont="1" applyBorder="1" applyAlignment="1">
      <alignment horizontal="center" vertical="top"/>
    </xf>
    <xf numFmtId="169" fontId="0" fillId="0" borderId="10" xfId="0" applyNumberFormat="1" applyFont="1" applyBorder="1" applyAlignment="1">
      <alignment horizontal="center" vertical="top" wrapText="1"/>
    </xf>
    <xf numFmtId="169" fontId="3" fillId="0" borderId="19" xfId="0" applyNumberFormat="1" applyFont="1" applyBorder="1" applyAlignment="1">
      <alignment horizontal="center" vertical="top"/>
    </xf>
    <xf numFmtId="169" fontId="0" fillId="0" borderId="19" xfId="0" applyNumberFormat="1" applyFont="1" applyBorder="1" applyAlignment="1">
      <alignment horizontal="center" vertical="top" wrapText="1"/>
    </xf>
    <xf numFmtId="169" fontId="3" fillId="0" borderId="0" xfId="0" applyNumberFormat="1" applyFont="1" applyBorder="1" applyAlignment="1">
      <alignment horizontal="center" vertical="top"/>
    </xf>
    <xf numFmtId="169" fontId="0" fillId="0" borderId="0" xfId="0" applyNumberFormat="1" applyFont="1" applyBorder="1" applyAlignment="1">
      <alignment horizontal="center" vertical="top" wrapText="1"/>
    </xf>
    <xf numFmtId="0" fontId="3" fillId="0" borderId="13" xfId="0" applyFont="1" applyBorder="1" applyAlignment="1">
      <alignment horizontal="left" vertical="top" wrapText="1"/>
    </xf>
    <xf numFmtId="164" fontId="0" fillId="0" borderId="10" xfId="0" applyNumberFormat="1" applyFont="1" applyFill="1" applyBorder="1" applyAlignment="1">
      <alignment horizontal="center" vertical="top"/>
    </xf>
    <xf numFmtId="169" fontId="0" fillId="0" borderId="10" xfId="0" applyNumberFormat="1" applyFont="1" applyFill="1" applyBorder="1" applyAlignment="1">
      <alignment horizontal="center" vertical="top"/>
    </xf>
    <xf numFmtId="173" fontId="0" fillId="0" borderId="10" xfId="0" applyNumberFormat="1" applyFont="1" applyBorder="1" applyAlignment="1">
      <alignment horizontal="left" vertical="top" wrapText="1"/>
    </xf>
    <xf numFmtId="164" fontId="0" fillId="0" borderId="14" xfId="0" applyNumberFormat="1" applyFont="1" applyFill="1" applyBorder="1" applyAlignment="1">
      <alignment horizontal="center" vertical="top"/>
    </xf>
    <xf numFmtId="169" fontId="0" fillId="0" borderId="10" xfId="0" applyNumberFormat="1" applyFont="1" applyFill="1" applyBorder="1" applyAlignment="1">
      <alignment horizontal="center" vertical="top" wrapText="1"/>
    </xf>
    <xf numFmtId="164" fontId="3" fillId="0" borderId="10" xfId="0" applyNumberFormat="1" applyFont="1" applyBorder="1" applyAlignment="1">
      <alignment horizontal="center" vertical="top"/>
    </xf>
    <xf numFmtId="169" fontId="0" fillId="0" borderId="17" xfId="0" applyNumberFormat="1" applyBorder="1" applyAlignment="1">
      <alignment horizontal="center" vertical="top" wrapText="1"/>
    </xf>
    <xf numFmtId="0" fontId="0" fillId="0" borderId="21" xfId="0" applyBorder="1" applyAlignment="1">
      <alignment horizontal="center" vertical="top" wrapText="1"/>
    </xf>
    <xf numFmtId="169" fontId="0" fillId="0" borderId="21" xfId="0" applyNumberFormat="1" applyBorder="1" applyAlignment="1">
      <alignment horizontal="center" vertical="top" wrapText="1"/>
    </xf>
    <xf numFmtId="0" fontId="0" fillId="0" borderId="17" xfId="0" applyBorder="1" applyAlignment="1">
      <alignment horizontal="left" vertical="top" wrapText="1"/>
    </xf>
    <xf numFmtId="169" fontId="0" fillId="0" borderId="0" xfId="0" applyNumberFormat="1" applyBorder="1" applyAlignment="1">
      <alignment horizontal="center" vertical="top" wrapText="1"/>
    </xf>
    <xf numFmtId="14" fontId="0" fillId="0" borderId="10" xfId="0" applyNumberFormat="1" applyFont="1" applyFill="1" applyBorder="1" applyAlignment="1">
      <alignment horizontal="center" vertical="top"/>
    </xf>
    <xf numFmtId="171" fontId="0" fillId="0" borderId="10" xfId="0" applyNumberFormat="1" applyFont="1" applyFill="1" applyBorder="1" applyAlignment="1">
      <alignment horizontal="center" vertical="top"/>
    </xf>
    <xf numFmtId="0" fontId="0" fillId="0" borderId="13" xfId="0" applyFont="1" applyFill="1" applyBorder="1" applyAlignment="1">
      <alignment horizontal="left" vertical="top" wrapText="1"/>
    </xf>
    <xf numFmtId="169" fontId="0" fillId="0" borderId="14" xfId="60" applyNumberFormat="1" applyFont="1" applyFill="1" applyBorder="1" applyAlignment="1" applyProtection="1">
      <alignment horizontal="center" vertical="top"/>
      <protection/>
    </xf>
    <xf numFmtId="166" fontId="0" fillId="0" borderId="14" xfId="0" applyNumberFormat="1" applyFont="1" applyFill="1" applyBorder="1" applyAlignment="1">
      <alignment horizontal="center" vertical="top"/>
    </xf>
    <xf numFmtId="10" fontId="0" fillId="0" borderId="10" xfId="60" applyNumberFormat="1" applyFont="1" applyFill="1" applyBorder="1" applyAlignment="1" applyProtection="1">
      <alignment horizontal="center" vertical="top"/>
      <protection/>
    </xf>
    <xf numFmtId="166" fontId="0" fillId="0" borderId="14" xfId="60" applyNumberFormat="1" applyFont="1" applyFill="1" applyBorder="1" applyAlignment="1" applyProtection="1">
      <alignment horizontal="center" vertical="top"/>
      <protection/>
    </xf>
    <xf numFmtId="0" fontId="3" fillId="0" borderId="0" xfId="0" applyFont="1" applyFill="1" applyBorder="1" applyAlignment="1">
      <alignment horizontal="left" vertical="top" wrapText="1"/>
    </xf>
    <xf numFmtId="169" fontId="3" fillId="0" borderId="24" xfId="0" applyNumberFormat="1" applyFont="1" applyFill="1" applyBorder="1" applyAlignment="1">
      <alignment horizontal="center" vertical="top"/>
    </xf>
    <xf numFmtId="0" fontId="0" fillId="0" borderId="17" xfId="0" applyFont="1" applyBorder="1" applyAlignment="1">
      <alignment horizontal="center" vertical="top" wrapText="1"/>
    </xf>
    <xf numFmtId="0" fontId="0" fillId="0" borderId="18" xfId="0" applyFont="1" applyBorder="1" applyAlignment="1">
      <alignment horizontal="left" vertical="top"/>
    </xf>
    <xf numFmtId="0" fontId="3" fillId="0" borderId="19" xfId="0" applyFont="1" applyBorder="1" applyAlignment="1">
      <alignment horizontal="center" vertical="top"/>
    </xf>
    <xf numFmtId="0" fontId="0" fillId="0" borderId="19" xfId="0" applyFont="1" applyBorder="1" applyAlignment="1">
      <alignment horizontal="center" vertical="top" wrapText="1"/>
    </xf>
    <xf numFmtId="0" fontId="3" fillId="0" borderId="19" xfId="0" applyFont="1" applyBorder="1" applyAlignment="1">
      <alignment horizontal="left" vertical="top"/>
    </xf>
    <xf numFmtId="166" fontId="3" fillId="0" borderId="19" xfId="0" applyNumberFormat="1" applyFont="1" applyBorder="1" applyAlignment="1">
      <alignment horizontal="left" vertical="top"/>
    </xf>
    <xf numFmtId="0" fontId="3" fillId="0" borderId="20"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3" fillId="0" borderId="0" xfId="0" applyFont="1" applyBorder="1" applyAlignment="1">
      <alignment horizontal="left" vertical="top"/>
    </xf>
    <xf numFmtId="166" fontId="3" fillId="0" borderId="0" xfId="0" applyNumberFormat="1" applyFont="1" applyBorder="1" applyAlignment="1">
      <alignment horizontal="left" vertical="top"/>
    </xf>
    <xf numFmtId="0" fontId="3" fillId="0" borderId="0" xfId="0" applyFont="1" applyBorder="1" applyAlignment="1">
      <alignment vertical="top"/>
    </xf>
    <xf numFmtId="38" fontId="0" fillId="0" borderId="12" xfId="0" applyNumberFormat="1" applyBorder="1" applyAlignment="1">
      <alignment horizontal="center" vertical="top"/>
    </xf>
    <xf numFmtId="15" fontId="0" fillId="0" borderId="12" xfId="0" applyNumberFormat="1" applyBorder="1" applyAlignment="1">
      <alignment horizontal="center" vertical="top"/>
    </xf>
    <xf numFmtId="2" fontId="0" fillId="0" borderId="12" xfId="0" applyNumberFormat="1" applyBorder="1" applyAlignment="1">
      <alignment horizontal="center" vertical="top"/>
    </xf>
    <xf numFmtId="10" fontId="0" fillId="0" borderId="10" xfId="0" applyNumberFormat="1" applyFont="1" applyBorder="1" applyAlignment="1">
      <alignment horizontal="center" vertical="top"/>
    </xf>
    <xf numFmtId="2" fontId="0" fillId="0" borderId="10" xfId="0" applyNumberFormat="1" applyBorder="1" applyAlignment="1">
      <alignment horizontal="center" vertical="top" wrapText="1"/>
    </xf>
    <xf numFmtId="0" fontId="0" fillId="0" borderId="10" xfId="0" applyBorder="1" applyAlignment="1">
      <alignment horizontal="center" vertical="top"/>
    </xf>
    <xf numFmtId="17" fontId="0" fillId="0" borderId="10" xfId="0" applyNumberFormat="1" applyBorder="1" applyAlignment="1">
      <alignment horizontal="center" vertical="top"/>
    </xf>
    <xf numFmtId="167" fontId="0" fillId="0" borderId="10" xfId="0" applyNumberFormat="1" applyBorder="1" applyAlignment="1">
      <alignment horizontal="center" vertical="top"/>
    </xf>
    <xf numFmtId="174" fontId="0" fillId="0" borderId="10" xfId="0" applyNumberFormat="1" applyBorder="1" applyAlignment="1">
      <alignment horizontal="center" vertical="top"/>
    </xf>
    <xf numFmtId="169" fontId="0" fillId="0" borderId="10" xfId="0" applyNumberFormat="1" applyFill="1" applyBorder="1" applyAlignment="1">
      <alignment horizontal="center" vertical="top"/>
    </xf>
    <xf numFmtId="170" fontId="0" fillId="0" borderId="25" xfId="60" applyNumberFormat="1" applyFont="1" applyFill="1" applyBorder="1" applyAlignment="1" applyProtection="1">
      <alignment horizontal="center" vertical="top"/>
      <protection/>
    </xf>
    <xf numFmtId="174" fontId="0" fillId="0" borderId="10" xfId="60" applyNumberFormat="1" applyFont="1" applyFill="1" applyBorder="1" applyAlignment="1" applyProtection="1">
      <alignment horizontal="center" vertical="top" wrapText="1"/>
      <protection/>
    </xf>
    <xf numFmtId="3" fontId="0" fillId="0" borderId="10" xfId="60" applyNumberFormat="1" applyFont="1" applyFill="1" applyBorder="1" applyAlignment="1" applyProtection="1">
      <alignment horizontal="center" vertical="top"/>
      <protection/>
    </xf>
    <xf numFmtId="174" fontId="0" fillId="0" borderId="10" xfId="60" applyNumberFormat="1" applyFont="1" applyFill="1" applyBorder="1" applyAlignment="1" applyProtection="1">
      <alignment horizontal="center" vertical="top"/>
      <protection/>
    </xf>
    <xf numFmtId="169" fontId="3" fillId="0" borderId="24" xfId="60" applyNumberFormat="1" applyFont="1" applyFill="1" applyBorder="1" applyAlignment="1" applyProtection="1">
      <alignment horizontal="center" vertical="top"/>
      <protection/>
    </xf>
    <xf numFmtId="174" fontId="0" fillId="0" borderId="17" xfId="60" applyNumberFormat="1" applyFont="1" applyFill="1" applyBorder="1" applyAlignment="1" applyProtection="1">
      <alignment horizontal="center" vertical="top" wrapText="1"/>
      <protection/>
    </xf>
    <xf numFmtId="172" fontId="0" fillId="0" borderId="16" xfId="60" applyNumberFormat="1" applyFont="1" applyFill="1" applyBorder="1" applyAlignment="1" applyProtection="1">
      <alignment horizontal="center" vertical="top"/>
      <protection/>
    </xf>
    <xf numFmtId="0" fontId="3" fillId="0" borderId="21" xfId="0" applyFont="1" applyBorder="1" applyAlignment="1">
      <alignment horizontal="left" vertical="top" wrapText="1"/>
    </xf>
    <xf numFmtId="0" fontId="0" fillId="0" borderId="15" xfId="0" applyFont="1" applyBorder="1" applyAlignment="1">
      <alignment horizontal="center" vertical="top" wrapText="1"/>
    </xf>
    <xf numFmtId="169" fontId="0" fillId="0" borderId="17" xfId="0" applyNumberFormat="1" applyFont="1" applyBorder="1" applyAlignment="1">
      <alignment horizontal="center" vertical="top" wrapText="1"/>
    </xf>
    <xf numFmtId="169" fontId="3" fillId="0" borderId="0" xfId="0" applyNumberFormat="1" applyFont="1" applyFill="1" applyBorder="1" applyAlignment="1">
      <alignment horizontal="center" vertical="top"/>
    </xf>
    <xf numFmtId="1" fontId="0" fillId="0" borderId="10" xfId="0" applyNumberFormat="1" applyFont="1" applyBorder="1" applyAlignment="1">
      <alignment horizontal="center" vertical="top"/>
    </xf>
    <xf numFmtId="171" fontId="0" fillId="0" borderId="14" xfId="0" applyNumberFormat="1" applyFill="1" applyBorder="1" applyAlignment="1">
      <alignment horizontal="center" vertical="top"/>
    </xf>
    <xf numFmtId="164" fontId="0" fillId="0" borderId="25" xfId="0" applyNumberFormat="1" applyFont="1" applyBorder="1" applyAlignment="1">
      <alignment horizontal="center" vertical="top"/>
    </xf>
    <xf numFmtId="170" fontId="0" fillId="0" borderId="10" xfId="0" applyNumberFormat="1" applyFill="1" applyBorder="1" applyAlignment="1">
      <alignment horizontal="center" vertical="top"/>
    </xf>
    <xf numFmtId="176" fontId="0" fillId="0" borderId="14" xfId="0" applyNumberFormat="1" applyFill="1" applyBorder="1" applyAlignment="1">
      <alignment horizontal="center" vertical="top"/>
    </xf>
    <xf numFmtId="170" fontId="0" fillId="0" borderId="24" xfId="60" applyNumberFormat="1" applyFont="1" applyFill="1" applyBorder="1" applyAlignment="1" applyProtection="1">
      <alignment horizontal="center" vertical="top"/>
      <protection/>
    </xf>
    <xf numFmtId="164" fontId="0" fillId="0" borderId="25" xfId="0" applyNumberFormat="1" applyFont="1" applyFill="1" applyBorder="1" applyAlignment="1">
      <alignment horizontal="center" vertical="top"/>
    </xf>
    <xf numFmtId="0" fontId="0" fillId="0" borderId="15" xfId="0" applyFont="1" applyFill="1" applyBorder="1" applyAlignment="1">
      <alignment horizontal="center" vertical="top" wrapText="1"/>
    </xf>
    <xf numFmtId="174" fontId="0" fillId="0" borderId="23" xfId="60" applyNumberFormat="1" applyFont="1" applyFill="1" applyBorder="1" applyAlignment="1" applyProtection="1">
      <alignment horizontal="center" vertical="top" wrapText="1"/>
      <protection/>
    </xf>
    <xf numFmtId="1" fontId="0" fillId="0" borderId="10" xfId="0" applyNumberFormat="1" applyFont="1" applyFill="1" applyBorder="1" applyAlignment="1">
      <alignment horizontal="center" vertical="top"/>
    </xf>
    <xf numFmtId="169" fontId="0" fillId="0" borderId="17" xfId="0" applyNumberFormat="1" applyFont="1" applyFill="1" applyBorder="1" applyAlignment="1">
      <alignment horizontal="center" vertical="top" wrapText="1"/>
    </xf>
    <xf numFmtId="38" fontId="0" fillId="0" borderId="0" xfId="0" applyNumberFormat="1" applyBorder="1" applyAlignment="1">
      <alignment horizontal="center"/>
    </xf>
    <xf numFmtId="15" fontId="0" fillId="0" borderId="0" xfId="0" applyNumberFormat="1" applyBorder="1" applyAlignment="1">
      <alignment horizontal="center"/>
    </xf>
    <xf numFmtId="2" fontId="0" fillId="0" borderId="0" xfId="0" applyNumberFormat="1" applyBorder="1" applyAlignment="1">
      <alignment horizontal="center"/>
    </xf>
    <xf numFmtId="166" fontId="0" fillId="0" borderId="10" xfId="0" applyNumberFormat="1" applyFont="1" applyBorder="1" applyAlignment="1">
      <alignment horizontal="center" vertical="top"/>
    </xf>
    <xf numFmtId="0" fontId="0" fillId="0" borderId="12" xfId="0" applyFont="1" applyBorder="1" applyAlignment="1">
      <alignment horizontal="center" vertical="top"/>
    </xf>
    <xf numFmtId="172" fontId="0" fillId="0" borderId="10" xfId="0" applyNumberFormat="1" applyFont="1" applyBorder="1" applyAlignment="1">
      <alignment horizontal="center" vertical="top"/>
    </xf>
    <xf numFmtId="166" fontId="0" fillId="0" borderId="14" xfId="0" applyNumberFormat="1" applyFont="1" applyBorder="1" applyAlignment="1">
      <alignment horizontal="center" vertical="top"/>
    </xf>
    <xf numFmtId="174" fontId="0" fillId="0" borderId="10" xfId="0" applyNumberFormat="1" applyFill="1" applyBorder="1" applyAlignment="1">
      <alignment horizontal="center" vertical="top"/>
    </xf>
    <xf numFmtId="174" fontId="0" fillId="0" borderId="14" xfId="0" applyNumberFormat="1" applyBorder="1" applyAlignment="1">
      <alignment horizontal="center" vertical="top"/>
    </xf>
    <xf numFmtId="0" fontId="3" fillId="0" borderId="15" xfId="0" applyFont="1" applyFill="1" applyBorder="1" applyAlignment="1">
      <alignment horizontal="left" vertical="top" wrapText="1"/>
    </xf>
    <xf numFmtId="0" fontId="0" fillId="0" borderId="19" xfId="0" applyBorder="1" applyAlignment="1">
      <alignment/>
    </xf>
    <xf numFmtId="0" fontId="0" fillId="0" borderId="21" xfId="0" applyFill="1" applyBorder="1" applyAlignment="1">
      <alignment horizontal="left" vertical="top" wrapText="1"/>
    </xf>
    <xf numFmtId="170" fontId="0" fillId="0" borderId="10" xfId="0" applyNumberFormat="1" applyBorder="1" applyAlignment="1">
      <alignment horizontal="center" vertical="top"/>
    </xf>
    <xf numFmtId="2" fontId="0" fillId="0" borderId="10" xfId="0" applyNumberFormat="1" applyBorder="1" applyAlignment="1">
      <alignment horizontal="center" vertical="top"/>
    </xf>
    <xf numFmtId="0" fontId="0" fillId="0" borderId="16" xfId="0" applyBorder="1" applyAlignment="1">
      <alignment horizontal="center"/>
    </xf>
    <xf numFmtId="0" fontId="3" fillId="0" borderId="10" xfId="0" applyFont="1" applyFill="1" applyBorder="1" applyAlignment="1">
      <alignment horizontal="left" vertical="top" wrapText="1"/>
    </xf>
    <xf numFmtId="169" fontId="3" fillId="0" borderId="14" xfId="0" applyNumberFormat="1" applyFont="1" applyBorder="1" applyAlignment="1">
      <alignment horizontal="center" vertical="top"/>
    </xf>
    <xf numFmtId="169" fontId="0" fillId="0" borderId="23" xfId="0" applyNumberFormat="1" applyBorder="1" applyAlignment="1">
      <alignment horizontal="center" vertical="top" wrapText="1"/>
    </xf>
    <xf numFmtId="0" fontId="0" fillId="0" borderId="12" xfId="0" applyFont="1" applyBorder="1" applyAlignment="1">
      <alignment horizontal="center" vertical="top" wrapText="1"/>
    </xf>
    <xf numFmtId="17" fontId="3" fillId="0" borderId="12" xfId="0" applyNumberFormat="1" applyFont="1" applyBorder="1" applyAlignment="1">
      <alignment horizontal="center" vertical="top"/>
    </xf>
    <xf numFmtId="169" fontId="0" fillId="0" borderId="12" xfId="0" applyNumberFormat="1" applyBorder="1" applyAlignment="1">
      <alignment horizontal="center" vertical="top" wrapText="1"/>
    </xf>
    <xf numFmtId="0" fontId="0" fillId="0" borderId="12" xfId="0" applyBorder="1" applyAlignment="1">
      <alignment horizontal="left" vertical="top" wrapText="1"/>
    </xf>
    <xf numFmtId="0" fontId="3" fillId="0" borderId="14" xfId="0" applyFont="1" applyBorder="1" applyAlignment="1">
      <alignment horizontal="center"/>
    </xf>
    <xf numFmtId="0" fontId="3" fillId="0" borderId="15" xfId="0" applyFont="1" applyFill="1" applyBorder="1" applyAlignment="1">
      <alignment horizontal="right" vertical="top" wrapText="1"/>
    </xf>
    <xf numFmtId="0" fontId="3" fillId="0" borderId="21" xfId="0" applyFont="1" applyBorder="1" applyAlignment="1">
      <alignment horizontal="right" vertical="top" wrapText="1"/>
    </xf>
    <xf numFmtId="0" fontId="3" fillId="0" borderId="17" xfId="0" applyFont="1" applyBorder="1" applyAlignment="1">
      <alignment horizontal="right" vertical="top" wrapText="1"/>
    </xf>
    <xf numFmtId="177" fontId="0" fillId="0" borderId="16" xfId="0" applyNumberFormat="1" applyBorder="1" applyAlignment="1">
      <alignment horizontal="center"/>
    </xf>
    <xf numFmtId="170" fontId="0" fillId="0" borderId="0" xfId="0" applyNumberFormat="1" applyFont="1" applyFill="1" applyBorder="1" applyAlignment="1">
      <alignment horizontal="right" vertical="top" wrapText="1"/>
    </xf>
    <xf numFmtId="170" fontId="0" fillId="33" borderId="0" xfId="0" applyNumberFormat="1" applyFont="1" applyFill="1" applyBorder="1" applyAlignment="1">
      <alignment horizontal="right" vertical="top" wrapText="1"/>
    </xf>
    <xf numFmtId="170" fontId="0" fillId="33" borderId="0" xfId="0" applyNumberFormat="1" applyFont="1" applyFill="1" applyBorder="1" applyAlignment="1">
      <alignment horizontal="right" vertical="top"/>
    </xf>
    <xf numFmtId="170" fontId="9" fillId="34" borderId="0" xfId="0" applyNumberFormat="1" applyFont="1" applyFill="1" applyBorder="1" applyAlignment="1">
      <alignment horizontal="right" vertical="top" wrapText="1"/>
    </xf>
    <xf numFmtId="170" fontId="9" fillId="34" borderId="22" xfId="0" applyNumberFormat="1" applyFont="1" applyFill="1" applyBorder="1" applyAlignment="1">
      <alignment horizontal="right" vertical="top" wrapText="1"/>
    </xf>
    <xf numFmtId="177" fontId="0" fillId="0" borderId="25" xfId="0" applyNumberFormat="1" applyBorder="1" applyAlignment="1">
      <alignment horizontal="center"/>
    </xf>
    <xf numFmtId="170" fontId="0" fillId="33" borderId="19" xfId="0" applyNumberFormat="1" applyFont="1" applyFill="1" applyBorder="1" applyAlignment="1">
      <alignment horizontal="right" vertical="top" wrapText="1"/>
    </xf>
    <xf numFmtId="170" fontId="0" fillId="33" borderId="19" xfId="0" applyNumberFormat="1" applyFont="1" applyFill="1" applyBorder="1" applyAlignment="1">
      <alignment horizontal="right" vertical="top"/>
    </xf>
    <xf numFmtId="170" fontId="9" fillId="34" borderId="19" xfId="0" applyNumberFormat="1" applyFont="1" applyFill="1" applyBorder="1" applyAlignment="1">
      <alignment horizontal="right" vertical="top" wrapText="1"/>
    </xf>
    <xf numFmtId="170" fontId="9" fillId="34" borderId="20" xfId="0" applyNumberFormat="1" applyFont="1" applyFill="1" applyBorder="1" applyAlignment="1">
      <alignment horizontal="right" vertical="top" wrapText="1"/>
    </xf>
    <xf numFmtId="2" fontId="0" fillId="0" borderId="0" xfId="0" applyNumberFormat="1" applyAlignment="1">
      <alignment horizontal="center"/>
    </xf>
    <xf numFmtId="168" fontId="3" fillId="0" borderId="10" xfId="0" applyNumberFormat="1" applyFont="1" applyFill="1" applyBorder="1" applyAlignment="1">
      <alignment horizontal="center" vertical="top"/>
    </xf>
    <xf numFmtId="168" fontId="0" fillId="0" borderId="10" xfId="0" applyNumberFormat="1" applyFont="1" applyFill="1" applyBorder="1" applyAlignment="1">
      <alignment horizontal="center" vertical="top" wrapText="1"/>
    </xf>
    <xf numFmtId="0" fontId="0" fillId="0" borderId="19" xfId="0" applyBorder="1" applyAlignment="1">
      <alignment/>
    </xf>
    <xf numFmtId="38" fontId="0" fillId="0" borderId="19" xfId="0" applyNumberFormat="1" applyBorder="1" applyAlignment="1">
      <alignment horizontal="center"/>
    </xf>
    <xf numFmtId="15" fontId="0" fillId="0" borderId="19" xfId="0" applyNumberFormat="1" applyBorder="1" applyAlignment="1">
      <alignment horizontal="center"/>
    </xf>
    <xf numFmtId="2" fontId="0" fillId="0" borderId="19" xfId="0" applyNumberFormat="1" applyBorder="1" applyAlignment="1">
      <alignment horizontal="center"/>
    </xf>
    <xf numFmtId="0" fontId="0" fillId="0" borderId="0" xfId="0" applyBorder="1" applyAlignment="1">
      <alignment/>
    </xf>
    <xf numFmtId="168" fontId="0" fillId="0" borderId="17" xfId="0" applyNumberFormat="1" applyFont="1" applyFill="1" applyBorder="1" applyAlignment="1">
      <alignment horizontal="center" vertical="top" wrapText="1"/>
    </xf>
    <xf numFmtId="169" fontId="3" fillId="0" borderId="10" xfId="0" applyNumberFormat="1" applyFont="1" applyFill="1" applyBorder="1" applyAlignment="1">
      <alignment horizontal="center" vertical="top"/>
    </xf>
    <xf numFmtId="169" fontId="0" fillId="0" borderId="10" xfId="0" applyNumberFormat="1" applyFont="1" applyFill="1" applyBorder="1" applyAlignment="1">
      <alignment horizontal="left" vertical="top" wrapText="1"/>
    </xf>
    <xf numFmtId="38" fontId="0" fillId="0" borderId="0" xfId="0" applyNumberFormat="1" applyAlignment="1">
      <alignment horizontal="center"/>
    </xf>
    <xf numFmtId="15" fontId="0" fillId="0" borderId="0" xfId="0" applyNumberFormat="1" applyAlignment="1">
      <alignment horizontal="center"/>
    </xf>
    <xf numFmtId="14" fontId="0" fillId="0" borderId="10" xfId="0" applyNumberFormat="1" applyBorder="1" applyAlignment="1">
      <alignment horizontal="center" vertical="top" wrapText="1"/>
    </xf>
    <xf numFmtId="9" fontId="0" fillId="0" borderId="10" xfId="0" applyNumberFormat="1" applyBorder="1" applyAlignment="1">
      <alignment horizontal="center" vertical="top"/>
    </xf>
    <xf numFmtId="0" fontId="3" fillId="0" borderId="0" xfId="0" applyFont="1" applyAlignment="1">
      <alignment horizontal="center"/>
    </xf>
    <xf numFmtId="0" fontId="3" fillId="0" borderId="13" xfId="0" applyFont="1" applyBorder="1" applyAlignment="1">
      <alignment horizontal="center"/>
    </xf>
    <xf numFmtId="169" fontId="0" fillId="0" borderId="0" xfId="0" applyNumberFormat="1" applyFont="1" applyFill="1" applyBorder="1" applyAlignment="1">
      <alignment horizontal="center" vertical="top"/>
    </xf>
    <xf numFmtId="169" fontId="0" fillId="0" borderId="0" xfId="0" applyNumberFormat="1" applyFont="1" applyFill="1" applyBorder="1" applyAlignment="1">
      <alignment horizontal="center" vertical="top" wrapText="1"/>
    </xf>
    <xf numFmtId="0" fontId="3" fillId="0" borderId="22" xfId="0" applyFont="1" applyBorder="1" applyAlignment="1">
      <alignment horizontal="left" vertical="top" wrapText="1"/>
    </xf>
    <xf numFmtId="0" fontId="3" fillId="35" borderId="24" xfId="0" applyFont="1" applyFill="1" applyBorder="1" applyAlignment="1">
      <alignment horizontal="left" vertical="top" wrapText="1"/>
    </xf>
    <xf numFmtId="0" fontId="0" fillId="0" borderId="21" xfId="0" applyFont="1" applyBorder="1" applyAlignment="1">
      <alignment horizontal="center" vertical="top" wrapText="1"/>
    </xf>
    <xf numFmtId="169" fontId="6" fillId="35" borderId="24" xfId="0" applyNumberFormat="1" applyFont="1" applyFill="1" applyBorder="1" applyAlignment="1">
      <alignment horizontal="center" vertical="top"/>
    </xf>
    <xf numFmtId="168" fontId="0" fillId="0" borderId="17" xfId="0" applyNumberFormat="1" applyFont="1" applyFill="1" applyBorder="1" applyAlignment="1">
      <alignment horizontal="right" vertical="top"/>
    </xf>
    <xf numFmtId="169" fontId="0" fillId="0" borderId="17" xfId="0" applyNumberFormat="1" applyFont="1" applyFill="1" applyBorder="1" applyAlignment="1">
      <alignment horizontal="right" vertical="top"/>
    </xf>
    <xf numFmtId="0" fontId="3" fillId="36" borderId="24" xfId="0" applyFont="1" applyFill="1" applyBorder="1" applyAlignment="1">
      <alignment horizontal="left" vertical="top" wrapText="1"/>
    </xf>
    <xf numFmtId="168" fontId="6" fillId="36" borderId="24" xfId="0" applyNumberFormat="1" applyFont="1" applyFill="1" applyBorder="1" applyAlignment="1">
      <alignment horizontal="center" vertical="top"/>
    </xf>
    <xf numFmtId="0" fontId="3" fillId="37" borderId="24" xfId="0" applyFont="1" applyFill="1" applyBorder="1" applyAlignment="1">
      <alignment horizontal="left" vertical="top" wrapText="1"/>
    </xf>
    <xf numFmtId="168" fontId="6" fillId="37" borderId="24" xfId="0" applyNumberFormat="1" applyFont="1" applyFill="1" applyBorder="1" applyAlignment="1">
      <alignment horizontal="center" vertical="top"/>
    </xf>
    <xf numFmtId="168" fontId="0" fillId="0" borderId="19" xfId="0" applyNumberFormat="1" applyFont="1" applyFill="1" applyBorder="1" applyAlignment="1">
      <alignment horizontal="right" vertical="top"/>
    </xf>
    <xf numFmtId="0" fontId="0" fillId="0" borderId="18" xfId="0" applyBorder="1" applyAlignment="1">
      <alignment horizontal="left" vertical="top" wrapText="1"/>
    </xf>
    <xf numFmtId="0" fontId="0" fillId="0" borderId="19" xfId="0" applyBorder="1" applyAlignment="1">
      <alignment vertical="top"/>
    </xf>
    <xf numFmtId="0" fontId="10" fillId="0" borderId="0" xfId="0" applyFont="1" applyAlignment="1">
      <alignment/>
    </xf>
    <xf numFmtId="0" fontId="11" fillId="0" borderId="0" xfId="0" applyFont="1" applyAlignment="1">
      <alignment wrapText="1"/>
    </xf>
    <xf numFmtId="9" fontId="10" fillId="0" borderId="0" xfId="0" applyNumberFormat="1" applyFont="1" applyAlignment="1">
      <alignment/>
    </xf>
    <xf numFmtId="0" fontId="11" fillId="0" borderId="0" xfId="0" applyFont="1" applyAlignment="1">
      <alignment/>
    </xf>
    <xf numFmtId="178" fontId="10" fillId="0" borderId="0" xfId="0" applyNumberFormat="1" applyFont="1" applyAlignment="1">
      <alignment/>
    </xf>
    <xf numFmtId="0" fontId="11" fillId="0" borderId="0" xfId="0" applyFont="1" applyAlignment="1">
      <alignment horizontal="right"/>
    </xf>
    <xf numFmtId="165" fontId="10" fillId="0" borderId="0" xfId="0" applyNumberFormat="1" applyFont="1" applyAlignment="1">
      <alignment/>
    </xf>
    <xf numFmtId="165" fontId="11" fillId="0" borderId="0" xfId="0" applyNumberFormat="1" applyFont="1" applyAlignment="1">
      <alignment/>
    </xf>
    <xf numFmtId="0" fontId="11" fillId="0" borderId="0" xfId="0" applyFont="1" applyAlignment="1">
      <alignment horizontal="right" wrapText="1"/>
    </xf>
    <xf numFmtId="0" fontId="11" fillId="35" borderId="10" xfId="0" applyFont="1" applyFill="1" applyBorder="1" applyAlignment="1">
      <alignment horizontal="center"/>
    </xf>
    <xf numFmtId="0" fontId="11" fillId="36" borderId="25" xfId="0" applyFont="1" applyFill="1" applyBorder="1" applyAlignment="1">
      <alignment horizontal="center"/>
    </xf>
    <xf numFmtId="0" fontId="11" fillId="36" borderId="18" xfId="0" applyFont="1" applyFill="1" applyBorder="1" applyAlignment="1">
      <alignment horizontal="center"/>
    </xf>
    <xf numFmtId="0" fontId="11" fillId="36" borderId="19" xfId="0" applyFont="1" applyFill="1" applyBorder="1" applyAlignment="1">
      <alignment horizontal="center"/>
    </xf>
    <xf numFmtId="0" fontId="11" fillId="36" borderId="26" xfId="0" applyFont="1" applyFill="1" applyBorder="1" applyAlignment="1">
      <alignment horizontal="center"/>
    </xf>
    <xf numFmtId="0" fontId="11" fillId="36" borderId="27" xfId="0" applyFont="1" applyFill="1" applyBorder="1" applyAlignment="1">
      <alignment horizontal="center"/>
    </xf>
    <xf numFmtId="0" fontId="11" fillId="36" borderId="28" xfId="0" applyFont="1" applyFill="1" applyBorder="1" applyAlignment="1">
      <alignment horizontal="center"/>
    </xf>
    <xf numFmtId="0" fontId="11" fillId="36" borderId="10" xfId="0" applyFont="1" applyFill="1" applyBorder="1" applyAlignment="1">
      <alignment horizontal="center"/>
    </xf>
    <xf numFmtId="165" fontId="10" fillId="34" borderId="19" xfId="60" applyNumberFormat="1" applyFont="1" applyFill="1" applyBorder="1" applyAlignment="1" applyProtection="1">
      <alignment horizontal="center"/>
      <protection/>
    </xf>
    <xf numFmtId="165" fontId="10" fillId="34" borderId="29" xfId="60" applyNumberFormat="1" applyFont="1" applyFill="1" applyBorder="1" applyAlignment="1" applyProtection="1">
      <alignment horizontal="center"/>
      <protection/>
    </xf>
    <xf numFmtId="165" fontId="10" fillId="34" borderId="30" xfId="60" applyNumberFormat="1" applyFont="1" applyFill="1" applyBorder="1" applyAlignment="1" applyProtection="1">
      <alignment horizontal="center"/>
      <protection/>
    </xf>
    <xf numFmtId="165" fontId="10" fillId="34" borderId="31" xfId="60" applyNumberFormat="1" applyFont="1" applyFill="1" applyBorder="1" applyAlignment="1" applyProtection="1">
      <alignment horizontal="center"/>
      <protection/>
    </xf>
    <xf numFmtId="0" fontId="11" fillId="36" borderId="13" xfId="0" applyFont="1" applyFill="1" applyBorder="1" applyAlignment="1">
      <alignment horizontal="left"/>
    </xf>
    <xf numFmtId="0" fontId="11" fillId="36" borderId="0" xfId="0" applyFont="1" applyFill="1" applyBorder="1" applyAlignment="1">
      <alignment horizontal="left"/>
    </xf>
    <xf numFmtId="0" fontId="11" fillId="36" borderId="22" xfId="0" applyFont="1" applyFill="1" applyBorder="1" applyAlignment="1">
      <alignment horizontal="left"/>
    </xf>
    <xf numFmtId="0" fontId="10" fillId="36" borderId="11" xfId="0" applyFont="1" applyFill="1" applyBorder="1" applyAlignment="1">
      <alignment horizontal="center"/>
    </xf>
    <xf numFmtId="9" fontId="10" fillId="34" borderId="11" xfId="60" applyFont="1" applyFill="1" applyBorder="1" applyAlignment="1" applyProtection="1">
      <alignment horizontal="center"/>
      <protection/>
    </xf>
    <xf numFmtId="9" fontId="10" fillId="34" borderId="12" xfId="60" applyFont="1" applyFill="1" applyBorder="1" applyAlignment="1" applyProtection="1">
      <alignment horizontal="center"/>
      <protection/>
    </xf>
    <xf numFmtId="165" fontId="10" fillId="34" borderId="32" xfId="60" applyNumberFormat="1" applyFont="1" applyFill="1" applyBorder="1" applyAlignment="1" applyProtection="1">
      <alignment horizontal="center"/>
      <protection/>
    </xf>
    <xf numFmtId="165" fontId="10" fillId="34" borderId="33" xfId="60" applyNumberFormat="1" applyFont="1" applyFill="1" applyBorder="1" applyAlignment="1" applyProtection="1">
      <alignment horizontal="center"/>
      <protection/>
    </xf>
    <xf numFmtId="165" fontId="10" fillId="34" borderId="34" xfId="60" applyNumberFormat="1" applyFont="1" applyFill="1" applyBorder="1" applyAlignment="1" applyProtection="1">
      <alignment horizontal="center"/>
      <protection/>
    </xf>
    <xf numFmtId="0" fontId="10" fillId="36" borderId="13" xfId="0" applyFont="1" applyFill="1" applyBorder="1" applyAlignment="1">
      <alignment horizontal="center"/>
    </xf>
    <xf numFmtId="9" fontId="10" fillId="34" borderId="13" xfId="60" applyFont="1" applyFill="1" applyBorder="1" applyAlignment="1" applyProtection="1">
      <alignment horizontal="center"/>
      <protection/>
    </xf>
    <xf numFmtId="9" fontId="10" fillId="34" borderId="0" xfId="60" applyFont="1" applyFill="1" applyBorder="1" applyAlignment="1" applyProtection="1">
      <alignment horizontal="center"/>
      <protection/>
    </xf>
    <xf numFmtId="165" fontId="10" fillId="34" borderId="35" xfId="60" applyNumberFormat="1" applyFont="1" applyFill="1" applyBorder="1" applyAlignment="1" applyProtection="1">
      <alignment horizontal="center"/>
      <protection/>
    </xf>
    <xf numFmtId="165" fontId="10" fillId="34" borderId="0" xfId="60" applyNumberFormat="1" applyFont="1" applyFill="1" applyBorder="1" applyAlignment="1" applyProtection="1">
      <alignment horizontal="center"/>
      <protection/>
    </xf>
    <xf numFmtId="165" fontId="10" fillId="34" borderId="36" xfId="60" applyNumberFormat="1" applyFont="1" applyFill="1" applyBorder="1" applyAlignment="1" applyProtection="1">
      <alignment horizontal="center"/>
      <protection/>
    </xf>
    <xf numFmtId="0" fontId="10" fillId="36" borderId="18" xfId="0" applyFont="1" applyFill="1" applyBorder="1" applyAlignment="1">
      <alignment horizontal="center"/>
    </xf>
    <xf numFmtId="0" fontId="11" fillId="36" borderId="15" xfId="0" applyFont="1" applyFill="1" applyBorder="1" applyAlignment="1">
      <alignment horizontal="center"/>
    </xf>
    <xf numFmtId="0" fontId="11" fillId="36" borderId="21" xfId="0" applyFont="1" applyFill="1" applyBorder="1" applyAlignment="1">
      <alignment horizontal="center"/>
    </xf>
    <xf numFmtId="0" fontId="11" fillId="36" borderId="20" xfId="0" applyFont="1" applyFill="1" applyBorder="1" applyAlignment="1">
      <alignment horizontal="center"/>
    </xf>
    <xf numFmtId="0" fontId="10" fillId="36" borderId="14" xfId="0" applyFont="1" applyFill="1" applyBorder="1" applyAlignment="1">
      <alignment horizontal="center"/>
    </xf>
    <xf numFmtId="10" fontId="10" fillId="34" borderId="32" xfId="60" applyNumberFormat="1" applyFont="1" applyFill="1" applyBorder="1" applyAlignment="1" applyProtection="1">
      <alignment horizontal="center"/>
      <protection/>
    </xf>
    <xf numFmtId="10" fontId="10" fillId="34" borderId="33" xfId="60" applyNumberFormat="1" applyFont="1" applyFill="1" applyBorder="1" applyAlignment="1" applyProtection="1">
      <alignment horizontal="center"/>
      <protection/>
    </xf>
    <xf numFmtId="10" fontId="10" fillId="34" borderId="34" xfId="60" applyNumberFormat="1" applyFont="1" applyFill="1" applyBorder="1" applyAlignment="1" applyProtection="1">
      <alignment horizontal="center"/>
      <protection/>
    </xf>
    <xf numFmtId="0" fontId="10" fillId="36" borderId="16" xfId="0" applyFont="1" applyFill="1" applyBorder="1" applyAlignment="1">
      <alignment horizontal="center"/>
    </xf>
    <xf numFmtId="10" fontId="10" fillId="34" borderId="35" xfId="60" applyNumberFormat="1" applyFont="1" applyFill="1" applyBorder="1" applyAlignment="1" applyProtection="1">
      <alignment horizontal="center"/>
      <protection/>
    </xf>
    <xf numFmtId="10" fontId="10" fillId="34" borderId="0" xfId="60" applyNumberFormat="1" applyFont="1" applyFill="1" applyBorder="1" applyAlignment="1" applyProtection="1">
      <alignment horizontal="center"/>
      <protection/>
    </xf>
    <xf numFmtId="10" fontId="10" fillId="34" borderId="36" xfId="60" applyNumberFormat="1" applyFont="1" applyFill="1" applyBorder="1" applyAlignment="1" applyProtection="1">
      <alignment horizontal="center"/>
      <protection/>
    </xf>
    <xf numFmtId="0" fontId="10" fillId="36" borderId="25" xfId="0" applyFont="1" applyFill="1" applyBorder="1" applyAlignment="1">
      <alignment horizontal="center"/>
    </xf>
    <xf numFmtId="9" fontId="10" fillId="34" borderId="19" xfId="60" applyFont="1" applyFill="1" applyBorder="1" applyAlignment="1" applyProtection="1">
      <alignment horizontal="center"/>
      <protection/>
    </xf>
    <xf numFmtId="10" fontId="10" fillId="34" borderId="29" xfId="60" applyNumberFormat="1" applyFont="1" applyFill="1" applyBorder="1" applyAlignment="1" applyProtection="1">
      <alignment horizontal="center"/>
      <protection/>
    </xf>
    <xf numFmtId="10" fontId="10" fillId="34" borderId="30" xfId="60" applyNumberFormat="1" applyFont="1" applyFill="1" applyBorder="1" applyAlignment="1" applyProtection="1">
      <alignment horizontal="center"/>
      <protection/>
    </xf>
    <xf numFmtId="10" fontId="10" fillId="34" borderId="31" xfId="60" applyNumberFormat="1" applyFont="1" applyFill="1" applyBorder="1" applyAlignment="1" applyProtection="1">
      <alignment horizontal="center"/>
      <protection/>
    </xf>
    <xf numFmtId="0" fontId="3" fillId="36" borderId="10" xfId="0" applyFont="1" applyFill="1" applyBorder="1" applyAlignment="1">
      <alignment horizontal="center"/>
    </xf>
    <xf numFmtId="0" fontId="3" fillId="36" borderId="10" xfId="0" applyFont="1" applyFill="1" applyBorder="1" applyAlignment="1">
      <alignment horizontal="center" wrapText="1"/>
    </xf>
    <xf numFmtId="0" fontId="3" fillId="36" borderId="10" xfId="0" applyFont="1" applyFill="1" applyBorder="1" applyAlignment="1">
      <alignment horizontal="right"/>
    </xf>
    <xf numFmtId="169" fontId="3" fillId="36" borderId="10" xfId="0" applyNumberFormat="1" applyFont="1" applyFill="1" applyBorder="1" applyAlignment="1">
      <alignment horizontal="left"/>
    </xf>
    <xf numFmtId="0" fontId="3" fillId="36" borderId="10" xfId="0" applyFont="1" applyFill="1" applyBorder="1" applyAlignment="1">
      <alignment wrapText="1"/>
    </xf>
    <xf numFmtId="170" fontId="0" fillId="36" borderId="10" xfId="0" applyNumberFormat="1" applyFont="1" applyFill="1" applyBorder="1" applyAlignment="1">
      <alignment horizontal="center" vertical="center" wrapText="1"/>
    </xf>
    <xf numFmtId="166" fontId="0" fillId="36" borderId="10" xfId="0" applyNumberFormat="1" applyFill="1" applyBorder="1" applyAlignment="1">
      <alignment/>
    </xf>
    <xf numFmtId="0" fontId="3" fillId="36" borderId="10" xfId="0" applyFont="1" applyFill="1" applyBorder="1" applyAlignment="1">
      <alignment/>
    </xf>
    <xf numFmtId="166" fontId="0" fillId="0" borderId="0" xfId="0" applyNumberFormat="1" applyAlignment="1">
      <alignment/>
    </xf>
    <xf numFmtId="0" fontId="3" fillId="36" borderId="17" xfId="0" applyFont="1" applyFill="1" applyBorder="1" applyAlignment="1">
      <alignment horizontal="center"/>
    </xf>
    <xf numFmtId="166" fontId="3" fillId="36" borderId="10" xfId="0" applyNumberFormat="1" applyFont="1" applyFill="1" applyBorder="1" applyAlignment="1">
      <alignment horizontal="center"/>
    </xf>
    <xf numFmtId="166" fontId="3" fillId="36" borderId="10" xfId="0" applyNumberFormat="1" applyFont="1" applyFill="1" applyBorder="1" applyAlignment="1">
      <alignment/>
    </xf>
    <xf numFmtId="0" fontId="3" fillId="36" borderId="10" xfId="0" applyFont="1" applyFill="1" applyBorder="1" applyAlignment="1">
      <alignment horizontal="left"/>
    </xf>
    <xf numFmtId="0" fontId="3" fillId="0" borderId="0" xfId="0" applyFont="1" applyAlignment="1">
      <alignment/>
    </xf>
    <xf numFmtId="170" fontId="0" fillId="0" borderId="0" xfId="0" applyNumberFormat="1" applyAlignment="1">
      <alignment/>
    </xf>
    <xf numFmtId="0" fontId="0" fillId="36" borderId="10" xfId="0" applyFill="1" applyBorder="1" applyAlignment="1">
      <alignment/>
    </xf>
    <xf numFmtId="0" fontId="3" fillId="36" borderId="25" xfId="0" applyFont="1" applyFill="1" applyBorder="1" applyAlignment="1">
      <alignment/>
    </xf>
    <xf numFmtId="166" fontId="0" fillId="0" borderId="15" xfId="0" applyNumberFormat="1" applyFill="1" applyBorder="1" applyAlignment="1">
      <alignment/>
    </xf>
    <xf numFmtId="170" fontId="0" fillId="0" borderId="10" xfId="0" applyNumberFormat="1" applyFill="1" applyBorder="1" applyAlignment="1">
      <alignment/>
    </xf>
    <xf numFmtId="165" fontId="0" fillId="0" borderId="10" xfId="0" applyNumberFormat="1" applyFill="1" applyBorder="1" applyAlignment="1">
      <alignment/>
    </xf>
    <xf numFmtId="0" fontId="0" fillId="0" borderId="10" xfId="0" applyFill="1" applyBorder="1" applyAlignment="1">
      <alignment/>
    </xf>
    <xf numFmtId="170" fontId="3" fillId="38" borderId="10" xfId="0" applyNumberFormat="1" applyFont="1" applyFill="1" applyBorder="1" applyAlignment="1">
      <alignment/>
    </xf>
    <xf numFmtId="166" fontId="3" fillId="38" borderId="10" xfId="0" applyNumberFormat="1" applyFont="1" applyFill="1" applyBorder="1" applyAlignment="1">
      <alignment/>
    </xf>
    <xf numFmtId="165" fontId="3" fillId="38" borderId="10" xfId="0" applyNumberFormat="1" applyFont="1" applyFill="1" applyBorder="1" applyAlignment="1">
      <alignment/>
    </xf>
    <xf numFmtId="165" fontId="3" fillId="38" borderId="10" xfId="60" applyNumberFormat="1" applyFont="1" applyFill="1" applyBorder="1" applyAlignment="1" applyProtection="1">
      <alignment/>
      <protection/>
    </xf>
    <xf numFmtId="0" fontId="3" fillId="36" borderId="10" xfId="0" applyFont="1" applyFill="1" applyBorder="1" applyAlignment="1">
      <alignment horizontal="right" wrapText="1"/>
    </xf>
    <xf numFmtId="9" fontId="0" fillId="0" borderId="0" xfId="0" applyNumberFormat="1" applyAlignment="1">
      <alignment/>
    </xf>
    <xf numFmtId="170" fontId="0" fillId="34" borderId="10" xfId="0" applyNumberFormat="1" applyFill="1" applyBorder="1" applyAlignment="1">
      <alignment/>
    </xf>
    <xf numFmtId="170" fontId="0" fillId="39" borderId="10" xfId="0" applyNumberFormat="1" applyFill="1" applyBorder="1" applyAlignment="1">
      <alignment/>
    </xf>
    <xf numFmtId="170" fontId="0" fillId="40" borderId="10" xfId="0" applyNumberFormat="1" applyFill="1" applyBorder="1" applyAlignment="1">
      <alignment/>
    </xf>
    <xf numFmtId="165" fontId="0" fillId="34" borderId="10" xfId="0" applyNumberFormat="1" applyFill="1" applyBorder="1" applyAlignment="1">
      <alignment/>
    </xf>
    <xf numFmtId="170" fontId="0" fillId="41" borderId="10" xfId="0" applyNumberFormat="1" applyFill="1" applyBorder="1" applyAlignment="1">
      <alignment/>
    </xf>
    <xf numFmtId="10" fontId="0" fillId="0" borderId="0" xfId="0" applyNumberFormat="1" applyAlignment="1">
      <alignment/>
    </xf>
    <xf numFmtId="180" fontId="0" fillId="0" borderId="0" xfId="0" applyNumberFormat="1" applyAlignment="1">
      <alignment/>
    </xf>
    <xf numFmtId="0" fontId="0" fillId="0" borderId="10" xfId="0" applyBorder="1" applyAlignment="1">
      <alignment/>
    </xf>
    <xf numFmtId="9" fontId="3" fillId="0" borderId="10" xfId="0" applyNumberFormat="1" applyFont="1" applyBorder="1" applyAlignment="1">
      <alignment horizontal="right"/>
    </xf>
    <xf numFmtId="170" fontId="3" fillId="0" borderId="10" xfId="0" applyNumberFormat="1" applyFont="1" applyFill="1" applyBorder="1" applyAlignment="1">
      <alignment/>
    </xf>
    <xf numFmtId="170" fontId="3" fillId="0" borderId="10" xfId="0" applyNumberFormat="1" applyFont="1" applyFill="1" applyBorder="1" applyAlignment="1">
      <alignment horizontal="right"/>
    </xf>
    <xf numFmtId="170" fontId="3" fillId="0" borderId="10" xfId="0" applyNumberFormat="1" applyFont="1" applyBorder="1" applyAlignment="1">
      <alignment horizontal="right"/>
    </xf>
    <xf numFmtId="9" fontId="3" fillId="0" borderId="0" xfId="0" applyNumberFormat="1" applyFont="1" applyAlignment="1">
      <alignment horizontal="right"/>
    </xf>
    <xf numFmtId="170" fontId="3" fillId="0" borderId="0" xfId="0" applyNumberFormat="1" applyFont="1" applyFill="1" applyAlignment="1">
      <alignment/>
    </xf>
    <xf numFmtId="170" fontId="0" fillId="42" borderId="10" xfId="0" applyNumberFormat="1" applyFill="1" applyBorder="1" applyAlignment="1">
      <alignment/>
    </xf>
    <xf numFmtId="170" fontId="0" fillId="43" borderId="10" xfId="0" applyNumberFormat="1" applyFill="1" applyBorder="1" applyAlignment="1">
      <alignment/>
    </xf>
    <xf numFmtId="170" fontId="3" fillId="0" borderId="0" xfId="0" applyNumberFormat="1" applyFont="1" applyAlignment="1">
      <alignment/>
    </xf>
    <xf numFmtId="0" fontId="0" fillId="35" borderId="0" xfId="0" applyFont="1" applyFill="1" applyAlignment="1">
      <alignment/>
    </xf>
    <xf numFmtId="0" fontId="0" fillId="0" borderId="10" xfId="0" applyBorder="1" applyAlignment="1">
      <alignment horizontal="left" vertical="top" wrapText="1"/>
    </xf>
    <xf numFmtId="14" fontId="0" fillId="42" borderId="17" xfId="0" applyNumberFormat="1" applyFill="1" applyBorder="1" applyAlignment="1" applyProtection="1">
      <alignment horizontal="center" vertical="top"/>
      <protection locked="0"/>
    </xf>
    <xf numFmtId="14" fontId="0" fillId="42" borderId="23" xfId="0" applyNumberFormat="1" applyFill="1" applyBorder="1" applyAlignment="1" applyProtection="1">
      <alignment horizontal="center" vertical="top"/>
      <protection locked="0"/>
    </xf>
    <xf numFmtId="14" fontId="0" fillId="42" borderId="10" xfId="0" applyNumberFormat="1" applyFill="1" applyBorder="1" applyAlignment="1" applyProtection="1">
      <alignment horizontal="center" vertical="top"/>
      <protection locked="0"/>
    </xf>
    <xf numFmtId="0" fontId="0" fillId="42" borderId="20" xfId="0" applyFont="1" applyFill="1" applyBorder="1" applyAlignment="1" applyProtection="1">
      <alignment horizontal="center" vertical="top"/>
      <protection locked="0"/>
    </xf>
    <xf numFmtId="0" fontId="0" fillId="42" borderId="10" xfId="0" applyFont="1" applyFill="1" applyBorder="1" applyAlignment="1" applyProtection="1">
      <alignment horizontal="center" vertical="top"/>
      <protection locked="0"/>
    </xf>
    <xf numFmtId="164" fontId="0" fillId="42" borderId="10" xfId="0" applyNumberFormat="1" applyFill="1" applyBorder="1" applyAlignment="1" applyProtection="1">
      <alignment horizontal="center" vertical="top"/>
      <protection locked="0"/>
    </xf>
    <xf numFmtId="165" fontId="0" fillId="42" borderId="10" xfId="0" applyNumberFormat="1" applyFill="1" applyBorder="1" applyAlignment="1" applyProtection="1">
      <alignment horizontal="center" vertical="top"/>
      <protection locked="0"/>
    </xf>
    <xf numFmtId="14" fontId="0" fillId="42" borderId="14" xfId="0" applyNumberFormat="1" applyFill="1" applyBorder="1" applyAlignment="1" applyProtection="1">
      <alignment horizontal="center" vertical="top"/>
      <protection locked="0"/>
    </xf>
    <xf numFmtId="0" fontId="0" fillId="42" borderId="25" xfId="0" applyFont="1" applyFill="1" applyBorder="1" applyAlignment="1" applyProtection="1">
      <alignment horizontal="center" vertical="top"/>
      <protection locked="0"/>
    </xf>
    <xf numFmtId="10" fontId="0" fillId="42" borderId="25" xfId="60" applyNumberFormat="1" applyFont="1" applyFill="1" applyBorder="1" applyAlignment="1" applyProtection="1">
      <alignment horizontal="center" vertical="top"/>
      <protection locked="0"/>
    </xf>
    <xf numFmtId="14" fontId="0" fillId="42" borderId="10" xfId="0" applyNumberFormat="1" applyFont="1" applyFill="1" applyBorder="1" applyAlignment="1" applyProtection="1">
      <alignment horizontal="center" vertical="top"/>
      <protection locked="0"/>
    </xf>
    <xf numFmtId="14" fontId="0" fillId="42" borderId="10" xfId="0" applyNumberFormat="1" applyFill="1" applyBorder="1" applyAlignment="1" applyProtection="1">
      <alignment horizontal="center" vertical="top" wrapText="1"/>
      <protection locked="0"/>
    </xf>
    <xf numFmtId="164" fontId="0" fillId="42" borderId="15" xfId="0" applyNumberFormat="1" applyFill="1" applyBorder="1" applyAlignment="1" applyProtection="1">
      <alignment horizontal="center" vertical="top"/>
      <protection locked="0"/>
    </xf>
    <xf numFmtId="14" fontId="0" fillId="42" borderId="17" xfId="0" applyNumberFormat="1" applyFill="1" applyBorder="1" applyAlignment="1" applyProtection="1">
      <alignment horizontal="center" vertical="top" wrapText="1"/>
      <protection locked="0"/>
    </xf>
    <xf numFmtId="166" fontId="0" fillId="33" borderId="10" xfId="0" applyNumberFormat="1" applyFill="1" applyBorder="1" applyAlignment="1" applyProtection="1">
      <alignment horizontal="center" vertical="top"/>
      <protection locked="0"/>
    </xf>
    <xf numFmtId="165" fontId="0" fillId="33" borderId="10" xfId="0" applyNumberFormat="1" applyFill="1" applyBorder="1" applyAlignment="1" applyProtection="1">
      <alignment horizontal="center" vertical="top"/>
      <protection locked="0"/>
    </xf>
    <xf numFmtId="0" fontId="0" fillId="42" borderId="15" xfId="0" applyFill="1" applyBorder="1" applyAlignment="1" applyProtection="1">
      <alignment horizontal="center" vertical="top"/>
      <protection locked="0"/>
    </xf>
    <xf numFmtId="166" fontId="0" fillId="42" borderId="10" xfId="0" applyNumberFormat="1" applyFont="1" applyFill="1" applyBorder="1" applyAlignment="1" applyProtection="1">
      <alignment horizontal="center" vertical="center" wrapText="1"/>
      <protection locked="0"/>
    </xf>
    <xf numFmtId="9" fontId="0" fillId="42" borderId="10" xfId="0" applyNumberFormat="1" applyFill="1" applyBorder="1" applyAlignment="1" applyProtection="1">
      <alignment horizontal="center" vertical="center"/>
      <protection locked="0"/>
    </xf>
    <xf numFmtId="0" fontId="3" fillId="42" borderId="10" xfId="0" applyFont="1" applyFill="1" applyBorder="1" applyAlignment="1" applyProtection="1">
      <alignment wrapText="1"/>
      <protection locked="0"/>
    </xf>
    <xf numFmtId="0" fontId="3" fillId="42" borderId="10" xfId="0" applyFont="1" applyFill="1" applyBorder="1" applyAlignment="1" applyProtection="1">
      <alignment/>
      <protection locked="0"/>
    </xf>
    <xf numFmtId="179" fontId="0" fillId="42" borderId="10" xfId="0" applyNumberFormat="1" applyFill="1" applyBorder="1" applyAlignment="1" applyProtection="1">
      <alignment horizontal="center" vertical="center"/>
      <protection locked="0"/>
    </xf>
    <xf numFmtId="165" fontId="0" fillId="42" borderId="10" xfId="0" applyNumberFormat="1" applyFill="1" applyBorder="1" applyAlignment="1" applyProtection="1">
      <alignment horizontal="center" vertical="center"/>
      <protection locked="0"/>
    </xf>
    <xf numFmtId="166" fontId="0" fillId="42" borderId="17" xfId="0" applyNumberFormat="1" applyFont="1" applyFill="1" applyBorder="1" applyAlignment="1" applyProtection="1">
      <alignment horizontal="center" vertical="center" wrapText="1"/>
      <protection locked="0"/>
    </xf>
    <xf numFmtId="166" fontId="0" fillId="42" borderId="10" xfId="0" applyNumberFormat="1" applyFont="1" applyFill="1" applyBorder="1" applyAlignment="1" applyProtection="1">
      <alignment horizontal="center"/>
      <protection locked="0"/>
    </xf>
    <xf numFmtId="165" fontId="0" fillId="42" borderId="15" xfId="0" applyNumberFormat="1" applyFill="1" applyBorder="1" applyAlignment="1" applyProtection="1">
      <alignment horizontal="center" vertical="center"/>
      <protection locked="0"/>
    </xf>
    <xf numFmtId="9" fontId="0" fillId="42" borderId="15" xfId="0" applyNumberFormat="1" applyFill="1" applyBorder="1" applyAlignment="1" applyProtection="1">
      <alignment horizontal="center" vertical="center"/>
      <protection locked="0"/>
    </xf>
    <xf numFmtId="170" fontId="0" fillId="36" borderId="10" xfId="0" applyNumberFormat="1" applyFont="1" applyFill="1" applyBorder="1" applyAlignment="1" applyProtection="1">
      <alignment horizontal="center" vertical="center" wrapText="1"/>
      <protection/>
    </xf>
    <xf numFmtId="166" fontId="0" fillId="42" borderId="10" xfId="0" applyNumberFormat="1" applyFont="1" applyFill="1" applyBorder="1" applyAlignment="1" applyProtection="1">
      <alignment horizontal="left"/>
      <protection locked="0"/>
    </xf>
    <xf numFmtId="170" fontId="0" fillId="42" borderId="15" xfId="0" applyNumberFormat="1" applyFill="1" applyBorder="1" applyAlignment="1" applyProtection="1">
      <alignment/>
      <protection locked="0"/>
    </xf>
    <xf numFmtId="0" fontId="0" fillId="0" borderId="18" xfId="0" applyFont="1" applyFill="1" applyBorder="1" applyAlignment="1">
      <alignment horizontal="left" vertical="top" wrapText="1"/>
    </xf>
    <xf numFmtId="0" fontId="0" fillId="0" borderId="25" xfId="0" applyFont="1" applyBorder="1" applyAlignment="1">
      <alignment horizontal="center" vertical="top" wrapText="1"/>
    </xf>
    <xf numFmtId="164" fontId="0" fillId="42" borderId="18" xfId="0" applyNumberFormat="1" applyFill="1" applyBorder="1" applyAlignment="1" applyProtection="1">
      <alignment horizontal="center" vertical="top"/>
      <protection locked="0"/>
    </xf>
    <xf numFmtId="0" fontId="0" fillId="0" borderId="37" xfId="0" applyFont="1" applyFill="1" applyBorder="1" applyAlignment="1">
      <alignment horizontal="left" vertical="top" wrapText="1"/>
    </xf>
    <xf numFmtId="0" fontId="0" fillId="0" borderId="38" xfId="0" applyFont="1" applyBorder="1" applyAlignment="1">
      <alignment horizontal="center" vertical="top" wrapText="1"/>
    </xf>
    <xf numFmtId="164" fontId="0" fillId="42" borderId="39" xfId="0" applyNumberFormat="1" applyFill="1" applyBorder="1" applyAlignment="1" applyProtection="1">
      <alignment horizontal="center" vertical="top"/>
      <protection locked="0"/>
    </xf>
    <xf numFmtId="0" fontId="0" fillId="0" borderId="40" xfId="0" applyFont="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Border="1" applyAlignment="1">
      <alignment horizontal="center" vertical="top" wrapText="1"/>
    </xf>
    <xf numFmtId="164" fontId="0" fillId="42" borderId="43" xfId="0" applyNumberFormat="1" applyFill="1" applyBorder="1" applyAlignment="1" applyProtection="1">
      <alignment horizontal="center" vertical="top"/>
      <protection locked="0"/>
    </xf>
    <xf numFmtId="0" fontId="0" fillId="0" borderId="43" xfId="0" applyFill="1" applyBorder="1" applyAlignment="1">
      <alignment vertical="top" wrapText="1"/>
    </xf>
    <xf numFmtId="14" fontId="0" fillId="42" borderId="42" xfId="0" applyNumberFormat="1" applyFill="1" applyBorder="1" applyAlignment="1" applyProtection="1">
      <alignment horizontal="center" vertical="top" wrapText="1"/>
      <protection locked="0"/>
    </xf>
    <xf numFmtId="0" fontId="0" fillId="0" borderId="11" xfId="0" applyFont="1" applyFill="1" applyBorder="1" applyAlignment="1">
      <alignment horizontal="left" vertical="top" wrapText="1"/>
    </xf>
    <xf numFmtId="0" fontId="0" fillId="0" borderId="14" xfId="0" applyFont="1" applyBorder="1" applyAlignment="1">
      <alignment horizontal="center" vertical="top" wrapText="1"/>
    </xf>
    <xf numFmtId="164" fontId="0" fillId="42" borderId="11" xfId="0" applyNumberFormat="1" applyFill="1" applyBorder="1" applyAlignment="1" applyProtection="1">
      <alignment horizontal="center" vertical="top"/>
      <protection locked="0"/>
    </xf>
    <xf numFmtId="0" fontId="0" fillId="0" borderId="11" xfId="0" applyFill="1" applyBorder="1" applyAlignment="1">
      <alignment vertical="top" wrapText="1"/>
    </xf>
    <xf numFmtId="14" fontId="0" fillId="42" borderId="14" xfId="0" applyNumberFormat="1" applyFill="1" applyBorder="1" applyAlignment="1" applyProtection="1">
      <alignment horizontal="center" vertical="top" wrapText="1"/>
      <protection locked="0"/>
    </xf>
    <xf numFmtId="175" fontId="0" fillId="0" borderId="25" xfId="0" applyNumberFormat="1" applyFill="1" applyBorder="1" applyAlignment="1">
      <alignment horizontal="left" vertical="top" wrapText="1"/>
    </xf>
    <xf numFmtId="2" fontId="0" fillId="0" borderId="25" xfId="0" applyNumberFormat="1" applyBorder="1" applyAlignment="1">
      <alignment horizontal="center" vertical="top" wrapText="1"/>
    </xf>
    <xf numFmtId="175" fontId="0" fillId="0" borderId="44" xfId="0" applyNumberFormat="1" applyFill="1" applyBorder="1" applyAlignment="1">
      <alignment horizontal="left" vertical="top" wrapText="1"/>
    </xf>
    <xf numFmtId="164" fontId="0" fillId="0" borderId="38" xfId="0" applyNumberFormat="1" applyFont="1" applyBorder="1" applyAlignment="1">
      <alignment horizontal="center" vertical="top"/>
    </xf>
    <xf numFmtId="0" fontId="0" fillId="0" borderId="40" xfId="0" applyFont="1" applyFill="1" applyBorder="1" applyAlignment="1">
      <alignment horizontal="left" vertical="top" wrapText="1"/>
    </xf>
    <xf numFmtId="0" fontId="0" fillId="0" borderId="43" xfId="0" applyFont="1" applyBorder="1" applyAlignment="1">
      <alignment horizontal="center" vertical="top" wrapText="1"/>
    </xf>
    <xf numFmtId="170" fontId="0" fillId="0" borderId="45" xfId="0" applyNumberFormat="1" applyBorder="1" applyAlignment="1">
      <alignment horizontal="center" vertical="top"/>
    </xf>
    <xf numFmtId="2" fontId="0" fillId="0" borderId="46" xfId="0" applyNumberFormat="1" applyBorder="1" applyAlignment="1">
      <alignment horizontal="center" vertical="top" wrapText="1"/>
    </xf>
    <xf numFmtId="0" fontId="0" fillId="0" borderId="11" xfId="0" applyFont="1" applyBorder="1" applyAlignment="1">
      <alignment horizontal="center" vertical="top" wrapText="1"/>
    </xf>
    <xf numFmtId="170" fontId="0" fillId="0" borderId="47" xfId="60" applyNumberFormat="1" applyFont="1" applyFill="1" applyBorder="1" applyAlignment="1" applyProtection="1">
      <alignment horizontal="center" vertical="top"/>
      <protection/>
    </xf>
    <xf numFmtId="0" fontId="0" fillId="0" borderId="18" xfId="0" applyFont="1" applyBorder="1" applyAlignment="1">
      <alignment horizontal="center" vertical="top" wrapText="1"/>
    </xf>
    <xf numFmtId="2" fontId="0" fillId="0" borderId="25" xfId="0" applyNumberFormat="1" applyFill="1" applyBorder="1" applyAlignment="1">
      <alignment horizontal="center" vertical="top" wrapText="1"/>
    </xf>
    <xf numFmtId="164" fontId="0" fillId="0" borderId="38" xfId="0" applyNumberFormat="1" applyFont="1" applyFill="1" applyBorder="1" applyAlignment="1">
      <alignment horizontal="center" vertical="top"/>
    </xf>
    <xf numFmtId="2" fontId="0" fillId="0" borderId="38" xfId="0" applyNumberFormat="1" applyFill="1" applyBorder="1" applyAlignment="1">
      <alignment horizontal="center" vertical="top" wrapText="1"/>
    </xf>
    <xf numFmtId="0" fontId="0" fillId="0" borderId="43" xfId="0" applyFont="1" applyFill="1" applyBorder="1" applyAlignment="1">
      <alignment horizontal="center" vertical="top" wrapText="1"/>
    </xf>
    <xf numFmtId="170" fontId="0" fillId="0" borderId="45" xfId="60" applyNumberFormat="1" applyFont="1" applyFill="1" applyBorder="1" applyAlignment="1" applyProtection="1">
      <alignment horizontal="center" vertical="top"/>
      <protection/>
    </xf>
    <xf numFmtId="174" fontId="0" fillId="0" borderId="46" xfId="60" applyNumberFormat="1" applyFont="1" applyFill="1" applyBorder="1" applyAlignment="1" applyProtection="1">
      <alignment horizontal="center" vertical="top" wrapText="1"/>
      <protection/>
    </xf>
    <xf numFmtId="0" fontId="0" fillId="0" borderId="39" xfId="0" applyFont="1" applyFill="1" applyBorder="1" applyAlignment="1">
      <alignment horizontal="center" vertical="top" wrapText="1"/>
    </xf>
    <xf numFmtId="0" fontId="3" fillId="0" borderId="41" xfId="0" applyFont="1" applyFill="1" applyBorder="1" applyAlignment="1">
      <alignment horizontal="left" vertical="top" wrapText="1"/>
    </xf>
    <xf numFmtId="164" fontId="3" fillId="0" borderId="45" xfId="0" applyNumberFormat="1" applyFont="1" applyFill="1" applyBorder="1" applyAlignment="1">
      <alignment horizontal="center" vertical="top"/>
    </xf>
    <xf numFmtId="169" fontId="0" fillId="0" borderId="46" xfId="0" applyNumberFormat="1" applyFont="1" applyFill="1" applyBorder="1" applyAlignment="1">
      <alignment horizontal="center" vertical="top" wrapText="1"/>
    </xf>
    <xf numFmtId="0" fontId="0" fillId="0" borderId="15" xfId="0" applyBorder="1" applyAlignment="1">
      <alignment horizontal="left" vertical="top" wrapText="1"/>
    </xf>
    <xf numFmtId="10" fontId="0" fillId="44" borderId="25" xfId="60" applyNumberFormat="1" applyFont="1" applyFill="1" applyBorder="1" applyAlignment="1" applyProtection="1">
      <alignment horizontal="center" vertical="top"/>
      <protection/>
    </xf>
    <xf numFmtId="0" fontId="0" fillId="0" borderId="10" xfId="0" applyBorder="1" applyAlignment="1">
      <alignment horizontal="left" wrapText="1"/>
    </xf>
    <xf numFmtId="14" fontId="0" fillId="33" borderId="10" xfId="0" applyNumberFormat="1" applyFill="1" applyBorder="1" applyAlignment="1">
      <alignment horizontal="center"/>
    </xf>
    <xf numFmtId="184" fontId="0" fillId="33" borderId="10" xfId="0" applyNumberFormat="1" applyFill="1" applyBorder="1" applyAlignment="1">
      <alignment horizontal="center"/>
    </xf>
    <xf numFmtId="0" fontId="0" fillId="0" borderId="10" xfId="0" applyFill="1" applyBorder="1" applyAlignment="1">
      <alignment horizontal="left" vertical="top" wrapText="1"/>
    </xf>
    <xf numFmtId="0" fontId="0" fillId="0" borderId="10" xfId="0" applyBorder="1" applyAlignment="1">
      <alignment horizontal="left"/>
    </xf>
    <xf numFmtId="0" fontId="0" fillId="0" borderId="10" xfId="0" applyBorder="1" applyAlignment="1">
      <alignment horizontal="center" vertical="top" wrapText="1"/>
    </xf>
    <xf numFmtId="165" fontId="0" fillId="33" borderId="10" xfId="0" applyNumberFormat="1" applyFill="1" applyBorder="1" applyAlignment="1" quotePrefix="1">
      <alignment horizontal="center"/>
    </xf>
    <xf numFmtId="0" fontId="2" fillId="35" borderId="24" xfId="0" applyFont="1" applyFill="1" applyBorder="1" applyAlignment="1">
      <alignment horizontal="center" vertical="center"/>
    </xf>
    <xf numFmtId="0" fontId="6" fillId="36" borderId="10" xfId="0" applyFont="1" applyFill="1" applyBorder="1" applyAlignment="1">
      <alignment horizontal="center" vertical="center"/>
    </xf>
    <xf numFmtId="0" fontId="3" fillId="0" borderId="23" xfId="0" applyFont="1" applyBorder="1" applyAlignment="1">
      <alignment horizontal="left" vertical="top"/>
    </xf>
    <xf numFmtId="0" fontId="0" fillId="42" borderId="10" xfId="0" applyFont="1" applyFill="1" applyBorder="1" applyAlignment="1" applyProtection="1">
      <alignment horizontal="center" vertical="top"/>
      <protection locked="0"/>
    </xf>
    <xf numFmtId="0" fontId="0" fillId="0" borderId="10" xfId="0" applyBorder="1" applyAlignment="1">
      <alignment horizontal="left" vertical="top"/>
    </xf>
    <xf numFmtId="14" fontId="0" fillId="0" borderId="10" xfId="0" applyNumberFormat="1" applyFont="1" applyFill="1" applyBorder="1" applyAlignment="1">
      <alignment horizontal="left" vertical="top"/>
    </xf>
    <xf numFmtId="0" fontId="0" fillId="0" borderId="10" xfId="0" applyFill="1" applyBorder="1" applyAlignment="1">
      <alignment horizontal="left" vertical="top" wrapText="1"/>
    </xf>
    <xf numFmtId="0" fontId="0" fillId="0" borderId="10" xfId="0" applyFont="1" applyFill="1" applyBorder="1" applyAlignment="1">
      <alignment horizontal="left" vertical="top" wrapText="1"/>
    </xf>
    <xf numFmtId="0" fontId="0" fillId="0" borderId="17" xfId="0" applyBorder="1" applyAlignment="1">
      <alignment horizontal="left" vertical="top" wrapText="1"/>
    </xf>
    <xf numFmtId="0" fontId="0" fillId="0" borderId="17" xfId="0" applyFont="1" applyBorder="1" applyAlignment="1">
      <alignment horizontal="left" vertical="top" wrapText="1"/>
    </xf>
    <xf numFmtId="0" fontId="0" fillId="0" borderId="10" xfId="0" applyFont="1" applyBorder="1" applyAlignment="1">
      <alignment horizontal="left" vertical="top" wrapText="1"/>
    </xf>
    <xf numFmtId="0" fontId="5" fillId="0" borderId="10" xfId="0" applyFont="1" applyBorder="1" applyAlignment="1">
      <alignment horizontal="left" vertical="top" wrapText="1"/>
    </xf>
    <xf numFmtId="0" fontId="5" fillId="0" borderId="10" xfId="0" applyFont="1" applyFill="1" applyBorder="1" applyAlignment="1">
      <alignment horizontal="left" vertical="top" wrapText="1"/>
    </xf>
    <xf numFmtId="0" fontId="3" fillId="0" borderId="22" xfId="0" applyFont="1" applyBorder="1" applyAlignment="1">
      <alignment horizontal="left" vertical="top"/>
    </xf>
    <xf numFmtId="0" fontId="0" fillId="0" borderId="10" xfId="0" applyFont="1" applyBorder="1" applyAlignment="1">
      <alignment horizontal="left" vertical="top"/>
    </xf>
    <xf numFmtId="0" fontId="0" fillId="0" borderId="10" xfId="0" applyFont="1" applyFill="1" applyBorder="1" applyAlignment="1">
      <alignment horizontal="left" vertical="top"/>
    </xf>
    <xf numFmtId="0" fontId="0" fillId="0" borderId="10" xfId="0" applyBorder="1" applyAlignment="1">
      <alignment horizontal="left" vertical="top" wrapText="1"/>
    </xf>
    <xf numFmtId="14" fontId="0" fillId="0" borderId="10" xfId="0" applyNumberFormat="1" applyFont="1" applyFill="1" applyBorder="1" applyAlignment="1">
      <alignment horizontal="left" vertical="top" wrapText="1"/>
    </xf>
    <xf numFmtId="0" fontId="3" fillId="0" borderId="17" xfId="0" applyFont="1" applyBorder="1" applyAlignment="1">
      <alignment horizontal="left" vertical="top"/>
    </xf>
    <xf numFmtId="0" fontId="0" fillId="0" borderId="25" xfId="0" applyFill="1" applyBorder="1" applyAlignment="1">
      <alignment horizontal="center" vertical="top"/>
    </xf>
    <xf numFmtId="14" fontId="0" fillId="0" borderId="20" xfId="0" applyNumberFormat="1" applyFill="1" applyBorder="1" applyAlignment="1">
      <alignment horizontal="left" vertical="top" wrapText="1"/>
    </xf>
    <xf numFmtId="0" fontId="0" fillId="0" borderId="10" xfId="0" applyFill="1" applyBorder="1" applyAlignment="1">
      <alignment horizontal="center" vertical="top"/>
    </xf>
    <xf numFmtId="0" fontId="0" fillId="0" borderId="17" xfId="0" applyFill="1" applyBorder="1" applyAlignment="1">
      <alignment horizontal="left" vertical="top" wrapText="1"/>
    </xf>
    <xf numFmtId="14" fontId="0" fillId="0" borderId="23" xfId="0" applyNumberFormat="1" applyFill="1" applyBorder="1" applyAlignment="1">
      <alignment horizontal="left" vertical="top" wrapText="1"/>
    </xf>
    <xf numFmtId="0" fontId="0" fillId="0" borderId="38" xfId="0" applyFill="1" applyBorder="1" applyAlignment="1">
      <alignment horizontal="center" vertical="top"/>
    </xf>
    <xf numFmtId="14" fontId="0" fillId="0" borderId="48" xfId="0" applyNumberFormat="1" applyFill="1" applyBorder="1" applyAlignment="1">
      <alignment horizontal="left" vertical="top" wrapText="1"/>
    </xf>
    <xf numFmtId="14" fontId="0" fillId="0" borderId="49" xfId="0" applyNumberFormat="1" applyFill="1" applyBorder="1" applyAlignment="1">
      <alignment horizontal="left" vertical="top" wrapText="1"/>
    </xf>
    <xf numFmtId="0" fontId="0" fillId="0" borderId="50" xfId="0" applyFill="1" applyBorder="1" applyAlignment="1">
      <alignment horizontal="left" vertical="top" wrapText="1"/>
    </xf>
    <xf numFmtId="14" fontId="0" fillId="0" borderId="46" xfId="0" applyNumberFormat="1" applyFill="1" applyBorder="1" applyAlignment="1">
      <alignment horizontal="left" vertical="top" wrapText="1"/>
    </xf>
    <xf numFmtId="14" fontId="0" fillId="0" borderId="51" xfId="0" applyNumberFormat="1" applyFill="1" applyBorder="1" applyAlignment="1">
      <alignment horizontal="left" vertical="top" wrapText="1"/>
    </xf>
    <xf numFmtId="0" fontId="0" fillId="0" borderId="18" xfId="0" applyFill="1" applyBorder="1" applyAlignment="1">
      <alignment horizontal="center" vertical="top" wrapText="1"/>
    </xf>
    <xf numFmtId="0" fontId="0" fillId="0" borderId="20" xfId="0" applyFill="1" applyBorder="1" applyAlignment="1">
      <alignment horizontal="center" vertical="top" wrapText="1"/>
    </xf>
    <xf numFmtId="0" fontId="8" fillId="0" borderId="23" xfId="54" applyNumberFormat="1" applyFont="1" applyFill="1" applyBorder="1" applyAlignment="1" applyProtection="1">
      <alignment horizontal="left" vertical="center"/>
      <protection/>
    </xf>
    <xf numFmtId="0" fontId="4" fillId="0" borderId="10" xfId="0" applyFont="1" applyBorder="1" applyAlignment="1">
      <alignment horizontal="left" vertical="top" wrapText="1"/>
    </xf>
    <xf numFmtId="0" fontId="0" fillId="0" borderId="10" xfId="0" applyFont="1" applyBorder="1" applyAlignment="1">
      <alignment horizontal="center" vertical="top" wrapText="1"/>
    </xf>
    <xf numFmtId="164" fontId="0" fillId="42" borderId="10" xfId="0" applyNumberFormat="1" applyFill="1" applyBorder="1" applyAlignment="1" applyProtection="1">
      <alignment horizontal="center" vertical="top"/>
      <protection locked="0"/>
    </xf>
    <xf numFmtId="0" fontId="8" fillId="0" borderId="22" xfId="54" applyNumberFormat="1" applyFont="1" applyFill="1" applyBorder="1" applyAlignment="1" applyProtection="1">
      <alignment horizontal="left" vertical="center"/>
      <protection/>
    </xf>
    <xf numFmtId="0" fontId="0" fillId="0" borderId="15"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7" xfId="0" applyFont="1" applyFill="1" applyBorder="1" applyAlignment="1">
      <alignment horizontal="left" vertical="top" wrapText="1"/>
    </xf>
    <xf numFmtId="0" fontId="8" fillId="0" borderId="17" xfId="54" applyNumberFormat="1" applyFont="1" applyFill="1" applyBorder="1" applyAlignment="1" applyProtection="1">
      <alignment horizontal="left" vertical="center"/>
      <protection/>
    </xf>
    <xf numFmtId="0" fontId="0" fillId="0" borderId="11" xfId="0" applyFont="1" applyBorder="1" applyAlignment="1">
      <alignment horizontal="left" vertical="top" wrapText="1"/>
    </xf>
    <xf numFmtId="0" fontId="8" fillId="0" borderId="0" xfId="54" applyNumberFormat="1" applyFont="1" applyFill="1" applyBorder="1" applyAlignment="1" applyProtection="1">
      <alignment horizontal="left"/>
      <protection/>
    </xf>
    <xf numFmtId="0" fontId="3" fillId="0" borderId="14" xfId="0" applyFont="1" applyBorder="1" applyAlignment="1">
      <alignment horizontal="left" vertical="top" wrapText="1"/>
    </xf>
    <xf numFmtId="0" fontId="8" fillId="0" borderId="25" xfId="54" applyNumberFormat="1" applyFont="1" applyFill="1" applyBorder="1" applyAlignment="1" applyProtection="1">
      <alignment horizontal="left" vertical="top" wrapText="1"/>
      <protection/>
    </xf>
    <xf numFmtId="0" fontId="3" fillId="0" borderId="11" xfId="0" applyFont="1" applyBorder="1" applyAlignment="1">
      <alignment horizontal="left" vertical="top" wrapText="1"/>
    </xf>
    <xf numFmtId="170" fontId="0" fillId="0" borderId="10" xfId="0" applyNumberFormat="1" applyBorder="1" applyAlignment="1">
      <alignment horizontal="left" vertical="top" wrapText="1"/>
    </xf>
    <xf numFmtId="0" fontId="3" fillId="0" borderId="10" xfId="0" applyFont="1" applyBorder="1" applyAlignment="1">
      <alignment horizontal="left" vertical="top" wrapText="1"/>
    </xf>
    <xf numFmtId="0" fontId="0" fillId="0" borderId="15" xfId="0" applyFont="1" applyBorder="1" applyAlignment="1">
      <alignment horizontal="left" vertical="top" wrapText="1"/>
    </xf>
    <xf numFmtId="0" fontId="0" fillId="0" borderId="21" xfId="0" applyFont="1" applyBorder="1" applyAlignment="1">
      <alignment horizontal="left" vertical="top" wrapText="1"/>
    </xf>
    <xf numFmtId="0" fontId="8" fillId="0" borderId="10" xfId="54" applyNumberFormat="1" applyFont="1" applyFill="1" applyBorder="1" applyAlignment="1" applyProtection="1">
      <alignment horizontal="left" vertical="top" wrapText="1"/>
      <protection/>
    </xf>
    <xf numFmtId="0" fontId="0" fillId="0" borderId="38"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3" xfId="0" applyFont="1" applyFill="1" applyBorder="1" applyAlignment="1">
      <alignment horizontal="left" vertical="top" wrapText="1"/>
    </xf>
    <xf numFmtId="0" fontId="0" fillId="0" borderId="42" xfId="0" applyFont="1" applyBorder="1" applyAlignment="1">
      <alignment horizontal="left" vertical="top" wrapText="1"/>
    </xf>
    <xf numFmtId="0" fontId="0" fillId="0" borderId="54" xfId="0" applyFont="1" applyBorder="1" applyAlignment="1">
      <alignment horizontal="left" vertical="top" wrapText="1"/>
    </xf>
    <xf numFmtId="0" fontId="0" fillId="0" borderId="25" xfId="0" applyFont="1" applyBorder="1" applyAlignment="1">
      <alignment horizontal="left" vertical="top" wrapText="1"/>
    </xf>
    <xf numFmtId="0" fontId="0" fillId="0" borderId="14"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46" xfId="0" applyBorder="1" applyAlignment="1">
      <alignment horizontal="left" vertical="top" wrapText="1"/>
    </xf>
    <xf numFmtId="0" fontId="0" fillId="0" borderId="51" xfId="0" applyBorder="1" applyAlignment="1">
      <alignment horizontal="left" vertical="top" wrapText="1"/>
    </xf>
    <xf numFmtId="0" fontId="6" fillId="36" borderId="14" xfId="0" applyFont="1" applyFill="1" applyBorder="1" applyAlignment="1">
      <alignment horizontal="center" vertical="center"/>
    </xf>
    <xf numFmtId="0" fontId="3" fillId="36" borderId="10" xfId="0" applyFont="1" applyFill="1" applyBorder="1" applyAlignment="1">
      <alignment horizontal="left" vertical="top" wrapText="1"/>
    </xf>
    <xf numFmtId="17" fontId="0" fillId="0" borderId="12" xfId="0" applyNumberFormat="1" applyFont="1" applyBorder="1" applyAlignment="1">
      <alignment horizontal="center" vertical="top" wrapText="1"/>
    </xf>
    <xf numFmtId="17" fontId="0" fillId="0" borderId="23" xfId="0" applyNumberFormat="1" applyFont="1" applyBorder="1" applyAlignment="1">
      <alignment horizontal="center" vertical="top" wrapText="1"/>
    </xf>
    <xf numFmtId="17" fontId="0" fillId="0" borderId="0" xfId="0" applyNumberFormat="1" applyFont="1" applyBorder="1" applyAlignment="1">
      <alignment horizontal="center" vertical="top" wrapText="1"/>
    </xf>
    <xf numFmtId="17" fontId="0" fillId="0" borderId="22" xfId="0" applyNumberFormat="1" applyFont="1" applyBorder="1" applyAlignment="1">
      <alignment horizontal="center" vertical="top" wrapText="1"/>
    </xf>
    <xf numFmtId="0" fontId="0" fillId="0" borderId="14" xfId="0" applyFont="1" applyBorder="1" applyAlignment="1">
      <alignment horizontal="left" vertical="top" wrapText="1"/>
    </xf>
    <xf numFmtId="0" fontId="3" fillId="0" borderId="11" xfId="0" applyFont="1" applyBorder="1" applyAlignment="1">
      <alignment horizontal="left" wrapText="1"/>
    </xf>
    <xf numFmtId="0" fontId="0" fillId="0" borderId="10" xfId="0" applyBorder="1" applyAlignment="1">
      <alignment horizontal="center" vertical="top"/>
    </xf>
    <xf numFmtId="164" fontId="0" fillId="0" borderId="10" xfId="0" applyNumberFormat="1" applyBorder="1" applyAlignment="1">
      <alignment horizontal="left" vertical="top" wrapText="1"/>
    </xf>
    <xf numFmtId="0" fontId="0" fillId="0" borderId="15" xfId="0" applyFont="1" applyFill="1" applyBorder="1" applyAlignment="1">
      <alignment horizontal="left" vertical="top"/>
    </xf>
    <xf numFmtId="0" fontId="3" fillId="0" borderId="17" xfId="0" applyFont="1" applyBorder="1" applyAlignment="1">
      <alignment horizontal="left" vertical="top" wrapText="1"/>
    </xf>
    <xf numFmtId="0" fontId="11" fillId="36" borderId="10" xfId="0" applyFont="1" applyFill="1" applyBorder="1" applyAlignment="1">
      <alignment horizontal="left"/>
    </xf>
    <xf numFmtId="0" fontId="11" fillId="36" borderId="25" xfId="0" applyFont="1" applyFill="1" applyBorder="1" applyAlignment="1">
      <alignment horizontal="left"/>
    </xf>
    <xf numFmtId="0" fontId="11" fillId="36" borderId="14" xfId="0" applyFont="1" applyFill="1" applyBorder="1" applyAlignment="1">
      <alignment horizontal="left"/>
    </xf>
    <xf numFmtId="0" fontId="11" fillId="36" borderId="16" xfId="0" applyFont="1" applyFill="1" applyBorder="1" applyAlignment="1">
      <alignment horizontal="left"/>
    </xf>
    <xf numFmtId="0" fontId="3" fillId="36" borderId="10" xfId="0" applyFont="1" applyFill="1" applyBorder="1" applyAlignment="1">
      <alignment horizontal="center" vertical="center"/>
    </xf>
    <xf numFmtId="0" fontId="3" fillId="36" borderId="10" xfId="0" applyFont="1" applyFill="1" applyBorder="1" applyAlignment="1">
      <alignment horizontal="center"/>
    </xf>
    <xf numFmtId="0" fontId="3" fillId="36" borderId="10" xfId="0" applyFont="1" applyFill="1" applyBorder="1" applyAlignment="1">
      <alignment horizontal="right"/>
    </xf>
    <xf numFmtId="0" fontId="3" fillId="36" borderId="10" xfId="0" applyFont="1" applyFill="1" applyBorder="1" applyAlignment="1">
      <alignment horizontal="center" wrapText="1"/>
    </xf>
    <xf numFmtId="9" fontId="0" fillId="42" borderId="10" xfId="0" applyNumberFormat="1" applyFill="1" applyBorder="1" applyAlignment="1" applyProtection="1">
      <alignment horizontal="center" vertical="center"/>
      <protection locked="0"/>
    </xf>
    <xf numFmtId="165" fontId="0" fillId="42" borderId="10" xfId="0" applyNumberFormat="1" applyFill="1" applyBorder="1" applyAlignment="1" applyProtection="1">
      <alignment horizontal="center" vertical="center"/>
      <protection locked="0"/>
    </xf>
    <xf numFmtId="0" fontId="3" fillId="0" borderId="13" xfId="0" applyFont="1" applyBorder="1" applyAlignment="1">
      <alignment horizontal="left" vertical="top" wrapText="1"/>
    </xf>
    <xf numFmtId="0" fontId="0" fillId="35" borderId="24" xfId="0" applyFont="1" applyFill="1" applyBorder="1" applyAlignment="1">
      <alignment horizontal="left" vertical="center" wrapText="1"/>
    </xf>
    <xf numFmtId="0" fontId="12" fillId="36"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enOK"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4B4B4"/>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Monthly Annuity per £200,000 vs Age
</a:t>
            </a:r>
          </a:p>
        </c:rich>
      </c:tx>
      <c:layout>
        <c:manualLayout>
          <c:xMode val="factor"/>
          <c:yMode val="factor"/>
          <c:x val="-0.0065"/>
          <c:y val="0.00325"/>
        </c:manualLayout>
      </c:layout>
      <c:spPr>
        <a:noFill/>
        <a:ln>
          <a:noFill/>
        </a:ln>
      </c:spPr>
    </c:title>
    <c:plotArea>
      <c:layout>
        <c:manualLayout>
          <c:xMode val="edge"/>
          <c:yMode val="edge"/>
          <c:x val="0.05075"/>
          <c:y val="0.29875"/>
          <c:w val="0.774"/>
          <c:h val="0.6272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Losses!$I$26:$I$42</c:f>
              <c:numCache/>
            </c:numRef>
          </c:xVal>
          <c:yVal>
            <c:numRef>
              <c:f>Losses!$J$26:$J$42</c:f>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Losses!$L$26:$L$42</c:f>
              <c:numCache/>
            </c:numRef>
          </c:xVal>
          <c:yVal>
            <c:numRef>
              <c:f>Losses!$M$26:$M$42</c:f>
              <c:numCache/>
            </c:numRef>
          </c:yVal>
          <c:smooth val="1"/>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Losses!$I$45:$I$60</c:f>
              <c:numCache/>
            </c:numRef>
          </c:xVal>
          <c:yVal>
            <c:numRef>
              <c:f>Losses!$J$45:$J$60</c:f>
              <c:numCache/>
            </c:numRef>
          </c:yVal>
          <c:smooth val="1"/>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Losses!$L$45:$L$60</c:f>
              <c:numCache/>
            </c:numRef>
          </c:xVal>
          <c:yVal>
            <c:numRef>
              <c:f>Losses!$M$45:$M$60</c:f>
              <c:numCache/>
            </c:numRef>
          </c:yVal>
          <c:smooth val="1"/>
        </c:ser>
        <c:axId val="49500587"/>
        <c:axId val="42852100"/>
      </c:scatterChart>
      <c:valAx>
        <c:axId val="49500587"/>
        <c:scaling>
          <c:orientation val="minMax"/>
          <c:max val="66"/>
          <c:min val="50"/>
        </c:scaling>
        <c:axPos val="b"/>
        <c:title>
          <c:tx>
            <c:rich>
              <a:bodyPr vert="horz" rot="0" anchor="ctr"/>
              <a:lstStyle/>
              <a:p>
                <a:pPr algn="ctr">
                  <a:defRPr/>
                </a:pPr>
                <a:r>
                  <a:rPr lang="en-US" cap="none" sz="1000" b="1" i="0" u="none" baseline="0">
                    <a:solidFill>
                      <a:srgbClr val="000000"/>
                    </a:solidFill>
                    <a:latin typeface="Arial"/>
                    <a:ea typeface="Arial"/>
                    <a:cs typeface="Arial"/>
                  </a:rPr>
                  <a:t>Age</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852100"/>
        <c:crossesAt val="0"/>
        <c:crossBetween val="midCat"/>
        <c:dispUnits/>
      </c:valAx>
      <c:valAx>
        <c:axId val="42852100"/>
        <c:scaling>
          <c:orientation val="minMax"/>
          <c:max val="800"/>
          <c:min val="450"/>
        </c:scaling>
        <c:axPos val="l"/>
        <c:title>
          <c:tx>
            <c:rich>
              <a:bodyPr vert="horz" rot="-5400000" anchor="ctr"/>
              <a:lstStyle/>
              <a:p>
                <a:pPr algn="ctr">
                  <a:defRPr/>
                </a:pPr>
                <a:r>
                  <a:rPr lang="en-US" cap="none" sz="1000" b="1" i="0" u="none" baseline="0">
                    <a:solidFill>
                      <a:srgbClr val="000000"/>
                    </a:solidFill>
                    <a:latin typeface="Arial"/>
                    <a:ea typeface="Arial"/>
                    <a:cs typeface="Arial"/>
                  </a:rPr>
                  <a:t>Monthly Annuity</a:t>
                </a:r>
              </a:p>
            </c:rich>
          </c:tx>
          <c:layout>
            <c:manualLayout>
              <c:xMode val="factor"/>
              <c:yMode val="factor"/>
              <c:x val="-0.0025"/>
              <c:y val="-0.01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500587"/>
        <c:crossesAt val="0"/>
        <c:crossBetween val="midCat"/>
        <c:dispUnits/>
      </c:valAx>
      <c:spPr>
        <a:solidFill>
          <a:srgbClr val="C0C0C0"/>
        </a:solidFill>
        <a:ln w="12700">
          <a:solidFill>
            <a:srgbClr val="808080"/>
          </a:solidFill>
        </a:ln>
      </c:spPr>
    </c:plotArea>
    <c:legend>
      <c:legendPos val="r"/>
      <c:layout>
        <c:manualLayout>
          <c:xMode val="edge"/>
          <c:yMode val="edge"/>
          <c:x val="0.824"/>
          <c:y val="0.48075"/>
          <c:w val="0.1565"/>
          <c:h val="0.183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IBM United Kingdom Ltd Attrition Rate by Age (Weibull Distribution)</a:t>
            </a:r>
          </a:p>
        </c:rich>
      </c:tx>
      <c:layout>
        <c:manualLayout>
          <c:xMode val="factor"/>
          <c:yMode val="factor"/>
          <c:x val="-0.0315"/>
          <c:y val="0.008"/>
        </c:manualLayout>
      </c:layout>
      <c:spPr>
        <a:noFill/>
        <a:ln>
          <a:noFill/>
        </a:ln>
      </c:spPr>
    </c:title>
    <c:plotArea>
      <c:layout>
        <c:manualLayout>
          <c:xMode val="edge"/>
          <c:yMode val="edge"/>
          <c:x val="0.0445"/>
          <c:y val="0.221"/>
          <c:w val="0.7655"/>
          <c:h val="0.64525"/>
        </c:manualLayout>
      </c:layout>
      <c:scatterChart>
        <c:scatterStyle val="smooth"/>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Withdrawal!$B$15:$B$60</c:f>
              <c:numCache/>
            </c:numRef>
          </c:xVal>
          <c:yVal>
            <c:numRef>
              <c:f>Withdrawal!$E$15:$E$60</c:f>
              <c:numCache/>
            </c:numRef>
          </c:yVal>
          <c:smooth val="1"/>
        </c:ser>
        <c:axId val="50124581"/>
        <c:axId val="48468046"/>
      </c:scatterChart>
      <c:valAx>
        <c:axId val="50124581"/>
        <c:scaling>
          <c:orientation val="minMax"/>
          <c:max val="65"/>
          <c:min val="20"/>
        </c:scaling>
        <c:axPos val="b"/>
        <c:title>
          <c:tx>
            <c:rich>
              <a:bodyPr vert="horz" rot="0" anchor="ctr"/>
              <a:lstStyle/>
              <a:p>
                <a:pPr algn="ctr">
                  <a:defRPr/>
                </a:pPr>
                <a:r>
                  <a:rPr lang="en-US" cap="none" sz="1000" b="1" i="0" u="none" baseline="0">
                    <a:solidFill>
                      <a:srgbClr val="000000"/>
                    </a:solidFill>
                    <a:latin typeface="Arial"/>
                    <a:ea typeface="Arial"/>
                    <a:cs typeface="Arial"/>
                  </a:rPr>
                  <a:t>Age</a:t>
                </a:r>
              </a:p>
            </c:rich>
          </c:tx>
          <c:layout>
            <c:manualLayout>
              <c:xMode val="factor"/>
              <c:yMode val="factor"/>
              <c:x val="0"/>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8468046"/>
        <c:crossesAt val="0"/>
        <c:crossBetween val="midCat"/>
        <c:dispUnits/>
      </c:valAx>
      <c:valAx>
        <c:axId val="48468046"/>
        <c:scaling>
          <c:orientation val="minMax"/>
          <c:max val="0.12"/>
        </c:scaling>
        <c:axPos val="l"/>
        <c:title>
          <c:tx>
            <c:rich>
              <a:bodyPr vert="horz" rot="-5400000" anchor="ctr"/>
              <a:lstStyle/>
              <a:p>
                <a:pPr algn="ctr">
                  <a:defRPr/>
                </a:pPr>
                <a:r>
                  <a:rPr lang="en-US" cap="none" sz="1000" b="1" i="0" u="none" baseline="0">
                    <a:solidFill>
                      <a:srgbClr val="000000"/>
                    </a:solidFill>
                    <a:latin typeface="Arial"/>
                    <a:ea typeface="Arial"/>
                    <a:cs typeface="Arial"/>
                  </a:rPr>
                  <a:t>Attrition rate</a:t>
                </a:r>
              </a:p>
            </c:rich>
          </c:tx>
          <c:layout>
            <c:manualLayout>
              <c:xMode val="factor"/>
              <c:yMode val="factor"/>
              <c:x val="-0.0015"/>
              <c:y val="-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124581"/>
        <c:crossesAt val="0"/>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New Job Attrition Rate by Age (Weibull Distribution)</a:t>
            </a:r>
          </a:p>
        </c:rich>
      </c:tx>
      <c:layout>
        <c:manualLayout>
          <c:xMode val="factor"/>
          <c:yMode val="factor"/>
          <c:x val="-0.02225"/>
          <c:y val="0.01025"/>
        </c:manualLayout>
      </c:layout>
      <c:spPr>
        <a:noFill/>
        <a:ln>
          <a:noFill/>
        </a:ln>
      </c:spPr>
    </c:title>
    <c:plotArea>
      <c:layout>
        <c:manualLayout>
          <c:xMode val="edge"/>
          <c:yMode val="edge"/>
          <c:x val="0.0445"/>
          <c:y val="0.2215"/>
          <c:w val="0.7655"/>
          <c:h val="0.646"/>
        </c:manualLayout>
      </c:layout>
      <c:scatterChart>
        <c:scatterStyle val="smooth"/>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Withdrawal!$B$83:$B$128</c:f>
              <c:numCache/>
            </c:numRef>
          </c:xVal>
          <c:yVal>
            <c:numRef>
              <c:f>Withdrawal!$E$83:$E$128</c:f>
              <c:numCache/>
            </c:numRef>
          </c:yVal>
          <c:smooth val="1"/>
        </c:ser>
        <c:axId val="33559231"/>
        <c:axId val="33597624"/>
      </c:scatterChart>
      <c:valAx>
        <c:axId val="33559231"/>
        <c:scaling>
          <c:orientation val="minMax"/>
          <c:max val="65"/>
          <c:min val="20"/>
        </c:scaling>
        <c:axPos val="b"/>
        <c:title>
          <c:tx>
            <c:rich>
              <a:bodyPr vert="horz" rot="0" anchor="ctr"/>
              <a:lstStyle/>
              <a:p>
                <a:pPr algn="ctr">
                  <a:defRPr/>
                </a:pPr>
                <a:r>
                  <a:rPr lang="en-US" cap="none" sz="1000" b="1" i="0" u="none" baseline="0">
                    <a:solidFill>
                      <a:srgbClr val="000000"/>
                    </a:solidFill>
                    <a:latin typeface="Arial"/>
                    <a:ea typeface="Arial"/>
                    <a:cs typeface="Arial"/>
                  </a:rPr>
                  <a:t>Age</a:t>
                </a:r>
              </a:p>
            </c:rich>
          </c:tx>
          <c:layout>
            <c:manualLayout>
              <c:xMode val="factor"/>
              <c:yMode val="factor"/>
              <c:x val="0.001"/>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3597624"/>
        <c:crossesAt val="0"/>
        <c:crossBetween val="midCat"/>
        <c:dispUnits/>
      </c:valAx>
      <c:valAx>
        <c:axId val="33597624"/>
        <c:scaling>
          <c:orientation val="minMax"/>
          <c:max val="0.12"/>
        </c:scaling>
        <c:axPos val="l"/>
        <c:title>
          <c:tx>
            <c:rich>
              <a:bodyPr vert="horz" rot="-5400000" anchor="ctr"/>
              <a:lstStyle/>
              <a:p>
                <a:pPr algn="ctr">
                  <a:defRPr/>
                </a:pPr>
                <a:r>
                  <a:rPr lang="en-US" cap="none" sz="1000" b="1" i="0" u="none" baseline="0">
                    <a:solidFill>
                      <a:srgbClr val="000000"/>
                    </a:solidFill>
                    <a:latin typeface="Arial"/>
                    <a:ea typeface="Arial"/>
                    <a:cs typeface="Arial"/>
                  </a:rPr>
                  <a:t>Attrition rate</a:t>
                </a:r>
              </a:p>
            </c:rich>
          </c:tx>
          <c:layout>
            <c:manualLayout>
              <c:xMode val="factor"/>
              <c:yMode val="factor"/>
              <c:x val="-0.0015"/>
              <c:y val="-0.00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559231"/>
        <c:crossesAt val="0"/>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18</xdr:row>
      <xdr:rowOff>76200</xdr:rowOff>
    </xdr:from>
    <xdr:to>
      <xdr:col>5</xdr:col>
      <xdr:colOff>752475</xdr:colOff>
      <xdr:row>33</xdr:row>
      <xdr:rowOff>104775</xdr:rowOff>
    </xdr:to>
    <xdr:graphicFrame>
      <xdr:nvGraphicFramePr>
        <xdr:cNvPr id="1" name="Chart 1"/>
        <xdr:cNvGraphicFramePr/>
      </xdr:nvGraphicFramePr>
      <xdr:xfrm>
        <a:off x="342900" y="3448050"/>
        <a:ext cx="7391400" cy="30384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95250</xdr:colOff>
      <xdr:row>66</xdr:row>
      <xdr:rowOff>114300</xdr:rowOff>
    </xdr:from>
    <xdr:to>
      <xdr:col>6</xdr:col>
      <xdr:colOff>257175</xdr:colOff>
      <xdr:row>86</xdr:row>
      <xdr:rowOff>76200</xdr:rowOff>
    </xdr:to>
    <xdr:pic>
      <xdr:nvPicPr>
        <xdr:cNvPr id="2" name="Picture 95"/>
        <xdr:cNvPicPr preferRelativeResize="1">
          <a:picLocks noChangeAspect="1"/>
        </xdr:cNvPicPr>
      </xdr:nvPicPr>
      <xdr:blipFill>
        <a:blip r:embed="rId2"/>
        <a:stretch>
          <a:fillRect/>
        </a:stretch>
      </xdr:blipFill>
      <xdr:spPr>
        <a:xfrm>
          <a:off x="95250" y="12134850"/>
          <a:ext cx="8505825" cy="452437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990600</xdr:colOff>
      <xdr:row>2</xdr:row>
      <xdr:rowOff>238125</xdr:rowOff>
    </xdr:from>
    <xdr:to>
      <xdr:col>17</xdr:col>
      <xdr:colOff>76200</xdr:colOff>
      <xdr:row>23</xdr:row>
      <xdr:rowOff>47625</xdr:rowOff>
    </xdr:to>
    <xdr:graphicFrame>
      <xdr:nvGraphicFramePr>
        <xdr:cNvPr id="1" name="Chart 1"/>
        <xdr:cNvGraphicFramePr/>
      </xdr:nvGraphicFramePr>
      <xdr:xfrm>
        <a:off x="3714750" y="561975"/>
        <a:ext cx="8229600" cy="3686175"/>
      </xdr:xfrm>
      <a:graphic>
        <a:graphicData uri="http://schemas.openxmlformats.org/drawingml/2006/chart">
          <c:chart xmlns:c="http://schemas.openxmlformats.org/drawingml/2006/chart" r:id="rId1"/>
        </a:graphicData>
      </a:graphic>
    </xdr:graphicFrame>
    <xdr:clientData/>
  </xdr:twoCellAnchor>
  <xdr:twoCellAnchor>
    <xdr:from>
      <xdr:col>4</xdr:col>
      <xdr:colOff>952500</xdr:colOff>
      <xdr:row>54</xdr:row>
      <xdr:rowOff>76200</xdr:rowOff>
    </xdr:from>
    <xdr:to>
      <xdr:col>17</xdr:col>
      <xdr:colOff>38100</xdr:colOff>
      <xdr:row>76</xdr:row>
      <xdr:rowOff>0</xdr:rowOff>
    </xdr:to>
    <xdr:graphicFrame>
      <xdr:nvGraphicFramePr>
        <xdr:cNvPr id="2" name="Chart 2"/>
        <xdr:cNvGraphicFramePr/>
      </xdr:nvGraphicFramePr>
      <xdr:xfrm>
        <a:off x="3676650" y="9353550"/>
        <a:ext cx="82296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calculate-state-pension" TargetMode="External" /><Relationship Id="rId2" Type="http://schemas.openxmlformats.org/officeDocument/2006/relationships/hyperlink" Target="http://en.wikipedia.org/wiki/UK_State_Pension" TargetMode="External" /><Relationship Id="rId3" Type="http://schemas.openxmlformats.org/officeDocument/2006/relationships/hyperlink" Target="http://en.wikipedia.org/wiki/UK_State_Pension"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illiamburrows.com/charts/chart100k.aspx" TargetMode="External" /><Relationship Id="rId2" Type="http://schemas.openxmlformats.org/officeDocument/2006/relationships/hyperlink" Target="http://www.moneymadeclear.org.uk/tables/" TargetMode="External" /><Relationship Id="rId3" Type="http://schemas.openxmlformats.org/officeDocument/2006/relationships/hyperlink" Target="http://www.williamburrows.com/charts/chart100k.aspx" TargetMode="External" /><Relationship Id="rId4" Type="http://schemas.openxmlformats.org/officeDocument/2006/relationships/hyperlink" Target="http://www.theemploymentlawsolicitors.co.uk/unfairdismissalclaims.php"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dimension ref="A1:IV112"/>
  <sheetViews>
    <sheetView showGridLines="0" zoomScale="80" zoomScaleNormal="80" zoomScalePageLayoutView="0" workbookViewId="0" topLeftCell="A70">
      <selection activeCell="A1" sqref="A1:IV1"/>
    </sheetView>
  </sheetViews>
  <sheetFormatPr defaultColWidth="9.140625" defaultRowHeight="12.75"/>
  <cols>
    <col min="1" max="1" width="3.140625" style="0" customWidth="1"/>
    <col min="2" max="2" width="13.140625" style="0" customWidth="1"/>
    <col min="3" max="3" width="56.7109375" style="0" customWidth="1"/>
    <col min="4" max="4" width="10.421875" style="0" customWidth="1"/>
    <col min="5" max="5" width="21.00390625" style="0" customWidth="1"/>
    <col min="6" max="6" width="15.8515625" style="0" customWidth="1"/>
    <col min="7" max="7" width="15.57421875" style="0" customWidth="1"/>
    <col min="8" max="8" width="14.57421875" style="0" customWidth="1"/>
    <col min="13" max="13" width="11.00390625" style="0" customWidth="1"/>
    <col min="14" max="14" width="9.8515625" style="0" customWidth="1"/>
    <col min="17" max="17" width="21.421875" style="0" customWidth="1"/>
    <col min="19" max="19" width="9.8515625" style="0" customWidth="1"/>
  </cols>
  <sheetData>
    <row r="1" spans="1:256" ht="12.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17" ht="12.75">
      <c r="A2" s="4"/>
      <c r="B2" s="6"/>
      <c r="C2" s="6"/>
      <c r="D2" s="6"/>
      <c r="E2" s="4"/>
      <c r="F2" s="4"/>
      <c r="G2" s="4"/>
      <c r="H2" s="4"/>
      <c r="I2" s="4"/>
      <c r="J2" s="4"/>
      <c r="K2" s="4"/>
      <c r="L2" s="4"/>
      <c r="M2" s="4"/>
      <c r="N2" s="4"/>
      <c r="O2" s="4"/>
      <c r="P2" s="4"/>
      <c r="Q2" s="4"/>
    </row>
    <row r="3" spans="1:17" ht="25.5">
      <c r="A3" s="4"/>
      <c r="B3" s="461" t="s">
        <v>1</v>
      </c>
      <c r="C3" s="461"/>
      <c r="D3" s="461"/>
      <c r="E3" s="461"/>
      <c r="F3" s="461"/>
      <c r="G3" s="461"/>
      <c r="H3" s="461"/>
      <c r="I3" s="461"/>
      <c r="J3" s="461"/>
      <c r="K3" s="461"/>
      <c r="L3" s="461"/>
      <c r="M3" s="461"/>
      <c r="N3" s="461"/>
      <c r="O3" s="461"/>
      <c r="P3" s="461"/>
      <c r="Q3" s="461"/>
    </row>
    <row r="4" spans="1:17" ht="12.75">
      <c r="A4" s="4"/>
      <c r="B4" s="4"/>
      <c r="C4" s="4"/>
      <c r="D4" s="4"/>
      <c r="E4" s="4"/>
      <c r="F4" s="4"/>
      <c r="G4" s="5"/>
      <c r="H4" s="4"/>
      <c r="I4" s="4"/>
      <c r="J4" s="4"/>
      <c r="K4" s="4"/>
      <c r="L4" s="4"/>
      <c r="M4" s="4"/>
      <c r="N4" s="4"/>
      <c r="O4" s="4"/>
      <c r="P4" s="4"/>
      <c r="Q4" s="4"/>
    </row>
    <row r="5" spans="1:17" ht="12.75">
      <c r="A5" s="4"/>
      <c r="B5" s="4"/>
      <c r="C5" s="4"/>
      <c r="D5" s="4"/>
      <c r="E5" s="4"/>
      <c r="F5" s="4"/>
      <c r="G5" s="5"/>
      <c r="H5" s="4"/>
      <c r="I5" s="4"/>
      <c r="J5" s="4"/>
      <c r="K5" s="4"/>
      <c r="L5" s="4"/>
      <c r="M5" s="4"/>
      <c r="N5" s="4"/>
      <c r="O5" s="4"/>
      <c r="P5" s="4"/>
      <c r="Q5" s="4"/>
    </row>
    <row r="6" spans="1:17" ht="20.25">
      <c r="A6" s="4"/>
      <c r="B6" s="462" t="s">
        <v>2</v>
      </c>
      <c r="C6" s="462"/>
      <c r="D6" s="462"/>
      <c r="E6" s="462"/>
      <c r="F6" s="462"/>
      <c r="G6" s="462"/>
      <c r="H6" s="462"/>
      <c r="I6" s="462"/>
      <c r="J6" s="462"/>
      <c r="K6" s="462"/>
      <c r="L6" s="462"/>
      <c r="M6" s="462"/>
      <c r="N6" s="462"/>
      <c r="O6" s="462"/>
      <c r="P6" s="462"/>
      <c r="Q6" s="462"/>
    </row>
    <row r="7" spans="1:17" ht="12.75">
      <c r="A7" s="4"/>
      <c r="B7" s="7" t="s">
        <v>3</v>
      </c>
      <c r="C7" s="8"/>
      <c r="D7" s="9" t="s">
        <v>4</v>
      </c>
      <c r="E7" s="10" t="s">
        <v>5</v>
      </c>
      <c r="F7" s="463" t="s">
        <v>6</v>
      </c>
      <c r="G7" s="463"/>
      <c r="H7" s="463"/>
      <c r="I7" s="463"/>
      <c r="J7" s="463"/>
      <c r="K7" s="463"/>
      <c r="L7" s="463"/>
      <c r="M7" s="463"/>
      <c r="N7" s="463"/>
      <c r="O7" s="463"/>
      <c r="P7" s="463"/>
      <c r="Q7" s="463"/>
    </row>
    <row r="8" spans="1:17" ht="15" customHeight="1">
      <c r="A8" s="4"/>
      <c r="B8" s="11"/>
      <c r="C8" s="12" t="s">
        <v>7</v>
      </c>
      <c r="D8" s="464" t="s">
        <v>8</v>
      </c>
      <c r="E8" s="464"/>
      <c r="F8" s="464"/>
      <c r="G8" s="465"/>
      <c r="H8" s="465"/>
      <c r="I8" s="465"/>
      <c r="J8" s="465"/>
      <c r="K8" s="465"/>
      <c r="L8" s="465"/>
      <c r="M8" s="465"/>
      <c r="N8" s="465"/>
      <c r="O8" s="465"/>
      <c r="P8" s="465"/>
      <c r="Q8" s="465"/>
    </row>
    <row r="9" spans="1:17" ht="12.75">
      <c r="A9" s="4"/>
      <c r="B9" s="13"/>
      <c r="C9" s="14" t="s">
        <v>9</v>
      </c>
      <c r="D9" s="15" t="s">
        <v>10</v>
      </c>
      <c r="E9" s="384">
        <v>21081</v>
      </c>
      <c r="F9" s="466" t="s">
        <v>11</v>
      </c>
      <c r="G9" s="466"/>
      <c r="H9" s="466"/>
      <c r="I9" s="466"/>
      <c r="J9" s="466"/>
      <c r="K9" s="466"/>
      <c r="L9" s="466"/>
      <c r="M9" s="466"/>
      <c r="N9" s="466"/>
      <c r="O9" s="466"/>
      <c r="P9" s="466"/>
      <c r="Q9" s="466"/>
    </row>
    <row r="10" spans="1:17" ht="12.75" customHeight="1">
      <c r="A10" s="4"/>
      <c r="B10" s="13"/>
      <c r="C10" s="14" t="s">
        <v>375</v>
      </c>
      <c r="D10" s="15" t="str">
        <f>getnextref(D9)</f>
        <v>ab</v>
      </c>
      <c r="E10" s="385">
        <v>30878</v>
      </c>
      <c r="F10" s="467" t="s">
        <v>376</v>
      </c>
      <c r="G10" s="468"/>
      <c r="H10" s="468"/>
      <c r="I10" s="468"/>
      <c r="J10" s="468"/>
      <c r="K10" s="468"/>
      <c r="L10" s="468"/>
      <c r="M10" s="468"/>
      <c r="N10" s="468"/>
      <c r="O10" s="468"/>
      <c r="P10" s="468"/>
      <c r="Q10" s="468"/>
    </row>
    <row r="11" spans="1:17" ht="12.75" customHeight="1">
      <c r="A11" s="4"/>
      <c r="B11" s="17"/>
      <c r="C11" s="18" t="s">
        <v>12</v>
      </c>
      <c r="D11" s="19" t="str">
        <f>getnextref(D10)</f>
        <v>ac</v>
      </c>
      <c r="E11" s="386">
        <v>40243</v>
      </c>
      <c r="F11" s="469" t="s">
        <v>377</v>
      </c>
      <c r="G11" s="470"/>
      <c r="H11" s="470"/>
      <c r="I11" s="470"/>
      <c r="J11" s="470"/>
      <c r="K11" s="470"/>
      <c r="L11" s="470"/>
      <c r="M11" s="470"/>
      <c r="N11" s="470"/>
      <c r="O11" s="470"/>
      <c r="P11" s="470"/>
      <c r="Q11" s="470"/>
    </row>
    <row r="12" spans="1:17" ht="68.25" customHeight="1">
      <c r="A12" s="4"/>
      <c r="B12" s="17"/>
      <c r="C12" s="18" t="s">
        <v>13</v>
      </c>
      <c r="D12" s="19" t="str">
        <f>getnextref(D11)</f>
        <v>ad</v>
      </c>
      <c r="E12" s="386">
        <v>44110</v>
      </c>
      <c r="F12" s="470" t="s">
        <v>378</v>
      </c>
      <c r="G12" s="470"/>
      <c r="H12" s="470"/>
      <c r="I12" s="470"/>
      <c r="J12" s="470"/>
      <c r="K12" s="470"/>
      <c r="L12" s="470"/>
      <c r="M12" s="470"/>
      <c r="N12" s="470"/>
      <c r="O12" s="470"/>
      <c r="P12" s="470"/>
      <c r="Q12" s="470"/>
    </row>
    <row r="13" spans="1:17" ht="12.75" customHeight="1">
      <c r="A13" s="4"/>
      <c r="B13" s="11"/>
      <c r="C13" s="14" t="s">
        <v>14</v>
      </c>
      <c r="D13" s="15" t="str">
        <f>getnextref(D12)</f>
        <v>ae</v>
      </c>
      <c r="E13" s="387" t="s">
        <v>15</v>
      </c>
      <c r="F13" s="471" t="s">
        <v>11</v>
      </c>
      <c r="G13" s="471"/>
      <c r="H13" s="471"/>
      <c r="I13" s="471"/>
      <c r="J13" s="471"/>
      <c r="K13" s="471"/>
      <c r="L13" s="471"/>
      <c r="M13" s="471"/>
      <c r="N13" s="471"/>
      <c r="O13" s="471"/>
      <c r="P13" s="471"/>
      <c r="Q13" s="471"/>
    </row>
    <row r="14" spans="1:17" ht="12.75">
      <c r="A14" s="4"/>
      <c r="B14" s="21"/>
      <c r="C14" s="22"/>
      <c r="D14" s="22"/>
      <c r="E14" s="22"/>
      <c r="F14" s="23"/>
      <c r="G14" s="22"/>
      <c r="H14" s="24"/>
      <c r="I14" s="24"/>
      <c r="J14" s="24"/>
      <c r="K14" s="24"/>
      <c r="L14" s="24"/>
      <c r="M14" s="24"/>
      <c r="N14" s="24"/>
      <c r="O14" s="24"/>
      <c r="P14" s="24"/>
      <c r="Q14" s="25"/>
    </row>
    <row r="15" spans="1:17" ht="12.75">
      <c r="A15" s="4"/>
      <c r="B15" s="26"/>
      <c r="C15" s="26"/>
      <c r="D15" s="26"/>
      <c r="E15" s="26"/>
      <c r="F15" s="27"/>
      <c r="G15" s="26"/>
      <c r="H15" s="28"/>
      <c r="I15" s="28"/>
      <c r="J15" s="28"/>
      <c r="K15" s="28"/>
      <c r="L15" s="28"/>
      <c r="M15" s="28"/>
      <c r="N15" s="28"/>
      <c r="O15" s="28"/>
      <c r="P15" s="28"/>
      <c r="Q15" s="28"/>
    </row>
    <row r="16" spans="1:17" ht="12.75">
      <c r="A16" s="29"/>
      <c r="B16" s="26"/>
      <c r="C16" s="26"/>
      <c r="D16" s="26"/>
      <c r="E16" s="26"/>
      <c r="F16" s="27"/>
      <c r="G16" s="26"/>
      <c r="H16" s="28"/>
      <c r="I16" s="28"/>
      <c r="J16" s="28"/>
      <c r="K16" s="28"/>
      <c r="L16" s="28"/>
      <c r="M16" s="28"/>
      <c r="N16" s="28"/>
      <c r="O16" s="28"/>
      <c r="P16" s="28"/>
      <c r="Q16" s="28"/>
    </row>
    <row r="17" spans="1:17" ht="20.25">
      <c r="A17" s="4"/>
      <c r="B17" s="462" t="s">
        <v>379</v>
      </c>
      <c r="C17" s="462"/>
      <c r="D17" s="462"/>
      <c r="E17" s="462"/>
      <c r="F17" s="462"/>
      <c r="G17" s="462"/>
      <c r="H17" s="462"/>
      <c r="I17" s="462"/>
      <c r="J17" s="462"/>
      <c r="K17" s="462"/>
      <c r="L17" s="462"/>
      <c r="M17" s="462"/>
      <c r="N17" s="462"/>
      <c r="O17" s="462"/>
      <c r="P17" s="462"/>
      <c r="Q17" s="462"/>
    </row>
    <row r="18" spans="1:17" ht="12.75" customHeight="1">
      <c r="A18" s="4"/>
      <c r="B18" s="7" t="s">
        <v>380</v>
      </c>
      <c r="C18" s="30"/>
      <c r="D18" s="31" t="s">
        <v>4</v>
      </c>
      <c r="E18" s="10" t="s">
        <v>5</v>
      </c>
      <c r="F18" s="463" t="s">
        <v>6</v>
      </c>
      <c r="G18" s="463"/>
      <c r="H18" s="463"/>
      <c r="I18" s="463"/>
      <c r="J18" s="463"/>
      <c r="K18" s="463"/>
      <c r="L18" s="463"/>
      <c r="M18" s="463"/>
      <c r="N18" s="463"/>
      <c r="O18" s="463"/>
      <c r="P18" s="463"/>
      <c r="Q18" s="463"/>
    </row>
    <row r="19" spans="1:17" ht="14.25" customHeight="1">
      <c r="A19" s="4"/>
      <c r="B19" s="11"/>
      <c r="C19" s="14" t="s">
        <v>381</v>
      </c>
      <c r="D19" s="15" t="s">
        <v>16</v>
      </c>
      <c r="E19" s="389">
        <v>54058.32</v>
      </c>
      <c r="F19" s="471" t="s">
        <v>17</v>
      </c>
      <c r="G19" s="471"/>
      <c r="H19" s="471"/>
      <c r="I19" s="471"/>
      <c r="J19" s="471"/>
      <c r="K19" s="471"/>
      <c r="L19" s="471"/>
      <c r="M19" s="471"/>
      <c r="N19" s="471"/>
      <c r="O19" s="471"/>
      <c r="P19" s="471"/>
      <c r="Q19" s="471"/>
    </row>
    <row r="20" spans="1:17" ht="39" customHeight="1">
      <c r="A20" s="4"/>
      <c r="B20" s="11"/>
      <c r="C20" s="32" t="s">
        <v>382</v>
      </c>
      <c r="D20" s="15" t="str">
        <f aca="true" t="shared" si="0" ref="D20:D27">GETNEXTREF(D19)</f>
        <v>bb</v>
      </c>
      <c r="E20" s="389">
        <v>6145</v>
      </c>
      <c r="F20" s="472" t="s">
        <v>383</v>
      </c>
      <c r="G20" s="472"/>
      <c r="H20" s="472"/>
      <c r="I20" s="472"/>
      <c r="J20" s="472"/>
      <c r="K20" s="472"/>
      <c r="L20" s="472"/>
      <c r="M20" s="472"/>
      <c r="N20" s="472"/>
      <c r="O20" s="472"/>
      <c r="P20" s="472"/>
      <c r="Q20" s="472"/>
    </row>
    <row r="21" spans="1:17" ht="12.75" customHeight="1">
      <c r="A21" s="4"/>
      <c r="B21" s="11"/>
      <c r="C21" s="32" t="s">
        <v>384</v>
      </c>
      <c r="D21" s="15" t="str">
        <f t="shared" si="0"/>
        <v>bc</v>
      </c>
      <c r="E21" s="389">
        <v>0</v>
      </c>
      <c r="F21" s="471" t="s">
        <v>18</v>
      </c>
      <c r="G21" s="471"/>
      <c r="H21" s="471"/>
      <c r="I21" s="471"/>
      <c r="J21" s="471"/>
      <c r="K21" s="471"/>
      <c r="L21" s="471"/>
      <c r="M21" s="471"/>
      <c r="N21" s="471"/>
      <c r="O21" s="471"/>
      <c r="P21" s="471"/>
      <c r="Q21" s="471"/>
    </row>
    <row r="22" spans="1:17" ht="12.75" customHeight="1">
      <c r="A22" s="4"/>
      <c r="B22" s="11"/>
      <c r="C22" s="14" t="s">
        <v>385</v>
      </c>
      <c r="D22" s="15" t="str">
        <f t="shared" si="0"/>
        <v>bd</v>
      </c>
      <c r="E22" s="389">
        <v>1850</v>
      </c>
      <c r="F22" s="468" t="s">
        <v>386</v>
      </c>
      <c r="G22" s="468"/>
      <c r="H22" s="468"/>
      <c r="I22" s="468"/>
      <c r="J22" s="468"/>
      <c r="K22" s="468"/>
      <c r="L22" s="468"/>
      <c r="M22" s="468"/>
      <c r="N22" s="468"/>
      <c r="O22" s="468"/>
      <c r="P22" s="468"/>
      <c r="Q22" s="468"/>
    </row>
    <row r="23" spans="1:17" ht="12.75" customHeight="1">
      <c r="A23" s="4"/>
      <c r="B23" s="11"/>
      <c r="C23" s="14" t="s">
        <v>387</v>
      </c>
      <c r="D23" s="15" t="str">
        <f t="shared" si="0"/>
        <v>be</v>
      </c>
      <c r="E23" s="389">
        <v>0</v>
      </c>
      <c r="F23" s="468" t="s">
        <v>19</v>
      </c>
      <c r="G23" s="468"/>
      <c r="H23" s="468"/>
      <c r="I23" s="468"/>
      <c r="J23" s="468"/>
      <c r="K23" s="468"/>
      <c r="L23" s="468"/>
      <c r="M23" s="468"/>
      <c r="N23" s="468"/>
      <c r="O23" s="468"/>
      <c r="P23" s="468"/>
      <c r="Q23" s="468"/>
    </row>
    <row r="24" spans="1:17" ht="53.25" customHeight="1">
      <c r="A24" s="4"/>
      <c r="B24" s="11"/>
      <c r="C24" s="14" t="s">
        <v>388</v>
      </c>
      <c r="D24" s="15" t="str">
        <f t="shared" si="0"/>
        <v>bf</v>
      </c>
      <c r="E24" s="389">
        <f>66*12</f>
        <v>792</v>
      </c>
      <c r="F24" s="473" t="s">
        <v>389</v>
      </c>
      <c r="G24" s="473"/>
      <c r="H24" s="473"/>
      <c r="I24" s="473"/>
      <c r="J24" s="473"/>
      <c r="K24" s="473"/>
      <c r="L24" s="473"/>
      <c r="M24" s="473"/>
      <c r="N24" s="473"/>
      <c r="O24" s="473"/>
      <c r="P24" s="473"/>
      <c r="Q24" s="473"/>
    </row>
    <row r="25" spans="1:17" ht="27" customHeight="1">
      <c r="A25" s="4"/>
      <c r="B25" s="11"/>
      <c r="C25" s="14" t="s">
        <v>390</v>
      </c>
      <c r="D25" s="15" t="str">
        <f t="shared" si="0"/>
        <v>bg</v>
      </c>
      <c r="E25" s="389">
        <f>12*233.78</f>
        <v>2805.36</v>
      </c>
      <c r="F25" s="473" t="s">
        <v>20</v>
      </c>
      <c r="G25" s="473"/>
      <c r="H25" s="473"/>
      <c r="I25" s="473"/>
      <c r="J25" s="473"/>
      <c r="K25" s="473"/>
      <c r="L25" s="473"/>
      <c r="M25" s="473"/>
      <c r="N25" s="473"/>
      <c r="O25" s="473"/>
      <c r="P25" s="473"/>
      <c r="Q25" s="473"/>
    </row>
    <row r="26" spans="1:17" ht="27" customHeight="1">
      <c r="A26" s="4"/>
      <c r="B26" s="33"/>
      <c r="C26" s="14" t="s">
        <v>391</v>
      </c>
      <c r="D26" s="15" t="str">
        <f t="shared" si="0"/>
        <v>bh</v>
      </c>
      <c r="E26" s="390">
        <v>0.025</v>
      </c>
      <c r="F26" s="468" t="s">
        <v>392</v>
      </c>
      <c r="G26" s="468"/>
      <c r="H26" s="468"/>
      <c r="I26" s="468"/>
      <c r="J26" s="468"/>
      <c r="K26" s="468"/>
      <c r="L26" s="468"/>
      <c r="M26" s="468"/>
      <c r="N26" s="468"/>
      <c r="O26" s="468"/>
      <c r="P26" s="468"/>
      <c r="Q26" s="468"/>
    </row>
    <row r="27" spans="1:17" ht="56.25" customHeight="1">
      <c r="A27" s="4"/>
      <c r="B27" s="11"/>
      <c r="C27" s="34" t="s">
        <v>393</v>
      </c>
      <c r="D27" s="15" t="str">
        <f t="shared" si="0"/>
        <v>bi</v>
      </c>
      <c r="E27" s="389">
        <v>0</v>
      </c>
      <c r="F27" s="471" t="s">
        <v>394</v>
      </c>
      <c r="G27" s="471"/>
      <c r="H27" s="471"/>
      <c r="I27" s="471"/>
      <c r="J27" s="471"/>
      <c r="K27" s="471"/>
      <c r="L27" s="471"/>
      <c r="M27" s="471"/>
      <c r="N27" s="471"/>
      <c r="O27" s="471"/>
      <c r="P27" s="471"/>
      <c r="Q27" s="471"/>
    </row>
    <row r="28" spans="1:17" ht="12.75">
      <c r="A28" s="4"/>
      <c r="B28" s="35"/>
      <c r="C28" s="22"/>
      <c r="D28" s="22"/>
      <c r="E28" s="22"/>
      <c r="F28" s="23"/>
      <c r="G28" s="36"/>
      <c r="H28" s="36"/>
      <c r="I28" s="36"/>
      <c r="J28" s="36"/>
      <c r="K28" s="36"/>
      <c r="L28" s="36"/>
      <c r="M28" s="36"/>
      <c r="N28" s="36"/>
      <c r="O28" s="36"/>
      <c r="P28" s="36"/>
      <c r="Q28" s="37"/>
    </row>
    <row r="29" spans="1:17" ht="12.75">
      <c r="A29" s="4"/>
      <c r="B29" s="29"/>
      <c r="C29" s="26"/>
      <c r="D29" s="26"/>
      <c r="E29" s="26"/>
      <c r="F29" s="27"/>
      <c r="G29" s="38"/>
      <c r="H29" s="38"/>
      <c r="I29" s="38"/>
      <c r="J29" s="38"/>
      <c r="K29" s="38"/>
      <c r="L29" s="38"/>
      <c r="M29" s="38"/>
      <c r="N29" s="38"/>
      <c r="O29" s="38"/>
      <c r="P29" s="38"/>
      <c r="Q29" s="38"/>
    </row>
    <row r="30" spans="1:17" ht="12.75">
      <c r="A30" s="29"/>
      <c r="B30" s="29"/>
      <c r="C30" s="26"/>
      <c r="D30" s="26"/>
      <c r="E30" s="26"/>
      <c r="F30" s="27"/>
      <c r="G30" s="38"/>
      <c r="H30" s="38"/>
      <c r="I30" s="38"/>
      <c r="J30" s="38"/>
      <c r="K30" s="38"/>
      <c r="L30" s="38"/>
      <c r="M30" s="38"/>
      <c r="N30" s="38"/>
      <c r="O30" s="38"/>
      <c r="P30" s="38"/>
      <c r="Q30" s="38"/>
    </row>
    <row r="31" spans="1:17" ht="20.25">
      <c r="A31" s="4"/>
      <c r="B31" s="462" t="s">
        <v>395</v>
      </c>
      <c r="C31" s="462"/>
      <c r="D31" s="462"/>
      <c r="E31" s="462"/>
      <c r="F31" s="462"/>
      <c r="G31" s="462"/>
      <c r="H31" s="462"/>
      <c r="I31" s="462"/>
      <c r="J31" s="462"/>
      <c r="K31" s="462"/>
      <c r="L31" s="462"/>
      <c r="M31" s="462"/>
      <c r="N31" s="462"/>
      <c r="O31" s="462"/>
      <c r="P31" s="462"/>
      <c r="Q31" s="462"/>
    </row>
    <row r="32" spans="1:17" ht="12.75">
      <c r="A32" s="4"/>
      <c r="B32" s="39" t="s">
        <v>396</v>
      </c>
      <c r="C32" s="29"/>
      <c r="D32" s="40" t="s">
        <v>4</v>
      </c>
      <c r="E32" s="41" t="s">
        <v>5</v>
      </c>
      <c r="F32" s="474" t="s">
        <v>6</v>
      </c>
      <c r="G32" s="474"/>
      <c r="H32" s="474"/>
      <c r="I32" s="474"/>
      <c r="J32" s="474"/>
      <c r="K32" s="474"/>
      <c r="L32" s="474"/>
      <c r="M32" s="474"/>
      <c r="N32" s="474"/>
      <c r="O32" s="474"/>
      <c r="P32" s="474"/>
      <c r="Q32" s="474"/>
    </row>
    <row r="33" spans="1:17" ht="12.75">
      <c r="A33" s="4"/>
      <c r="B33" s="39"/>
      <c r="C33" s="42" t="s">
        <v>397</v>
      </c>
      <c r="D33" s="15" t="s">
        <v>21</v>
      </c>
      <c r="E33" s="388" t="s">
        <v>22</v>
      </c>
      <c r="F33" s="475" t="s">
        <v>23</v>
      </c>
      <c r="G33" s="475"/>
      <c r="H33" s="475"/>
      <c r="I33" s="475"/>
      <c r="J33" s="475"/>
      <c r="K33" s="475"/>
      <c r="L33" s="475"/>
      <c r="M33" s="475"/>
      <c r="N33" s="475"/>
      <c r="O33" s="475"/>
      <c r="P33" s="475"/>
      <c r="Q33" s="475"/>
    </row>
    <row r="34" spans="1:17" ht="15.75" customHeight="1">
      <c r="A34" s="4"/>
      <c r="B34" s="43"/>
      <c r="C34" s="14" t="s">
        <v>24</v>
      </c>
      <c r="D34" s="15" t="str">
        <f aca="true" t="shared" si="1" ref="D34:D40">GETNEXTREF(D33)</f>
        <v>cb</v>
      </c>
      <c r="E34" s="391">
        <v>30900</v>
      </c>
      <c r="F34" s="476" t="s">
        <v>398</v>
      </c>
      <c r="G34" s="476"/>
      <c r="H34" s="476"/>
      <c r="I34" s="476"/>
      <c r="J34" s="476"/>
      <c r="K34" s="476"/>
      <c r="L34" s="476"/>
      <c r="M34" s="476"/>
      <c r="N34" s="476"/>
      <c r="O34" s="476"/>
      <c r="P34" s="476"/>
      <c r="Q34" s="476"/>
    </row>
    <row r="35" spans="1:17" ht="41.25" customHeight="1">
      <c r="A35" s="4"/>
      <c r="B35" s="44"/>
      <c r="C35" s="45" t="s">
        <v>399</v>
      </c>
      <c r="D35" s="19" t="str">
        <f t="shared" si="1"/>
        <v>cc</v>
      </c>
      <c r="E35" s="389">
        <v>34464</v>
      </c>
      <c r="F35" s="470" t="s">
        <v>400</v>
      </c>
      <c r="G35" s="470"/>
      <c r="H35" s="470"/>
      <c r="I35" s="470"/>
      <c r="J35" s="470"/>
      <c r="K35" s="470"/>
      <c r="L35" s="470"/>
      <c r="M35" s="470"/>
      <c r="N35" s="470"/>
      <c r="O35" s="470"/>
      <c r="P35" s="470"/>
      <c r="Q35" s="470"/>
    </row>
    <row r="36" spans="1:17" ht="27" customHeight="1">
      <c r="A36" s="4"/>
      <c r="B36" s="39"/>
      <c r="C36" s="14" t="s">
        <v>401</v>
      </c>
      <c r="D36" s="19" t="str">
        <f t="shared" si="1"/>
        <v>cd</v>
      </c>
      <c r="E36" s="389">
        <v>19902.36</v>
      </c>
      <c r="F36" s="470" t="s">
        <v>402</v>
      </c>
      <c r="G36" s="470"/>
      <c r="H36" s="470"/>
      <c r="I36" s="470"/>
      <c r="J36" s="470"/>
      <c r="K36" s="470"/>
      <c r="L36" s="470"/>
      <c r="M36" s="470"/>
      <c r="N36" s="470"/>
      <c r="O36" s="470"/>
      <c r="P36" s="470"/>
      <c r="Q36" s="470"/>
    </row>
    <row r="37" spans="1:17" ht="54" customHeight="1">
      <c r="A37" s="4"/>
      <c r="B37" s="39"/>
      <c r="C37" s="14" t="s">
        <v>403</v>
      </c>
      <c r="D37" s="19" t="str">
        <f t="shared" si="1"/>
        <v>ce</v>
      </c>
      <c r="E37" s="389">
        <f>E36*3/4</f>
        <v>14926.77</v>
      </c>
      <c r="F37" s="470" t="s">
        <v>404</v>
      </c>
      <c r="G37" s="470"/>
      <c r="H37" s="470"/>
      <c r="I37" s="470"/>
      <c r="J37" s="470"/>
      <c r="K37" s="470"/>
      <c r="L37" s="470"/>
      <c r="M37" s="470"/>
      <c r="N37" s="470"/>
      <c r="O37" s="470"/>
      <c r="P37" s="470"/>
      <c r="Q37" s="470"/>
    </row>
    <row r="38" spans="1:17" ht="14.25" customHeight="1">
      <c r="A38" s="4"/>
      <c r="B38" s="11"/>
      <c r="C38" s="14" t="s">
        <v>405</v>
      </c>
      <c r="D38" s="15" t="str">
        <f t="shared" si="1"/>
        <v>cf</v>
      </c>
      <c r="E38" s="392" t="s">
        <v>25</v>
      </c>
      <c r="F38" s="471" t="s">
        <v>406</v>
      </c>
      <c r="G38" s="471"/>
      <c r="H38" s="471"/>
      <c r="I38" s="471"/>
      <c r="J38" s="471"/>
      <c r="K38" s="471"/>
      <c r="L38" s="471"/>
      <c r="M38" s="471"/>
      <c r="N38" s="471"/>
      <c r="O38" s="471"/>
      <c r="P38" s="471"/>
      <c r="Q38" s="471"/>
    </row>
    <row r="39" spans="1:17" ht="28.5" customHeight="1">
      <c r="A39" s="4"/>
      <c r="B39" s="11"/>
      <c r="C39" s="14" t="s">
        <v>407</v>
      </c>
      <c r="D39" s="15" t="str">
        <f t="shared" si="1"/>
        <v>cg</v>
      </c>
      <c r="E39" s="453">
        <f>IF(E33="Enh M plan",1,2/3)</f>
        <v>0.6666666666666666</v>
      </c>
      <c r="F39" s="477" t="s">
        <v>408</v>
      </c>
      <c r="G39" s="471"/>
      <c r="H39" s="471"/>
      <c r="I39" s="471"/>
      <c r="J39" s="471"/>
      <c r="K39" s="471"/>
      <c r="L39" s="471"/>
      <c r="M39" s="471"/>
      <c r="N39" s="471"/>
      <c r="O39" s="471"/>
      <c r="P39" s="471"/>
      <c r="Q39" s="471"/>
    </row>
    <row r="40" spans="1:17" ht="28.5" customHeight="1">
      <c r="A40" s="4"/>
      <c r="B40" s="11"/>
      <c r="C40" s="452" t="s">
        <v>409</v>
      </c>
      <c r="D40" s="15" t="str">
        <f t="shared" si="1"/>
        <v>ch</v>
      </c>
      <c r="E40" s="393">
        <v>0.025</v>
      </c>
      <c r="F40" s="477" t="s">
        <v>410</v>
      </c>
      <c r="G40" s="471"/>
      <c r="H40" s="471"/>
      <c r="I40" s="471"/>
      <c r="J40" s="471"/>
      <c r="K40" s="471"/>
      <c r="L40" s="471"/>
      <c r="M40" s="471"/>
      <c r="N40" s="471"/>
      <c r="O40" s="471"/>
      <c r="P40" s="471"/>
      <c r="Q40" s="471"/>
    </row>
    <row r="41" spans="1:17" ht="12.75">
      <c r="A41" s="4"/>
      <c r="B41" s="46"/>
      <c r="C41" s="47"/>
      <c r="D41" s="47"/>
      <c r="E41" s="47"/>
      <c r="F41" s="48"/>
      <c r="G41" s="47"/>
      <c r="H41" s="47"/>
      <c r="I41" s="47"/>
      <c r="J41" s="47"/>
      <c r="K41" s="47"/>
      <c r="L41" s="47"/>
      <c r="M41" s="47"/>
      <c r="N41" s="47"/>
      <c r="O41" s="47"/>
      <c r="P41" s="47"/>
      <c r="Q41" s="49"/>
    </row>
    <row r="42" spans="1:17" ht="12.75">
      <c r="A42" s="29"/>
      <c r="B42" s="29"/>
      <c r="C42" s="50"/>
      <c r="D42" s="50"/>
      <c r="E42" s="50"/>
      <c r="F42" s="51"/>
      <c r="G42" s="50"/>
      <c r="H42" s="50"/>
      <c r="I42" s="50"/>
      <c r="J42" s="50"/>
      <c r="K42" s="50"/>
      <c r="L42" s="50"/>
      <c r="M42" s="50"/>
      <c r="N42" s="50"/>
      <c r="O42" s="50"/>
      <c r="P42" s="50"/>
      <c r="Q42" s="50"/>
    </row>
    <row r="43" spans="1:17" ht="12.75">
      <c r="A43" s="29"/>
      <c r="B43" s="29"/>
      <c r="C43" s="50"/>
      <c r="D43" s="50"/>
      <c r="E43" s="50"/>
      <c r="F43" s="51"/>
      <c r="G43" s="50"/>
      <c r="H43" s="50"/>
      <c r="I43" s="50"/>
      <c r="J43" s="50"/>
      <c r="K43" s="50"/>
      <c r="L43" s="50"/>
      <c r="M43" s="50"/>
      <c r="N43" s="50"/>
      <c r="O43" s="50"/>
      <c r="P43" s="50"/>
      <c r="Q43" s="50"/>
    </row>
    <row r="44" spans="1:17" ht="20.25">
      <c r="A44" s="4"/>
      <c r="B44" s="462" t="s">
        <v>411</v>
      </c>
      <c r="C44" s="462"/>
      <c r="D44" s="462"/>
      <c r="E44" s="462"/>
      <c r="F44" s="462"/>
      <c r="G44" s="462"/>
      <c r="H44" s="462"/>
      <c r="I44" s="462"/>
      <c r="J44" s="462"/>
      <c r="K44" s="462"/>
      <c r="L44" s="462"/>
      <c r="M44" s="462"/>
      <c r="N44" s="462"/>
      <c r="O44" s="462"/>
      <c r="P44" s="462"/>
      <c r="Q44" s="462"/>
    </row>
    <row r="45" spans="1:17" ht="12.75">
      <c r="A45" s="4"/>
      <c r="B45" s="7" t="s">
        <v>412</v>
      </c>
      <c r="C45" s="8"/>
      <c r="D45" s="31" t="s">
        <v>4</v>
      </c>
      <c r="E45" s="10" t="s">
        <v>5</v>
      </c>
      <c r="F45" s="463" t="s">
        <v>6</v>
      </c>
      <c r="G45" s="463"/>
      <c r="H45" s="463"/>
      <c r="I45" s="463"/>
      <c r="J45" s="463"/>
      <c r="K45" s="463"/>
      <c r="L45" s="463"/>
      <c r="M45" s="463"/>
      <c r="N45" s="463"/>
      <c r="O45" s="463"/>
      <c r="P45" s="463"/>
      <c r="Q45" s="463"/>
    </row>
    <row r="46" spans="1:17" ht="15" customHeight="1">
      <c r="A46" s="4"/>
      <c r="B46" s="39"/>
      <c r="C46" s="14" t="s">
        <v>26</v>
      </c>
      <c r="D46" s="15" t="s">
        <v>27</v>
      </c>
      <c r="E46" s="389">
        <v>100</v>
      </c>
      <c r="F46" s="468" t="s">
        <v>413</v>
      </c>
      <c r="G46" s="468"/>
      <c r="H46" s="468"/>
      <c r="I46" s="468"/>
      <c r="J46" s="468"/>
      <c r="K46" s="468"/>
      <c r="L46" s="468"/>
      <c r="M46" s="468"/>
      <c r="N46" s="468"/>
      <c r="O46" s="468"/>
      <c r="P46" s="468"/>
      <c r="Q46" s="468"/>
    </row>
    <row r="47" spans="1:17" ht="40.5" customHeight="1">
      <c r="A47" s="4"/>
      <c r="B47" s="17"/>
      <c r="C47" s="45" t="s">
        <v>28</v>
      </c>
      <c r="D47" s="15" t="str">
        <f aca="true" t="shared" si="2" ref="D47:D60">GETNEXTREF(D46)</f>
        <v>db</v>
      </c>
      <c r="E47" s="386">
        <v>40274</v>
      </c>
      <c r="F47" s="468" t="s">
        <v>29</v>
      </c>
      <c r="G47" s="468"/>
      <c r="H47" s="468"/>
      <c r="I47" s="468"/>
      <c r="J47" s="468"/>
      <c r="K47" s="468"/>
      <c r="L47" s="468"/>
      <c r="M47" s="468"/>
      <c r="N47" s="468"/>
      <c r="O47" s="468"/>
      <c r="P47" s="468"/>
      <c r="Q47" s="468"/>
    </row>
    <row r="48" spans="1:17" ht="30.75" customHeight="1">
      <c r="A48" s="4"/>
      <c r="B48" s="52"/>
      <c r="C48" s="53" t="s">
        <v>30</v>
      </c>
      <c r="D48" s="15" t="str">
        <f t="shared" si="2"/>
        <v>dc</v>
      </c>
      <c r="E48" s="390">
        <v>0.6</v>
      </c>
      <c r="F48" s="468" t="s">
        <v>31</v>
      </c>
      <c r="G48" s="468"/>
      <c r="H48" s="468"/>
      <c r="I48" s="468"/>
      <c r="J48" s="468"/>
      <c r="K48" s="468"/>
      <c r="L48" s="468"/>
      <c r="M48" s="468"/>
      <c r="N48" s="468"/>
      <c r="O48" s="468"/>
      <c r="P48" s="468"/>
      <c r="Q48" s="468"/>
    </row>
    <row r="49" spans="1:17" ht="27" customHeight="1">
      <c r="A49" s="4"/>
      <c r="B49" s="13"/>
      <c r="C49" s="53" t="s">
        <v>32</v>
      </c>
      <c r="D49" s="15" t="str">
        <f t="shared" si="2"/>
        <v>dd</v>
      </c>
      <c r="E49" s="389">
        <v>7200</v>
      </c>
      <c r="F49" s="478" t="s">
        <v>33</v>
      </c>
      <c r="G49" s="478"/>
      <c r="H49" s="478"/>
      <c r="I49" s="478"/>
      <c r="J49" s="478"/>
      <c r="K49" s="478"/>
      <c r="L49" s="478"/>
      <c r="M49" s="478"/>
      <c r="N49" s="478"/>
      <c r="O49" s="478"/>
      <c r="P49" s="478"/>
      <c r="Q49" s="478"/>
    </row>
    <row r="50" spans="1:17" ht="29.25" customHeight="1">
      <c r="A50" s="4"/>
      <c r="B50" s="11"/>
      <c r="C50" s="53" t="s">
        <v>34</v>
      </c>
      <c r="D50" s="15" t="str">
        <f t="shared" si="2"/>
        <v>de</v>
      </c>
      <c r="E50" s="389">
        <v>0</v>
      </c>
      <c r="F50" s="478" t="s">
        <v>35</v>
      </c>
      <c r="G50" s="478"/>
      <c r="H50" s="478"/>
      <c r="I50" s="478"/>
      <c r="J50" s="478"/>
      <c r="K50" s="478"/>
      <c r="L50" s="478"/>
      <c r="M50" s="478"/>
      <c r="N50" s="478"/>
      <c r="O50" s="478"/>
      <c r="P50" s="478"/>
      <c r="Q50" s="478"/>
    </row>
    <row r="51" spans="1:17" ht="27.75" customHeight="1">
      <c r="A51" s="4"/>
      <c r="B51" s="11"/>
      <c r="C51" s="53" t="s">
        <v>36</v>
      </c>
      <c r="D51" s="15" t="str">
        <f t="shared" si="2"/>
        <v>df</v>
      </c>
      <c r="E51" s="389">
        <v>0</v>
      </c>
      <c r="F51" s="478"/>
      <c r="G51" s="478"/>
      <c r="H51" s="478"/>
      <c r="I51" s="478"/>
      <c r="J51" s="478"/>
      <c r="K51" s="478"/>
      <c r="L51" s="478"/>
      <c r="M51" s="478"/>
      <c r="N51" s="478"/>
      <c r="O51" s="478"/>
      <c r="P51" s="478"/>
      <c r="Q51" s="478"/>
    </row>
    <row r="52" spans="1:17" ht="15.75" customHeight="1">
      <c r="A52" s="4"/>
      <c r="B52" s="11"/>
      <c r="C52" s="53" t="s">
        <v>37</v>
      </c>
      <c r="D52" s="15" t="str">
        <f t="shared" si="2"/>
        <v>dg</v>
      </c>
      <c r="E52" s="389">
        <v>0</v>
      </c>
      <c r="F52" s="478"/>
      <c r="G52" s="478"/>
      <c r="H52" s="478"/>
      <c r="I52" s="478"/>
      <c r="J52" s="478"/>
      <c r="K52" s="478"/>
      <c r="L52" s="478"/>
      <c r="M52" s="478"/>
      <c r="N52" s="478"/>
      <c r="O52" s="478"/>
      <c r="P52" s="478"/>
      <c r="Q52" s="478"/>
    </row>
    <row r="53" spans="1:17" ht="15" customHeight="1">
      <c r="A53" s="4"/>
      <c r="B53" s="11"/>
      <c r="C53" s="53" t="s">
        <v>38</v>
      </c>
      <c r="D53" s="15" t="str">
        <f t="shared" si="2"/>
        <v>dh</v>
      </c>
      <c r="E53" s="389">
        <v>0</v>
      </c>
      <c r="F53" s="478"/>
      <c r="G53" s="478"/>
      <c r="H53" s="478"/>
      <c r="I53" s="478"/>
      <c r="J53" s="478"/>
      <c r="K53" s="478"/>
      <c r="L53" s="478"/>
      <c r="M53" s="478"/>
      <c r="N53" s="478"/>
      <c r="O53" s="478"/>
      <c r="P53" s="478"/>
      <c r="Q53" s="478"/>
    </row>
    <row r="54" spans="1:17" ht="27.75" customHeight="1">
      <c r="A54" s="4"/>
      <c r="B54" s="11"/>
      <c r="C54" s="53" t="s">
        <v>39</v>
      </c>
      <c r="D54" s="15" t="str">
        <f t="shared" si="2"/>
        <v>di</v>
      </c>
      <c r="E54" s="389">
        <v>0</v>
      </c>
      <c r="F54" s="478" t="s">
        <v>40</v>
      </c>
      <c r="G54" s="478"/>
      <c r="H54" s="478"/>
      <c r="I54" s="478"/>
      <c r="J54" s="478"/>
      <c r="K54" s="478"/>
      <c r="L54" s="478"/>
      <c r="M54" s="478"/>
      <c r="N54" s="478"/>
      <c r="O54" s="478"/>
      <c r="P54" s="478"/>
      <c r="Q54" s="478"/>
    </row>
    <row r="55" spans="1:17" ht="27" customHeight="1">
      <c r="A55" s="4"/>
      <c r="B55" s="11"/>
      <c r="C55" s="53" t="s">
        <v>41</v>
      </c>
      <c r="D55" s="15" t="str">
        <f t="shared" si="2"/>
        <v>dj</v>
      </c>
      <c r="E55" s="389">
        <v>0</v>
      </c>
      <c r="F55" s="478"/>
      <c r="G55" s="478"/>
      <c r="H55" s="478"/>
      <c r="I55" s="478"/>
      <c r="J55" s="478"/>
      <c r="K55" s="478"/>
      <c r="L55" s="478"/>
      <c r="M55" s="478"/>
      <c r="N55" s="478"/>
      <c r="O55" s="478"/>
      <c r="P55" s="478"/>
      <c r="Q55" s="478"/>
    </row>
    <row r="56" spans="1:17" ht="27.75" customHeight="1">
      <c r="A56" s="4"/>
      <c r="B56" s="11"/>
      <c r="C56" s="53" t="s">
        <v>42</v>
      </c>
      <c r="D56" s="15" t="str">
        <f t="shared" si="2"/>
        <v>dk</v>
      </c>
      <c r="E56" s="389">
        <v>0</v>
      </c>
      <c r="F56" s="471" t="s">
        <v>43</v>
      </c>
      <c r="G56" s="471"/>
      <c r="H56" s="471"/>
      <c r="I56" s="471"/>
      <c r="J56" s="471"/>
      <c r="K56" s="471"/>
      <c r="L56" s="471"/>
      <c r="M56" s="471"/>
      <c r="N56" s="471"/>
      <c r="O56" s="471"/>
      <c r="P56" s="471"/>
      <c r="Q56" s="471"/>
    </row>
    <row r="57" spans="1:17" ht="57" customHeight="1">
      <c r="A57" s="4"/>
      <c r="B57" s="11"/>
      <c r="C57" s="53" t="s">
        <v>44</v>
      </c>
      <c r="D57" s="15" t="str">
        <f t="shared" si="2"/>
        <v>dl</v>
      </c>
      <c r="E57" s="389">
        <v>28620</v>
      </c>
      <c r="F57" s="478" t="s">
        <v>45</v>
      </c>
      <c r="G57" s="478"/>
      <c r="H57" s="478"/>
      <c r="I57" s="478"/>
      <c r="J57" s="478"/>
      <c r="K57" s="478"/>
      <c r="L57" s="478"/>
      <c r="M57" s="478"/>
      <c r="N57" s="478"/>
      <c r="O57" s="478"/>
      <c r="P57" s="478"/>
      <c r="Q57" s="478"/>
    </row>
    <row r="58" spans="1:17" ht="41.25" customHeight="1">
      <c r="A58" s="4"/>
      <c r="B58" s="11"/>
      <c r="C58" s="53" t="s">
        <v>46</v>
      </c>
      <c r="D58" s="15" t="str">
        <f t="shared" si="2"/>
        <v>dm</v>
      </c>
      <c r="E58" s="389">
        <v>0</v>
      </c>
      <c r="F58" s="478"/>
      <c r="G58" s="478"/>
      <c r="H58" s="478"/>
      <c r="I58" s="478"/>
      <c r="J58" s="478"/>
      <c r="K58" s="478"/>
      <c r="L58" s="478"/>
      <c r="M58" s="478"/>
      <c r="N58" s="478"/>
      <c r="O58" s="478"/>
      <c r="P58" s="478"/>
      <c r="Q58" s="478"/>
    </row>
    <row r="59" spans="1:17" ht="14.25" customHeight="1">
      <c r="A59" s="4"/>
      <c r="B59" s="11"/>
      <c r="C59" s="14" t="s">
        <v>47</v>
      </c>
      <c r="D59" s="15" t="str">
        <f t="shared" si="2"/>
        <v>dn</v>
      </c>
      <c r="E59" s="394" t="s">
        <v>48</v>
      </c>
      <c r="F59" s="471" t="s">
        <v>49</v>
      </c>
      <c r="G59" s="471"/>
      <c r="H59" s="471"/>
      <c r="I59" s="471"/>
      <c r="J59" s="471"/>
      <c r="K59" s="471"/>
      <c r="L59" s="471"/>
      <c r="M59" s="471"/>
      <c r="N59" s="471"/>
      <c r="O59" s="471"/>
      <c r="P59" s="471"/>
      <c r="Q59" s="471"/>
    </row>
    <row r="60" spans="1:17" ht="15" customHeight="1">
      <c r="A60" s="4"/>
      <c r="B60" s="11"/>
      <c r="C60" s="14" t="s">
        <v>50</v>
      </c>
      <c r="D60" s="15" t="str">
        <f t="shared" si="2"/>
        <v>do</v>
      </c>
      <c r="E60" s="390">
        <v>0.025</v>
      </c>
      <c r="F60" s="471" t="s">
        <v>51</v>
      </c>
      <c r="G60" s="471"/>
      <c r="H60" s="471"/>
      <c r="I60" s="471"/>
      <c r="J60" s="471"/>
      <c r="K60" s="471"/>
      <c r="L60" s="471"/>
      <c r="M60" s="471"/>
      <c r="N60" s="471"/>
      <c r="O60" s="471"/>
      <c r="P60" s="471"/>
      <c r="Q60" s="471"/>
    </row>
    <row r="61" spans="1:17" ht="12.75">
      <c r="A61" s="4"/>
      <c r="B61" s="46"/>
      <c r="C61" s="22"/>
      <c r="D61" s="47"/>
      <c r="E61" s="54"/>
      <c r="F61" s="55"/>
      <c r="G61" s="47"/>
      <c r="H61" s="47"/>
      <c r="I61" s="47"/>
      <c r="J61" s="47"/>
      <c r="K61" s="47"/>
      <c r="L61" s="47"/>
      <c r="M61" s="47"/>
      <c r="N61" s="47"/>
      <c r="O61" s="47"/>
      <c r="P61" s="47"/>
      <c r="Q61" s="49"/>
    </row>
    <row r="62" spans="1:17" ht="12.75">
      <c r="A62" s="4"/>
      <c r="B62" s="29"/>
      <c r="C62" s="26"/>
      <c r="D62" s="50"/>
      <c r="E62" s="29"/>
      <c r="F62" s="56"/>
      <c r="G62" s="50"/>
      <c r="H62" s="50"/>
      <c r="I62" s="50"/>
      <c r="J62" s="50"/>
      <c r="K62" s="50"/>
      <c r="L62" s="50"/>
      <c r="M62" s="50"/>
      <c r="N62" s="50"/>
      <c r="O62" s="50"/>
      <c r="P62" s="50"/>
      <c r="Q62" s="50"/>
    </row>
    <row r="63" spans="1:17" ht="12.75">
      <c r="A63" s="4"/>
      <c r="B63" s="29"/>
      <c r="C63" s="26"/>
      <c r="D63" s="50"/>
      <c r="E63" s="29"/>
      <c r="F63" s="56"/>
      <c r="G63" s="50"/>
      <c r="H63" s="50"/>
      <c r="I63" s="50"/>
      <c r="J63" s="50"/>
      <c r="K63" s="50"/>
      <c r="L63" s="50"/>
      <c r="M63" s="50"/>
      <c r="N63" s="50"/>
      <c r="O63" s="50"/>
      <c r="P63" s="50"/>
      <c r="Q63" s="50"/>
    </row>
    <row r="64" spans="1:17" ht="20.25">
      <c r="A64" s="4"/>
      <c r="B64" s="462" t="s">
        <v>414</v>
      </c>
      <c r="C64" s="462"/>
      <c r="D64" s="462"/>
      <c r="E64" s="462"/>
      <c r="F64" s="462"/>
      <c r="G64" s="462"/>
      <c r="H64" s="462"/>
      <c r="I64" s="462"/>
      <c r="J64" s="462"/>
      <c r="K64" s="462"/>
      <c r="L64" s="462"/>
      <c r="M64" s="462"/>
      <c r="N64" s="462"/>
      <c r="O64" s="462"/>
      <c r="P64" s="462"/>
      <c r="Q64" s="462"/>
    </row>
    <row r="65" spans="1:17" ht="12.75">
      <c r="A65" s="4"/>
      <c r="B65" s="7" t="s">
        <v>415</v>
      </c>
      <c r="C65" s="8"/>
      <c r="D65" s="31" t="s">
        <v>4</v>
      </c>
      <c r="E65" s="10" t="s">
        <v>5</v>
      </c>
      <c r="F65" s="10" t="s">
        <v>52</v>
      </c>
      <c r="G65" s="10" t="s">
        <v>53</v>
      </c>
      <c r="H65" s="479" t="s">
        <v>6</v>
      </c>
      <c r="I65" s="479"/>
      <c r="J65" s="479"/>
      <c r="K65" s="479"/>
      <c r="L65" s="479"/>
      <c r="M65" s="479"/>
      <c r="N65" s="479"/>
      <c r="O65" s="479"/>
      <c r="P65" s="479"/>
      <c r="Q65" s="479"/>
    </row>
    <row r="66" spans="1:17" ht="28.5" customHeight="1">
      <c r="A66" s="4"/>
      <c r="B66" s="39"/>
      <c r="C66" s="18" t="s">
        <v>416</v>
      </c>
      <c r="D66" s="15" t="s">
        <v>54</v>
      </c>
      <c r="E66" s="395" t="s">
        <v>10</v>
      </c>
      <c r="F66" s="397"/>
      <c r="G66" s="397"/>
      <c r="H66" s="468" t="s">
        <v>417</v>
      </c>
      <c r="I66" s="468"/>
      <c r="J66" s="468"/>
      <c r="K66" s="468"/>
      <c r="L66" s="468"/>
      <c r="M66" s="468"/>
      <c r="N66" s="468"/>
      <c r="O66" s="468"/>
      <c r="P66" s="468"/>
      <c r="Q66" s="468"/>
    </row>
    <row r="67" spans="1:17" ht="29.25" customHeight="1">
      <c r="A67" s="4"/>
      <c r="B67" s="17"/>
      <c r="C67" s="53" t="str">
        <f>IF(AND(ISBLANK(E66),ISBLANK(F66),ISBLANK(G66)),"Intentionally left empty","Second employer since leaving XYZ prior to current new employer")</f>
        <v>Second employer since leaving XYZ prior to current new employer</v>
      </c>
      <c r="D67" s="15" t="str">
        <f>GETNEXTREF(D66)</f>
        <v>eb</v>
      </c>
      <c r="E67" s="395" t="s">
        <v>358</v>
      </c>
      <c r="F67" s="397"/>
      <c r="G67" s="397"/>
      <c r="H67" s="468" t="str">
        <f>IF(AND(ISBLANK(E66),ISBLANK(F66),ISBLANK(G66)),"","If you did not have a second new job prior to your current new job, leave these fields empty. Otherwise, enter the name of your second employer since leaving XYZ along with your Start and Finish dates, but only if this is not your current new job.")</f>
        <v>If you did not have a second new job prior to your current new job, leave these fields empty. Otherwise, enter the name of your second employer since leaving XYZ along with your Start and Finish dates, but only if this is not your current new job.</v>
      </c>
      <c r="I67" s="468"/>
      <c r="J67" s="468"/>
      <c r="K67" s="468"/>
      <c r="L67" s="468"/>
      <c r="M67" s="468"/>
      <c r="N67" s="468"/>
      <c r="O67" s="468"/>
      <c r="P67" s="468"/>
      <c r="Q67" s="468"/>
    </row>
    <row r="68" spans="1:17" ht="30.75" customHeight="1">
      <c r="A68" s="4"/>
      <c r="B68" s="52"/>
      <c r="C68" s="53" t="str">
        <f>IF(AND(ISBLANK(E67),ISBLANK(F67),ISBLANK(G67)),"Intentionally left empty","Third employer since leaving XYZ prior to current new employer")</f>
        <v>Third employer since leaving XYZ prior to current new employer</v>
      </c>
      <c r="D68" s="15" t="str">
        <f>GETNEXTREF(D67)</f>
        <v>ec</v>
      </c>
      <c r="E68" s="395" t="s">
        <v>359</v>
      </c>
      <c r="F68" s="397"/>
      <c r="G68" s="397"/>
      <c r="H68" s="468" t="str">
        <f>IF(AND(ISBLANK(E67),ISBLANK(F67),ISBLANK(G67)),"","If you did not have a third new job prior to your current new job, leave these fields empty. Otherwise, enter the name of your third employer since leaving XYZ along with your Start and Finish dates, but only if this is not your current new job.")</f>
        <v>If you did not have a third new job prior to your current new job, leave these fields empty. Otherwise, enter the name of your third employer since leaving XYZ along with your Start and Finish dates, but only if this is not your current new job.</v>
      </c>
      <c r="I68" s="468"/>
      <c r="J68" s="468"/>
      <c r="K68" s="468"/>
      <c r="L68" s="468"/>
      <c r="M68" s="468"/>
      <c r="N68" s="468"/>
      <c r="O68" s="468"/>
      <c r="P68" s="468"/>
      <c r="Q68" s="468"/>
    </row>
    <row r="69" spans="1:17" ht="30.75" customHeight="1">
      <c r="A69" s="4"/>
      <c r="B69" s="13"/>
      <c r="C69" s="53" t="str">
        <f>IF(AND(ISBLANK(E68),ISBLANK(F68),ISBLANK(G68)),"Intentionally left empty","Fourth employer since leaving XYZ prior to current new employer")</f>
        <v>Fourth employer since leaving XYZ prior to current new employer</v>
      </c>
      <c r="D69" s="15" t="str">
        <f>GETNEXTREF(D68)</f>
        <v>ed</v>
      </c>
      <c r="E69" s="395" t="s">
        <v>357</v>
      </c>
      <c r="F69" s="397"/>
      <c r="G69" s="397"/>
      <c r="H69" s="468" t="str">
        <f>IF(AND(ISBLANK(E68),ISBLANK(F68),ISBLANK(G68)),"","If you did not have a fourth new job prior to your current new job, leave these fields empty. Otherwise, enter the name of your fourth employer since leaving XYZ along with your Start and Finish dates, but only if this is not your current new job.")</f>
        <v>If you did not have a fourth new job prior to your current new job, leave these fields empty. Otherwise, enter the name of your fourth employer since leaving XYZ along with your Start and Finish dates, but only if this is not your current new job.</v>
      </c>
      <c r="I69" s="468"/>
      <c r="J69" s="468"/>
      <c r="K69" s="468"/>
      <c r="L69" s="468"/>
      <c r="M69" s="468"/>
      <c r="N69" s="468"/>
      <c r="O69" s="468"/>
      <c r="P69" s="468"/>
      <c r="Q69" s="468"/>
    </row>
    <row r="70" spans="1:17" ht="30" customHeight="1" thickBot="1">
      <c r="A70" s="4"/>
      <c r="B70" s="11"/>
      <c r="C70" s="53" t="str">
        <f>IF(AND(ISBLANK(E69),ISBLANK(F69),ISBLANK(G69)),"Intentionally left empty","Fifth employer since leaving XYZ prior to current new employer")</f>
        <v>Fifth employer since leaving XYZ prior to current new employer</v>
      </c>
      <c r="D70" s="15" t="str">
        <f>GETNEXTREF(D69)</f>
        <v>ee</v>
      </c>
      <c r="E70" s="395" t="s">
        <v>360</v>
      </c>
      <c r="F70" s="397"/>
      <c r="G70" s="397"/>
      <c r="H70" s="498" t="str">
        <f>IF(AND(ISBLANK(E69),ISBLANK(F69),ISBLANK(G69)),"","If you did not have a fifith new job prior to your current new job, leave these fields empty. Otherwise, enter the name of your fiftth employer since leaving XYZ along with your Start and Finish dates, but only if this is not your current new job.")</f>
        <v>If you did not have a fifith new job prior to your current new job, leave these fields empty. Otherwise, enter the name of your fiftth employer since leaving XYZ along with your Start and Finish dates, but only if this is not your current new job.</v>
      </c>
      <c r="I70" s="499"/>
      <c r="J70" s="499"/>
      <c r="K70" s="499"/>
      <c r="L70" s="499"/>
      <c r="M70" s="499"/>
      <c r="N70" s="499"/>
      <c r="O70" s="499"/>
      <c r="P70" s="499"/>
      <c r="Q70" s="500"/>
    </row>
    <row r="71" spans="1:17" ht="27.75" customHeight="1" thickTop="1">
      <c r="A71" s="4"/>
      <c r="B71" s="11"/>
      <c r="C71" s="417" t="str">
        <f>IF(AND(ISBLANK(E66),ISBLANK(F66),ISBLANK(G66)),"Intentionally left empty","Expenses incurred whilst looking for work with "&amp;E66)</f>
        <v>Expenses incurred whilst looking for work with aa</v>
      </c>
      <c r="D71" s="418" t="str">
        <f>GETNEXTREF(D70)</f>
        <v>ef</v>
      </c>
      <c r="E71" s="419"/>
      <c r="F71" s="485"/>
      <c r="G71" s="485"/>
      <c r="H71" s="486" t="str">
        <f>IF(AND(ISBLANK(E66),ISBLANK(F66),ISBLANK(G66)),"","Expenses you incurred whilst looking for work with "&amp;E66&amp;". Do not include expenses incurred whilst looking for any other work.")</f>
        <v>Expenses you incurred whilst looking for work with aa. Do not include expenses incurred whilst looking for any other work.</v>
      </c>
      <c r="I71" s="486"/>
      <c r="J71" s="486"/>
      <c r="K71" s="486"/>
      <c r="L71" s="486"/>
      <c r="M71" s="486"/>
      <c r="N71" s="486"/>
      <c r="O71" s="486"/>
      <c r="P71" s="486"/>
      <c r="Q71" s="487"/>
    </row>
    <row r="72" spans="1:17" ht="27.75" customHeight="1">
      <c r="A72" s="4"/>
      <c r="B72" s="11"/>
      <c r="C72" s="420" t="str">
        <f>IF(AND(ISBLANK(E66),ISBLANK(F66),ISBLANK(G66)),"Intentionally left empty","Total net income earned at "&amp;E66&amp;" over the whole period you worked there")</f>
        <v>Total net income earned at aa over the whole period you worked there</v>
      </c>
      <c r="D72" s="15" t="str">
        <f>GETNEXTREF(D71)</f>
        <v>eg</v>
      </c>
      <c r="E72" s="396"/>
      <c r="F72" s="482"/>
      <c r="G72" s="482"/>
      <c r="H72" s="483" t="str">
        <f>IF(AND(ISBLANK(E66),ISBLANK(F66),ISBLANK(G66)),"","This is your total net income after tax, National Insurance and pension deductions that you earned over the whole period you worked at "&amp;E66&amp;".")</f>
        <v>This is your total net income after tax, National Insurance and pension deductions that you earned over the whole period you worked at aa.</v>
      </c>
      <c r="I72" s="483"/>
      <c r="J72" s="483"/>
      <c r="K72" s="483"/>
      <c r="L72" s="483"/>
      <c r="M72" s="483"/>
      <c r="N72" s="483"/>
      <c r="O72" s="483"/>
      <c r="P72" s="483"/>
      <c r="Q72" s="488"/>
    </row>
    <row r="73" spans="1:17" ht="27" customHeight="1" thickBot="1">
      <c r="A73" s="4"/>
      <c r="B73" s="11"/>
      <c r="C73" s="421" t="str">
        <f>IF(AND(ISBLANK(E66),ISBLANK(F66),ISBLANK(G66)),"Intentionally left empty","Total value of the pension pot you accrued at "&amp;E66&amp;" over the whole period you worked there")</f>
        <v>Total value of the pension pot you accrued at aa over the whole period you worked there</v>
      </c>
      <c r="D73" s="422" t="str">
        <f>GETNEXTREF(D72)</f>
        <v>eh</v>
      </c>
      <c r="E73" s="423"/>
      <c r="F73" s="424" t="str">
        <f>IF(AND(ISBLANK(E66),ISBLANK(F66),ISBLANK(G66)),"","Pension valuation date")</f>
        <v>Pension valuation date</v>
      </c>
      <c r="G73" s="425"/>
      <c r="H73" s="489" t="str">
        <f>IF(AND(ISBLANK(E66),ISBLANK(F66),ISBLANK(G66)),"","Do not include volunatry contributions. If your "&amp;E66&amp;" pension is a Defined Benefit pension, use its transfer value instead. Note: This is the total cash that will be used to buy your pension, not the annual pension that it will buy.")</f>
        <v>Do not include volunatry contributions. If your aa pension is a Defined Benefit pension, use its transfer value instead. Note: This is the total cash that will be used to buy your pension, not the annual pension that it will buy.</v>
      </c>
      <c r="I73" s="489"/>
      <c r="J73" s="489"/>
      <c r="K73" s="489"/>
      <c r="L73" s="489"/>
      <c r="M73" s="489"/>
      <c r="N73" s="489"/>
      <c r="O73" s="489"/>
      <c r="P73" s="489"/>
      <c r="Q73" s="490"/>
    </row>
    <row r="74" spans="1:17" ht="27" customHeight="1" thickTop="1">
      <c r="A74" s="4"/>
      <c r="B74" s="11"/>
      <c r="C74" s="414" t="str">
        <f>IF(AND(ISBLANK(E67),ISBLANK(F67),ISBLANK(G67)),"Intentionally left empty","Expenses incurred whilst looking for work with "&amp;E67)</f>
        <v>Expenses incurred whilst looking for work with b</v>
      </c>
      <c r="D74" s="415" t="str">
        <f>GETNEXTREF(D73)</f>
        <v>ei</v>
      </c>
      <c r="E74" s="416"/>
      <c r="F74" s="480"/>
      <c r="G74" s="480"/>
      <c r="H74" s="481" t="str">
        <f>IF(AND(ISBLANK(E67),ISBLANK(F67),ISBLANK(G67)),"","Expenses you incurred whilst looking for work with "&amp;E67&amp;". Do not include expenses incurred whilst looking for any other work.")</f>
        <v>Expenses you incurred whilst looking for work with b. Do not include expenses incurred whilst looking for any other work.</v>
      </c>
      <c r="I74" s="481"/>
      <c r="J74" s="481"/>
      <c r="K74" s="481"/>
      <c r="L74" s="481"/>
      <c r="M74" s="481"/>
      <c r="N74" s="481"/>
      <c r="O74" s="481"/>
      <c r="P74" s="481"/>
      <c r="Q74" s="481"/>
    </row>
    <row r="75" spans="1:17" ht="28.5" customHeight="1">
      <c r="A75" s="4"/>
      <c r="B75" s="11"/>
      <c r="C75" s="14" t="str">
        <f>IF(AND(ISBLANK(E67),ISBLANK(F67),ISBLANK(G67)),"Intentionally left empty","Total net income earned at "&amp;E67&amp;" over the whole period you worked there")</f>
        <v>Total net income earned at b over the whole period you worked there</v>
      </c>
      <c r="D75" s="15" t="str">
        <f>GETNEXTREF(D74)</f>
        <v>ej</v>
      </c>
      <c r="E75" s="396"/>
      <c r="F75" s="482"/>
      <c r="G75" s="482"/>
      <c r="H75" s="483" t="str">
        <f>IF(AND(ISBLANK(E67),ISBLANK(F67),ISBLANK(G67)),"","This is your total net income after tax, National Insurance and pension deductions that you earned over the whole period you worked at "&amp;E67&amp;".")</f>
        <v>This is your total net income after tax, National Insurance and pension deductions that you earned over the whole period you worked at b.</v>
      </c>
      <c r="I75" s="483"/>
      <c r="J75" s="483"/>
      <c r="K75" s="483"/>
      <c r="L75" s="483"/>
      <c r="M75" s="483"/>
      <c r="N75" s="483"/>
      <c r="O75" s="483"/>
      <c r="P75" s="483"/>
      <c r="Q75" s="483"/>
    </row>
    <row r="76" spans="1:17" ht="31.5" customHeight="1" thickBot="1">
      <c r="A76" s="4"/>
      <c r="B76" s="11"/>
      <c r="C76" s="426" t="str">
        <f>IF(AND(ISBLANK(E67),ISBLANK(F67),ISBLANK(G67)),"Intentionally left empty","Total value of the pension pot you accrued at "&amp;E67&amp;" over the whole period you worked there")</f>
        <v>Total value of the pension pot you accrued at b over the whole period you worked there</v>
      </c>
      <c r="D76" s="427" t="str">
        <f>GETNEXTREF(D75)</f>
        <v>ek</v>
      </c>
      <c r="E76" s="428"/>
      <c r="F76" s="429" t="str">
        <f>IF(AND(ISBLANK(E67),ISBLANK(F67),ISBLANK(G67)),"","Pension valuation date")</f>
        <v>Pension valuation date</v>
      </c>
      <c r="G76" s="430"/>
      <c r="H76" s="484" t="str">
        <f>IF(AND(ISBLANK(E67),ISBLANK(F67),ISBLANK(G67)),"","Do not include volunatry contributions.   If your "&amp;E67&amp;" pension is a Defined Benefit pension, use its transfer value instead. Note: This is the total cash that will be used to buy your pension, not the annual pension that it will buy.")</f>
        <v>Do not include volunatry contributions.   If your b pension is a Defined Benefit pension, use its transfer value instead. Note: This is the total cash that will be used to buy your pension, not the annual pension that it will buy.</v>
      </c>
      <c r="I76" s="484"/>
      <c r="J76" s="484"/>
      <c r="K76" s="484"/>
      <c r="L76" s="484"/>
      <c r="M76" s="484"/>
      <c r="N76" s="484"/>
      <c r="O76" s="484"/>
      <c r="P76" s="484"/>
      <c r="Q76" s="484"/>
    </row>
    <row r="77" spans="1:17" ht="27.75" customHeight="1" thickTop="1">
      <c r="A77" s="4"/>
      <c r="B77" s="11"/>
      <c r="C77" s="417" t="str">
        <f>IF(AND(ISBLANK(E68),ISBLANK(F68),ISBLANK(G68)),"Intentionally left empty","Expenses incurred whilst looking for work with "&amp;E68)</f>
        <v>Expenses incurred whilst looking for work with c</v>
      </c>
      <c r="D77" s="418" t="str">
        <f>GETNEXTREF(D76)</f>
        <v>el</v>
      </c>
      <c r="E77" s="419"/>
      <c r="F77" s="485"/>
      <c r="G77" s="485"/>
      <c r="H77" s="486" t="str">
        <f>IF(AND(ISBLANK(E68),ISBLANK(F68),ISBLANK(G68)),"","Expenses you incurred whilst looking for work with "&amp;E68&amp;". Do not include expenses incurred whilst looking for any other work.")</f>
        <v>Expenses you incurred whilst looking for work with c. Do not include expenses incurred whilst looking for any other work.</v>
      </c>
      <c r="I77" s="486"/>
      <c r="J77" s="486"/>
      <c r="K77" s="486"/>
      <c r="L77" s="486"/>
      <c r="M77" s="486"/>
      <c r="N77" s="486"/>
      <c r="O77" s="486"/>
      <c r="P77" s="486"/>
      <c r="Q77" s="487"/>
    </row>
    <row r="78" spans="1:17" ht="28.5" customHeight="1">
      <c r="A78" s="4"/>
      <c r="B78" s="11"/>
      <c r="C78" s="420" t="str">
        <f>IF(AND(ISBLANK(E68),ISBLANK(F68),ISBLANK(G68)),"Intentionally left empty","Total net income earned at "&amp;E68&amp;" over the whole period you worked there")</f>
        <v>Total net income earned at c over the whole period you worked there</v>
      </c>
      <c r="D78" s="15" t="str">
        <f>GETNEXTREF(D77)</f>
        <v>em</v>
      </c>
      <c r="E78" s="396"/>
      <c r="F78" s="482"/>
      <c r="G78" s="482"/>
      <c r="H78" s="483" t="str">
        <f>IF(AND(ISBLANK(E68),ISBLANK(F68),ISBLANK(G68)),"","This is your total net income after tax, National Insurance and pension deductions that you earned over the whole period you worked at "&amp;E68&amp;".")</f>
        <v>This is your total net income after tax, National Insurance and pension deductions that you earned over the whole period you worked at c.</v>
      </c>
      <c r="I78" s="483"/>
      <c r="J78" s="483"/>
      <c r="K78" s="483"/>
      <c r="L78" s="483"/>
      <c r="M78" s="483"/>
      <c r="N78" s="483"/>
      <c r="O78" s="483"/>
      <c r="P78" s="483"/>
      <c r="Q78" s="488"/>
    </row>
    <row r="79" spans="1:17" ht="29.25" customHeight="1" thickBot="1">
      <c r="A79" s="4"/>
      <c r="B79" s="11"/>
      <c r="C79" s="421" t="str">
        <f>IF(AND(ISBLANK(E68),ISBLANK(F68),ISBLANK(G68)),"Intentionally left empty","Total value of the pension pot you accrued at "&amp;E68&amp;" over the whole period you worked there")</f>
        <v>Total value of the pension pot you accrued at c over the whole period you worked there</v>
      </c>
      <c r="D79" s="422" t="str">
        <f>GETNEXTREF(D78)</f>
        <v>en</v>
      </c>
      <c r="E79" s="423"/>
      <c r="F79" s="424" t="str">
        <f>IF(AND(ISBLANK(E68),ISBLANK(F68),ISBLANK(G68)),"","Pension valuation date")</f>
        <v>Pension valuation date</v>
      </c>
      <c r="G79" s="425"/>
      <c r="H79" s="489" t="str">
        <f>IF(AND(ISBLANK(E68),ISBLANK(F68),ISBLANK(G68)),"","Do not include volunatry contributions.  If your "&amp;E68&amp;" pension is a Defined Benefit pension, use its transfer value instead. Note: This is the total cash that will be used to buy your pension, not the annual pension that it will buy.")</f>
        <v>Do not include volunatry contributions.  If your c pension is a Defined Benefit pension, use its transfer value instead. Note: This is the total cash that will be used to buy your pension, not the annual pension that it will buy.</v>
      </c>
      <c r="I79" s="489"/>
      <c r="J79" s="489"/>
      <c r="K79" s="489"/>
      <c r="L79" s="489"/>
      <c r="M79" s="489"/>
      <c r="N79" s="489"/>
      <c r="O79" s="489"/>
      <c r="P79" s="489"/>
      <c r="Q79" s="490"/>
    </row>
    <row r="80" spans="1:17" ht="29.25" customHeight="1" thickTop="1">
      <c r="A80" s="4"/>
      <c r="B80" s="11"/>
      <c r="C80" s="414" t="str">
        <f>IF(AND(ISBLANK(E69),ISBLANK(F69),ISBLANK(G69)),"Intentionally left empty","Expenses incurred whilst looking for work with "&amp;E69)</f>
        <v>Expenses incurred whilst looking for work with dd</v>
      </c>
      <c r="D80" s="415" t="str">
        <f>GETNEXTREF(D79)</f>
        <v>eo</v>
      </c>
      <c r="E80" s="416"/>
      <c r="F80" s="491"/>
      <c r="G80" s="492"/>
      <c r="H80" s="481" t="str">
        <f>IF(AND(ISBLANK(E69),ISBLANK(F69),ISBLANK(G69)),"","Expenses you incurred whilst looking for work with "&amp;E69&amp;". Do not include expenses incurred whilst looking for any other work.")</f>
        <v>Expenses you incurred whilst looking for work with dd. Do not include expenses incurred whilst looking for any other work.</v>
      </c>
      <c r="I80" s="481"/>
      <c r="J80" s="481"/>
      <c r="K80" s="481"/>
      <c r="L80" s="481"/>
      <c r="M80" s="481"/>
      <c r="N80" s="481"/>
      <c r="O80" s="481"/>
      <c r="P80" s="481"/>
      <c r="Q80" s="481"/>
    </row>
    <row r="81" spans="1:17" ht="29.25" customHeight="1">
      <c r="A81" s="4"/>
      <c r="B81" s="11"/>
      <c r="C81" s="14" t="str">
        <f>IF(AND(ISBLANK(E69),ISBLANK(F69),ISBLANK(G69)),"Intentionally left empty","Total net income earned at "&amp;E69&amp;" over the whole period you worked there")</f>
        <v>Total net income earned at dd over the whole period you worked there</v>
      </c>
      <c r="D81" s="15" t="str">
        <f>GETNEXTREF(D80)</f>
        <v>ep</v>
      </c>
      <c r="E81" s="396"/>
      <c r="F81" s="482"/>
      <c r="G81" s="482"/>
      <c r="H81" s="483" t="str">
        <f>IF(AND(ISBLANK(E69),ISBLANK(F69),ISBLANK(G69)),"","This is your total net income after tax, National Insurance and pension deductions that you earned over the whole period you worked at "&amp;E69&amp;".")</f>
        <v>This is your total net income after tax, National Insurance and pension deductions that you earned over the whole period you worked at dd.</v>
      </c>
      <c r="I81" s="483"/>
      <c r="J81" s="483"/>
      <c r="K81" s="483"/>
      <c r="L81" s="483"/>
      <c r="M81" s="483"/>
      <c r="N81" s="483"/>
      <c r="O81" s="483"/>
      <c r="P81" s="483"/>
      <c r="Q81" s="483"/>
    </row>
    <row r="82" spans="1:17" ht="29.25" customHeight="1" thickBot="1">
      <c r="A82" s="4"/>
      <c r="B82" s="11"/>
      <c r="C82" s="426" t="str">
        <f>IF(AND(ISBLANK(E69),ISBLANK(F69),ISBLANK(G69)),"Intentionally left empty","Total value of the pension pot you accrued at "&amp;E69&amp;" over the whole period you worked there")</f>
        <v>Total value of the pension pot you accrued at dd over the whole period you worked there</v>
      </c>
      <c r="D82" s="427" t="str">
        <f>GETNEXTREF(D81)</f>
        <v>eq</v>
      </c>
      <c r="E82" s="428"/>
      <c r="F82" s="429" t="str">
        <f>IF(AND(ISBLANK(E69),ISBLANK(F69),ISBLANK(G69)),"","Pension valuation date")</f>
        <v>Pension valuation date</v>
      </c>
      <c r="G82" s="430"/>
      <c r="H82" s="484" t="str">
        <f>IF(AND(ISBLANK(E69),ISBLANK(F69),ISBLANK(G69)),"","Do not include volunatry contributions.  If your "&amp;E69&amp;" pension is a Defined Benefit pension, use its transfer value instead. Note: This is the total cash that will be used to buy your pension, not the annual pension that it will buy.")</f>
        <v>Do not include volunatry contributions.  If your dd pension is a Defined Benefit pension, use its transfer value instead. Note: This is the total cash that will be used to buy your pension, not the annual pension that it will buy.</v>
      </c>
      <c r="I82" s="484"/>
      <c r="J82" s="484"/>
      <c r="K82" s="484"/>
      <c r="L82" s="484"/>
      <c r="M82" s="484"/>
      <c r="N82" s="484"/>
      <c r="O82" s="484"/>
      <c r="P82" s="484"/>
      <c r="Q82" s="484"/>
    </row>
    <row r="83" spans="1:17" ht="29.25" customHeight="1" thickTop="1">
      <c r="A83" s="4"/>
      <c r="B83" s="11"/>
      <c r="C83" s="417" t="str">
        <f>IF(AND(ISBLANK(E70),ISBLANK(F70),ISBLANK(G70)),"Intentionally left empty","Expenses incurred whilst looking for work with "&amp;E70)</f>
        <v>Expenses incurred whilst looking for work with e</v>
      </c>
      <c r="D83" s="418" t="str">
        <f>GETNEXTREF(D82)</f>
        <v>er</v>
      </c>
      <c r="E83" s="419"/>
      <c r="F83" s="485"/>
      <c r="G83" s="485"/>
      <c r="H83" s="486" t="str">
        <f>IF(AND(ISBLANK(E70),ISBLANK(F70),ISBLANK(G70)),"","Expenses you incurred whilst looking for work with "&amp;E70&amp;". Do not include expenses incurred whilst looking for any other work.")</f>
        <v>Expenses you incurred whilst looking for work with e. Do not include expenses incurred whilst looking for any other work.</v>
      </c>
      <c r="I83" s="486"/>
      <c r="J83" s="486"/>
      <c r="K83" s="486"/>
      <c r="L83" s="486"/>
      <c r="M83" s="486"/>
      <c r="N83" s="486"/>
      <c r="O83" s="486"/>
      <c r="P83" s="486"/>
      <c r="Q83" s="487"/>
    </row>
    <row r="84" spans="1:17" ht="29.25" customHeight="1">
      <c r="A84" s="4"/>
      <c r="B84" s="11"/>
      <c r="C84" s="420" t="str">
        <f>IF(AND(ISBLANK(E70),ISBLANK(F70),ISBLANK(G70)),"Intentionally left empty","Total net income earned at "&amp;E70&amp;" over the whole period you worked there")</f>
        <v>Total net income earned at e over the whole period you worked there</v>
      </c>
      <c r="D84" s="15" t="str">
        <f>GETNEXTREF(D83)</f>
        <v>es</v>
      </c>
      <c r="E84" s="396"/>
      <c r="F84" s="482"/>
      <c r="G84" s="482"/>
      <c r="H84" s="483" t="str">
        <f>IF(AND(ISBLANK(E70),ISBLANK(F70),ISBLANK(G70)),"","This is your total net income after tax, National Insurance and pension deductions that you earned over the whole period you worked at "&amp;E70&amp;".")</f>
        <v>This is your total net income after tax, National Insurance and pension deductions that you earned over the whole period you worked at e.</v>
      </c>
      <c r="I84" s="483"/>
      <c r="J84" s="483"/>
      <c r="K84" s="483"/>
      <c r="L84" s="483"/>
      <c r="M84" s="483"/>
      <c r="N84" s="483"/>
      <c r="O84" s="483"/>
      <c r="P84" s="483"/>
      <c r="Q84" s="488"/>
    </row>
    <row r="85" spans="1:17" ht="29.25" customHeight="1" thickBot="1">
      <c r="A85" s="4"/>
      <c r="B85" s="11"/>
      <c r="C85" s="421" t="str">
        <f>IF(AND(ISBLANK(E70),ISBLANK(F70),ISBLANK(G70)),"Intentionally left empty","Total value of the pension pot you accrued at "&amp;E70&amp;" over the whole period you worked there")</f>
        <v>Total value of the pension pot you accrued at e over the whole period you worked there</v>
      </c>
      <c r="D85" s="422" t="str">
        <f>GETNEXTREF(D84)</f>
        <v>et</v>
      </c>
      <c r="E85" s="423"/>
      <c r="F85" s="424" t="str">
        <f>IF(AND(ISBLANK(E70),ISBLANK(F70),ISBLANK(G70)),"","Pension valuation date")</f>
        <v>Pension valuation date</v>
      </c>
      <c r="G85" s="425"/>
      <c r="H85" s="489" t="str">
        <f>IF(AND(ISBLANK(E70),ISBLANK(F70),ISBLANK(G70)),"","Do not include volunatry contributions.  If your "&amp;E70&amp;" pension is a Defined Benefit pension, use its transfer value instead. Note: This is the total cash that will be used to buy your pension, not the annual pension that it will buy.")</f>
        <v>Do not include volunatry contributions.  If your e pension is a Defined Benefit pension, use its transfer value instead. Note: This is the total cash that will be used to buy your pension, not the annual pension that it will buy.</v>
      </c>
      <c r="I85" s="489"/>
      <c r="J85" s="489"/>
      <c r="K85" s="489"/>
      <c r="L85" s="489"/>
      <c r="M85" s="489"/>
      <c r="N85" s="489"/>
      <c r="O85" s="489"/>
      <c r="P85" s="489"/>
      <c r="Q85" s="490"/>
    </row>
    <row r="86" spans="1:17" ht="13.5" thickTop="1">
      <c r="A86" s="4"/>
      <c r="B86" s="46"/>
      <c r="C86" s="22"/>
      <c r="D86" s="47"/>
      <c r="E86" s="54"/>
      <c r="F86" s="55"/>
      <c r="G86" s="47"/>
      <c r="H86" s="47"/>
      <c r="I86" s="47"/>
      <c r="J86" s="47"/>
      <c r="K86" s="47"/>
      <c r="L86" s="47"/>
      <c r="M86" s="47"/>
      <c r="N86" s="47"/>
      <c r="O86" s="47"/>
      <c r="P86" s="47"/>
      <c r="Q86" s="49"/>
    </row>
    <row r="87" spans="1:17" ht="12.75">
      <c r="A87" s="4"/>
      <c r="B87" s="29"/>
      <c r="C87" s="26"/>
      <c r="D87" s="50"/>
      <c r="E87" s="29"/>
      <c r="F87" s="56"/>
      <c r="G87" s="50"/>
      <c r="H87" s="50"/>
      <c r="I87" s="50"/>
      <c r="J87" s="50"/>
      <c r="K87" s="50"/>
      <c r="L87" s="50"/>
      <c r="M87" s="50"/>
      <c r="N87" s="50"/>
      <c r="O87" s="50"/>
      <c r="P87" s="50"/>
      <c r="Q87" s="50"/>
    </row>
    <row r="89" spans="2:17" s="4" customFormat="1" ht="20.25">
      <c r="B89" s="462" t="s">
        <v>55</v>
      </c>
      <c r="C89" s="462"/>
      <c r="D89" s="462"/>
      <c r="E89" s="462"/>
      <c r="F89" s="462"/>
      <c r="G89" s="462"/>
      <c r="H89" s="462"/>
      <c r="I89" s="462"/>
      <c r="J89" s="462"/>
      <c r="K89" s="462"/>
      <c r="L89" s="462"/>
      <c r="M89" s="462"/>
      <c r="N89" s="462"/>
      <c r="O89" s="462"/>
      <c r="P89" s="462"/>
      <c r="Q89" s="462"/>
    </row>
    <row r="90" spans="2:17" s="4" customFormat="1" ht="12.75">
      <c r="B90" s="58" t="s">
        <v>56</v>
      </c>
      <c r="C90" s="59"/>
      <c r="D90" s="31" t="s">
        <v>4</v>
      </c>
      <c r="E90" s="10" t="s">
        <v>5</v>
      </c>
      <c r="F90" s="463" t="s">
        <v>6</v>
      </c>
      <c r="G90" s="463"/>
      <c r="H90" s="463"/>
      <c r="I90" s="463"/>
      <c r="J90" s="463"/>
      <c r="K90" s="463"/>
      <c r="L90" s="463"/>
      <c r="M90" s="463"/>
      <c r="N90" s="463"/>
      <c r="O90" s="463"/>
      <c r="P90" s="463"/>
      <c r="Q90" s="463"/>
    </row>
    <row r="91" spans="2:17" s="4" customFormat="1" ht="15.75" customHeight="1">
      <c r="B91" s="60"/>
      <c r="C91" s="14" t="s">
        <v>57</v>
      </c>
      <c r="D91" s="15" t="s">
        <v>58</v>
      </c>
      <c r="E91" s="386">
        <v>42133</v>
      </c>
      <c r="F91" s="494" t="s">
        <v>59</v>
      </c>
      <c r="G91" s="494"/>
      <c r="H91" s="494"/>
      <c r="I91" s="494"/>
      <c r="J91" s="494"/>
      <c r="K91" s="494"/>
      <c r="L91" s="494"/>
      <c r="M91" s="494"/>
      <c r="N91" s="494"/>
      <c r="O91" s="494"/>
      <c r="P91" s="494"/>
      <c r="Q91" s="494"/>
    </row>
    <row r="92" spans="2:17" s="4" customFormat="1" ht="29.25" customHeight="1">
      <c r="B92" s="60"/>
      <c r="C92" s="14" t="s">
        <v>60</v>
      </c>
      <c r="D92" s="15" t="str">
        <f>getnextref(D91)</f>
        <v>fb</v>
      </c>
      <c r="E92" s="398">
        <v>15000</v>
      </c>
      <c r="F92" s="468" t="s">
        <v>61</v>
      </c>
      <c r="G92" s="468"/>
      <c r="H92" s="468"/>
      <c r="I92" s="468"/>
      <c r="J92" s="468"/>
      <c r="K92" s="468"/>
      <c r="L92" s="468"/>
      <c r="M92" s="468"/>
      <c r="N92" s="468"/>
      <c r="O92" s="468"/>
      <c r="P92" s="468"/>
      <c r="Q92" s="468"/>
    </row>
    <row r="93" spans="2:17" s="4" customFormat="1" ht="15" customHeight="1">
      <c r="B93" s="60"/>
      <c r="C93" s="14" t="s">
        <v>62</v>
      </c>
      <c r="D93" s="15" t="str">
        <f>getnextref(D92)</f>
        <v>fc</v>
      </c>
      <c r="E93" s="398">
        <v>300</v>
      </c>
      <c r="F93" s="468" t="s">
        <v>63</v>
      </c>
      <c r="G93" s="468"/>
      <c r="H93" s="468"/>
      <c r="I93" s="468"/>
      <c r="J93" s="468"/>
      <c r="K93" s="468"/>
      <c r="L93" s="468"/>
      <c r="M93" s="468"/>
      <c r="N93" s="468"/>
      <c r="O93" s="468"/>
      <c r="P93" s="468"/>
      <c r="Q93" s="468"/>
    </row>
    <row r="94" spans="2:17" s="4" customFormat="1" ht="12.75">
      <c r="B94" s="61"/>
      <c r="C94" s="47"/>
      <c r="D94" s="62"/>
      <c r="E94" s="62"/>
      <c r="F94" s="47"/>
      <c r="G94" s="47"/>
      <c r="H94" s="47"/>
      <c r="I94" s="47"/>
      <c r="J94" s="47"/>
      <c r="K94" s="47"/>
      <c r="L94" s="47"/>
      <c r="M94" s="47"/>
      <c r="N94" s="47"/>
      <c r="O94" s="47"/>
      <c r="P94" s="47"/>
      <c r="Q94" s="49"/>
    </row>
    <row r="97" spans="2:17" ht="20.25">
      <c r="B97" s="462" t="s">
        <v>64</v>
      </c>
      <c r="C97" s="462"/>
      <c r="D97" s="462"/>
      <c r="E97" s="462"/>
      <c r="F97" s="462"/>
      <c r="G97" s="462"/>
      <c r="H97" s="462"/>
      <c r="I97" s="462"/>
      <c r="J97" s="462"/>
      <c r="K97" s="462"/>
      <c r="L97" s="462"/>
      <c r="M97" s="462"/>
      <c r="N97" s="462"/>
      <c r="O97" s="462"/>
      <c r="P97" s="462"/>
      <c r="Q97" s="462"/>
    </row>
    <row r="98" spans="2:17" ht="12.75">
      <c r="B98" s="58" t="s">
        <v>65</v>
      </c>
      <c r="C98" s="59"/>
      <c r="D98" s="31" t="s">
        <v>4</v>
      </c>
      <c r="E98" s="10" t="s">
        <v>5</v>
      </c>
      <c r="F98" s="463" t="s">
        <v>6</v>
      </c>
      <c r="G98" s="463"/>
      <c r="H98" s="463"/>
      <c r="I98" s="463"/>
      <c r="J98" s="463"/>
      <c r="K98" s="463"/>
      <c r="L98" s="463"/>
      <c r="M98" s="463"/>
      <c r="N98" s="463"/>
      <c r="O98" s="463"/>
      <c r="P98" s="463"/>
      <c r="Q98" s="463"/>
    </row>
    <row r="99" spans="2:17" ht="15" customHeight="1">
      <c r="B99" s="60"/>
      <c r="C99" s="14" t="s">
        <v>418</v>
      </c>
      <c r="D99" s="15" t="s">
        <v>66</v>
      </c>
      <c r="E99" s="399">
        <v>0.03</v>
      </c>
      <c r="F99" s="471" t="s">
        <v>67</v>
      </c>
      <c r="G99" s="471"/>
      <c r="H99" s="471"/>
      <c r="I99" s="471"/>
      <c r="J99" s="471"/>
      <c r="K99" s="471"/>
      <c r="L99" s="471"/>
      <c r="M99" s="471"/>
      <c r="N99" s="471"/>
      <c r="O99" s="471"/>
      <c r="P99" s="471"/>
      <c r="Q99" s="471"/>
    </row>
    <row r="100" spans="2:17" ht="15" customHeight="1">
      <c r="B100" s="63"/>
      <c r="C100" s="14" t="s">
        <v>68</v>
      </c>
      <c r="D100" s="15" t="str">
        <f>getnextref(D99)</f>
        <v>gb</v>
      </c>
      <c r="E100" s="390">
        <v>0.05</v>
      </c>
      <c r="F100" s="468" t="s">
        <v>69</v>
      </c>
      <c r="G100" s="468"/>
      <c r="H100" s="468"/>
      <c r="I100" s="468"/>
      <c r="J100" s="468"/>
      <c r="K100" s="468"/>
      <c r="L100" s="468"/>
      <c r="M100" s="468"/>
      <c r="N100" s="468"/>
      <c r="O100" s="468"/>
      <c r="P100" s="468"/>
      <c r="Q100" s="468"/>
    </row>
    <row r="101" spans="2:17" ht="12.75">
      <c r="B101" s="61"/>
      <c r="C101" s="47"/>
      <c r="D101" s="62"/>
      <c r="E101" s="62"/>
      <c r="F101" s="47"/>
      <c r="G101" s="47"/>
      <c r="H101" s="47"/>
      <c r="I101" s="47"/>
      <c r="J101" s="47"/>
      <c r="K101" s="47"/>
      <c r="L101" s="47"/>
      <c r="M101" s="47"/>
      <c r="N101" s="47"/>
      <c r="O101" s="47"/>
      <c r="P101" s="47"/>
      <c r="Q101" s="49"/>
    </row>
    <row r="104" spans="2:17" ht="20.25">
      <c r="B104" s="462" t="s">
        <v>70</v>
      </c>
      <c r="C104" s="462"/>
      <c r="D104" s="462"/>
      <c r="E104" s="462"/>
      <c r="F104" s="462"/>
      <c r="G104" s="462"/>
      <c r="H104" s="462"/>
      <c r="I104" s="462"/>
      <c r="J104" s="462"/>
      <c r="K104" s="462"/>
      <c r="L104" s="462"/>
      <c r="M104" s="462"/>
      <c r="N104" s="462"/>
      <c r="O104" s="462"/>
      <c r="P104" s="462"/>
      <c r="Q104" s="462"/>
    </row>
    <row r="105" spans="2:17" ht="12.75">
      <c r="B105" s="58" t="s">
        <v>71</v>
      </c>
      <c r="C105" s="59"/>
      <c r="D105" s="31" t="s">
        <v>4</v>
      </c>
      <c r="E105" s="10" t="s">
        <v>5</v>
      </c>
      <c r="F105" s="463" t="s">
        <v>6</v>
      </c>
      <c r="G105" s="463"/>
      <c r="H105" s="463"/>
      <c r="I105" s="463"/>
      <c r="J105" s="463"/>
      <c r="K105" s="463"/>
      <c r="L105" s="463"/>
      <c r="M105" s="463"/>
      <c r="N105" s="463"/>
      <c r="O105" s="463"/>
      <c r="P105" s="463"/>
      <c r="Q105" s="463"/>
    </row>
    <row r="106" spans="2:17" ht="54.75" customHeight="1">
      <c r="B106" s="60"/>
      <c r="C106" s="471" t="s">
        <v>419</v>
      </c>
      <c r="D106" s="495" t="s">
        <v>72</v>
      </c>
      <c r="E106" s="496">
        <v>0</v>
      </c>
      <c r="F106" s="502" t="s">
        <v>420</v>
      </c>
      <c r="G106" s="502"/>
      <c r="H106" s="502"/>
      <c r="I106" s="502"/>
      <c r="J106" s="502"/>
      <c r="K106" s="502"/>
      <c r="L106" s="502"/>
      <c r="M106" s="502"/>
      <c r="N106" s="493" t="s">
        <v>73</v>
      </c>
      <c r="O106" s="493"/>
      <c r="P106" s="493"/>
      <c r="Q106" s="493"/>
    </row>
    <row r="107" spans="2:17" ht="82.5" customHeight="1">
      <c r="B107" s="60"/>
      <c r="C107" s="471"/>
      <c r="D107" s="495"/>
      <c r="E107" s="496"/>
      <c r="F107" s="502"/>
      <c r="G107" s="502"/>
      <c r="H107" s="502"/>
      <c r="I107" s="502"/>
      <c r="J107" s="502"/>
      <c r="K107" s="502"/>
      <c r="L107" s="502"/>
      <c r="M107" s="502"/>
      <c r="N107" s="497" t="s">
        <v>74</v>
      </c>
      <c r="O107" s="497"/>
      <c r="P107" s="497"/>
      <c r="Q107" s="497"/>
    </row>
    <row r="108" spans="2:17" ht="42.75" customHeight="1">
      <c r="B108" s="63"/>
      <c r="C108" s="14" t="s">
        <v>75</v>
      </c>
      <c r="D108" s="15" t="str">
        <f>getnextref(D106)</f>
        <v>hb</v>
      </c>
      <c r="E108" s="400">
        <v>65</v>
      </c>
      <c r="F108" s="498" t="s">
        <v>76</v>
      </c>
      <c r="G108" s="498"/>
      <c r="H108" s="498"/>
      <c r="I108" s="498"/>
      <c r="J108" s="498"/>
      <c r="K108" s="498"/>
      <c r="L108" s="498"/>
      <c r="M108" s="498"/>
      <c r="N108" s="501" t="s">
        <v>74</v>
      </c>
      <c r="O108" s="501"/>
      <c r="P108" s="501"/>
      <c r="Q108" s="501"/>
    </row>
    <row r="109" spans="2:17" ht="12.75">
      <c r="B109" s="61"/>
      <c r="C109" s="47"/>
      <c r="D109" s="62"/>
      <c r="E109" s="62"/>
      <c r="F109" s="47"/>
      <c r="G109" s="47"/>
      <c r="H109" s="47"/>
      <c r="I109" s="47"/>
      <c r="J109" s="47"/>
      <c r="K109" s="47"/>
      <c r="L109" s="47"/>
      <c r="M109" s="47"/>
      <c r="N109" s="47"/>
      <c r="O109" s="47"/>
      <c r="P109" s="47"/>
      <c r="Q109" s="49"/>
    </row>
    <row r="112" ht="12.75">
      <c r="J112" s="64"/>
    </row>
  </sheetData>
  <sheetProtection/>
  <mergeCells count="99">
    <mergeCell ref="H70:Q70"/>
    <mergeCell ref="F40:Q40"/>
    <mergeCell ref="F108:M108"/>
    <mergeCell ref="N108:Q108"/>
    <mergeCell ref="F98:Q98"/>
    <mergeCell ref="F99:Q99"/>
    <mergeCell ref="F100:Q100"/>
    <mergeCell ref="B104:Q104"/>
    <mergeCell ref="F105:Q105"/>
    <mergeCell ref="F106:M107"/>
    <mergeCell ref="F93:Q93"/>
    <mergeCell ref="B97:Q97"/>
    <mergeCell ref="C106:C107"/>
    <mergeCell ref="D106:D107"/>
    <mergeCell ref="E106:E107"/>
    <mergeCell ref="N107:Q107"/>
    <mergeCell ref="F83:G83"/>
    <mergeCell ref="H83:Q83"/>
    <mergeCell ref="F84:G84"/>
    <mergeCell ref="H84:Q84"/>
    <mergeCell ref="H85:Q85"/>
    <mergeCell ref="N106:Q106"/>
    <mergeCell ref="B89:Q89"/>
    <mergeCell ref="F90:Q90"/>
    <mergeCell ref="F91:Q91"/>
    <mergeCell ref="F92:Q92"/>
    <mergeCell ref="H80:Q80"/>
    <mergeCell ref="F81:G81"/>
    <mergeCell ref="H81:Q81"/>
    <mergeCell ref="H82:Q82"/>
    <mergeCell ref="F77:G77"/>
    <mergeCell ref="H77:Q77"/>
    <mergeCell ref="F78:G78"/>
    <mergeCell ref="H78:Q78"/>
    <mergeCell ref="H79:Q79"/>
    <mergeCell ref="F80:G80"/>
    <mergeCell ref="F74:G74"/>
    <mergeCell ref="H74:Q74"/>
    <mergeCell ref="F75:G75"/>
    <mergeCell ref="H75:Q75"/>
    <mergeCell ref="H76:Q76"/>
    <mergeCell ref="F71:G71"/>
    <mergeCell ref="H71:Q71"/>
    <mergeCell ref="F72:G72"/>
    <mergeCell ref="H72:Q72"/>
    <mergeCell ref="H73:Q73"/>
    <mergeCell ref="H65:Q65"/>
    <mergeCell ref="H66:Q66"/>
    <mergeCell ref="H67:Q67"/>
    <mergeCell ref="H68:Q68"/>
    <mergeCell ref="H69:Q69"/>
    <mergeCell ref="F56:Q56"/>
    <mergeCell ref="F57:Q57"/>
    <mergeCell ref="F58:Q58"/>
    <mergeCell ref="F59:Q59"/>
    <mergeCell ref="F60:Q60"/>
    <mergeCell ref="B64:Q64"/>
    <mergeCell ref="F50:Q50"/>
    <mergeCell ref="F51:Q51"/>
    <mergeCell ref="F52:Q52"/>
    <mergeCell ref="F53:Q53"/>
    <mergeCell ref="F54:Q54"/>
    <mergeCell ref="F55:Q55"/>
    <mergeCell ref="B44:Q44"/>
    <mergeCell ref="F45:Q45"/>
    <mergeCell ref="F46:Q46"/>
    <mergeCell ref="F47:Q47"/>
    <mergeCell ref="F48:Q48"/>
    <mergeCell ref="F49:Q49"/>
    <mergeCell ref="F34:Q34"/>
    <mergeCell ref="F35:Q35"/>
    <mergeCell ref="F36:Q36"/>
    <mergeCell ref="F37:Q37"/>
    <mergeCell ref="F38:Q38"/>
    <mergeCell ref="F39:Q39"/>
    <mergeCell ref="F25:Q25"/>
    <mergeCell ref="F26:Q26"/>
    <mergeCell ref="F27:Q27"/>
    <mergeCell ref="B31:Q31"/>
    <mergeCell ref="F32:Q32"/>
    <mergeCell ref="F33:Q33"/>
    <mergeCell ref="F19:Q19"/>
    <mergeCell ref="F20:Q20"/>
    <mergeCell ref="F21:Q21"/>
    <mergeCell ref="F22:Q22"/>
    <mergeCell ref="F23:Q23"/>
    <mergeCell ref="F24:Q24"/>
    <mergeCell ref="F10:Q10"/>
    <mergeCell ref="F11:Q11"/>
    <mergeCell ref="F12:Q12"/>
    <mergeCell ref="F13:Q13"/>
    <mergeCell ref="B17:Q17"/>
    <mergeCell ref="F18:Q18"/>
    <mergeCell ref="B3:Q3"/>
    <mergeCell ref="B6:Q6"/>
    <mergeCell ref="F7:Q7"/>
    <mergeCell ref="D8:F8"/>
    <mergeCell ref="G8:Q8"/>
    <mergeCell ref="F9:Q9"/>
  </mergeCells>
  <dataValidations count="31">
    <dataValidation type="list" allowBlank="1" showErrorMessage="1" sqref="E108">
      <formula1>"60,61,62,63,64,65,66"</formula1>
      <formula2>0</formula2>
    </dataValidation>
    <dataValidation allowBlank="1" showInputMessage="1" showErrorMessage="1" prompt="Intentionally left empty" sqref="G72 G77:G78 G74:G75 G83:G84 G81 F71:F85">
      <formula1>0</formula1>
      <formula2>0</formula2>
    </dataValidation>
    <dataValidation type="decimal" allowBlank="1" showInputMessage="1" showErrorMessage="1" promptTitle="IBM salary growth rate" prompt="Available range: 0.0% - 5.0% pa" sqref="E100 E26">
      <formula1>0</formula1>
      <formula2>0.05</formula2>
    </dataValidation>
    <dataValidation type="date" allowBlank="1" showInputMessage="1" showErrorMessage="1" promptTitle="Finish date" prompt="Enter date you finished this employment. You must have terminated this employment in order to use this section." errorTitle="Error!" error="Available range: Start date -&gt; yesterday" sqref="G66:G70">
      <formula1>F66</formula1>
      <formula2>TODAY()-1</formula2>
    </dataValidation>
    <dataValidation type="date" allowBlank="1" showInputMessage="1" showErrorMessage="1" promptTitle="Date of Final Tribunal" prompt="To be supplied by Now Legal" errorTitle="Error!" error="Please enter a vaild date within the available range." sqref="E91">
      <formula1>42005</formula1>
      <formula2>44196</formula2>
    </dataValidation>
    <dataValidation type="decimal" operator="greaterThanOrEqual" allowBlank="1" showInputMessage="1" showErrorMessage="1" sqref="E71:E85 E49:E58 E46 E35:E37 E27 E19:E25">
      <formula1>0</formula1>
    </dataValidation>
    <dataValidation type="date" allowBlank="1" showInputMessage="1" showErrorMessage="1" promptTitle="Pension Valuation date" prompt="Enter date of the last pensions vauation for this pension pot" errorTitle="Error!" error="Available range: Start date -&gt; yesterday" sqref="G85">
      <formula1>F73</formula1>
      <formula2>TODAY()-1</formula2>
    </dataValidation>
    <dataValidation type="date" allowBlank="1" showInputMessage="1" showErrorMessage="1" promptTitle="Pension Valuation date" prompt="Enter date of the last pensions vauation for this pension pot" errorTitle="Error!" error="Available range: Start date -&gt; yesterday" sqref="G73">
      <formula1>F66</formula1>
      <formula2>TODAY()-1</formula2>
    </dataValidation>
    <dataValidation type="date" allowBlank="1" showInputMessage="1" showErrorMessage="1" promptTitle="Pension Valuation date" prompt="Enter date of the last pensions vauation for this pension pot" errorTitle="Error!" error="Available range: Start date -&gt; yesterday" sqref="G76">
      <formula1>F67</formula1>
      <formula2>TODAY()-1</formula2>
    </dataValidation>
    <dataValidation type="date" allowBlank="1" showInputMessage="1" showErrorMessage="1" promptTitle="Pension Valuation date" prompt="Enter date of the last pensions vauation for this pension pot" errorTitle="Error!" error="Available range: Start date -&gt; yesterday" sqref="G82">
      <formula1>F69</formula1>
      <formula2>TODAY()-1</formula2>
    </dataValidation>
    <dataValidation type="list" allowBlank="1" showErrorMessage="1" sqref="E13">
      <formula1>"Male,Female"</formula1>
      <formula2>0</formula2>
    </dataValidation>
    <dataValidation type="list" allowBlank="1" showErrorMessage="1" sqref="E38">
      <formula1>"Single life,Joint life"</formula1>
      <formula2>0</formula2>
    </dataValidation>
    <dataValidation type="list" allowBlank="1" showErrorMessage="1" sqref="E59">
      <formula1>"Contracted-out NI rate,Standard NI rate,Self-employed NI rate"</formula1>
      <formula2>0</formula2>
    </dataValidation>
    <dataValidation type="list" allowBlank="1" showErrorMessage="1" sqref="E33">
      <formula1>"C Plan,Enh M Plan,N Plan,I Plan,DSL Plan,Other"</formula1>
      <formula2>0</formula2>
    </dataValidation>
    <dataValidation showInputMessage="1" showErrorMessage="1" promptTitle="Percentage pensionable increases" prompt="Available range: 0.00% - 100.00%" errorTitle="Error!" error="Please enter a valid percentage." sqref="E39">
      <formula1>0</formula1>
      <formula2>0</formula2>
    </dataValidation>
    <dataValidation type="date" allowBlank="1" showInputMessage="1" showErrorMessage="1" promptTitle="Date of birth" prompt="Available range: 05/12/1944 - 06/04/1959" errorTitle="Error!" error="Please enter a valid date within the available range." sqref="E9">
      <formula1>16411</formula1>
      <formula2>21646</formula2>
    </dataValidation>
    <dataValidation type="date" allowBlank="1" showInputMessage="1" showErrorMessage="1" promptTitle="Date joined IBM" prompt="Available range: 05/12/1961 - 01/08/2009" errorTitle="Error!" error="Please enter a valid date with the available range." sqref="E10">
      <formula1>22620</formula1>
      <formula2>40026</formula2>
    </dataValidation>
    <dataValidation type="date" allowBlank="1" showInputMessage="1" showErrorMessage="1" promptTitle="Actual IBM retirement date" prompt="Available range: 06/12/2009 - 06/04/2011&#10;Should be 6th pf month" errorTitle="Error!" error="Please enter a vaild date within the available range." sqref="E11">
      <formula1>40153</formula1>
      <formula2>40639</formula2>
    </dataValidation>
    <dataValidation type="date" allowBlank="1" showInputMessage="1" showErrorMessage="1" promptTitle="Planned IBM retirement date" prompt="Available range: 06/12/2009 - 06/12/2024&#10;Should be 6th of month" errorTitle="Error!" error="Please enter a valid date within the available range." sqref="E12">
      <formula1>40153</formula1>
      <formula2>45632</formula2>
    </dataValidation>
    <dataValidation allowBlank="1" showInputMessage="1" showErrorMessage="1" promptTitle="Effective date of joining C-Plan" prompt="Available range: 06/12/1961 - 06/01/2000" sqref="E34">
      <formula1>0</formula1>
      <formula2>0</formula2>
    </dataValidation>
    <dataValidation type="date" operator="greaterThanOrEqual" allowBlank="1" showInputMessage="1" showErrorMessage="1" promptTitle="Date started current new job" prompt="Earliest possible date: 06/12/2009" errorTitle="Error!" error="Please enter a valid date." sqref="E47">
      <formula1>40153</formula1>
    </dataValidation>
    <dataValidation type="decimal" allowBlank="1" showInputMessage="1" showErrorMessage="1" promptTitle="Average proportion earning" prompt="Available range: 0% - 100%" errorTitle="Error!" error="Please enter a valid percentage." sqref="E48">
      <formula1>0</formula1>
      <formula2>1</formula2>
    </dataValidation>
    <dataValidation type="decimal" allowBlank="1" showInputMessage="1" showErrorMessage="1" promptTitle="Current job salary growth rate" prompt="Available range: 0.0% - 5.0% per annum" errorTitle="Error!" error="Please enter a valid percentage." sqref="E60">
      <formula1>0</formula1>
      <formula2>0.05</formula2>
    </dataValidation>
    <dataValidation type="textLength" allowBlank="1" showInputMessage="1" showErrorMessage="1" promptTitle="First previous new employer" prompt="Name of employer" sqref="E66">
      <formula1>1</formula1>
      <formula2>30</formula2>
    </dataValidation>
    <dataValidation type="textLength" allowBlank="1" showInputMessage="1" showErrorMessage="1" promptTitle="Second previous new employer" prompt="Name of employer" errorTitle="Error!" error="30 characters max" sqref="E67">
      <formula1>1</formula1>
      <formula2>30</formula2>
    </dataValidation>
    <dataValidation type="textLength" allowBlank="1" showInputMessage="1" showErrorMessage="1" promptTitle="Third previous new employer" prompt="Name of employer" errorTitle="Error" error="30 characters max" sqref="E68">
      <formula1>1</formula1>
      <formula2>30</formula2>
    </dataValidation>
    <dataValidation type="textLength" allowBlank="1" showInputMessage="1" showErrorMessage="1" promptTitle="Fourth previous new employer" prompt="Name of employer" errorTitle="Error" error="30 characters max" sqref="E69">
      <formula1>1</formula1>
      <formula2>30</formula2>
    </dataValidation>
    <dataValidation type="textLength" allowBlank="1" showInputMessage="1" showErrorMessage="1" promptTitle="Fifth previous new employer" prompt="Name of employer" errorTitle="Error" error="30 characters max" sqref="E70">
      <formula1>1</formula1>
      <formula2>30</formula2>
    </dataValidation>
    <dataValidation type="date" allowBlank="1" showInputMessage="1" showErrorMessage="1" promptTitle="Start date" prompt="Enter Start date of this employment, but only if you are no longer working there." errorTitle="Error!" error="Available range: 06/12/2009 -&gt; yesterday" sqref="F66:F70">
      <formula1>40153</formula1>
      <formula2>TODAY()-1</formula2>
    </dataValidation>
    <dataValidation type="date" allowBlank="1" showInputMessage="1" showErrorMessage="1" promptTitle="Pension Valuation date" prompt="Enter date of the last pensions vauation for this pension pot" errorTitle="Error!" error="Available range: Start date -&gt; yesterday" sqref="G79">
      <formula1>F68</formula1>
      <formula2>TODAY()-1</formula2>
    </dataValidation>
    <dataValidation showInputMessage="1" showErrorMessage="1" promptTitle="Percentage pension growth" prompt="Available range: 0.00% - 100.00%" errorTitle="Error!" error="Please enter a valid percentage." sqref="E40"/>
  </dataValidations>
  <hyperlinks>
    <hyperlink ref="N106" r:id="rId1" display="https://www.gov.uk/calculate-state-pension"/>
    <hyperlink ref="N107" r:id="rId2" display="http://en.wikipedia.org/wiki/UK_State_Pension"/>
    <hyperlink ref="N108" r:id="rId3" display="http://en.wikipedia.org/wiki/UK_State_Pension"/>
  </hyperlinks>
  <printOptions/>
  <pageMargins left="0.75" right="0.75" top="1" bottom="1" header="0.5118055555555555" footer="0.5118055555555555"/>
  <pageSetup horizontalDpi="300" verticalDpi="300" orientation="portrait" paperSize="9"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2:T307"/>
  <sheetViews>
    <sheetView showGridLines="0" tabSelected="1" zoomScale="80" zoomScaleNormal="80" zoomScalePageLayoutView="0" workbookViewId="0" topLeftCell="A250">
      <selection activeCell="D284" sqref="D284"/>
    </sheetView>
  </sheetViews>
  <sheetFormatPr defaultColWidth="9.140625" defaultRowHeight="12.75"/>
  <cols>
    <col min="1" max="1" width="3.28125" style="4" customWidth="1"/>
    <col min="2" max="2" width="13.140625" style="4" customWidth="1"/>
    <col min="3" max="3" width="56.8515625" style="4" customWidth="1"/>
    <col min="4" max="4" width="10.421875" style="4" customWidth="1"/>
    <col min="5" max="5" width="21.00390625" style="4" customWidth="1"/>
    <col min="6" max="6" width="20.421875" style="4" customWidth="1"/>
    <col min="7" max="7" width="9.8515625" style="5" customWidth="1"/>
    <col min="8" max="8" width="14.57421875" style="4" customWidth="1"/>
    <col min="9" max="12" width="9.140625" style="4" customWidth="1"/>
    <col min="13" max="13" width="11.140625" style="4" customWidth="1"/>
    <col min="14" max="14" width="9.8515625" style="4" customWidth="1"/>
    <col min="15" max="16" width="9.140625" style="4" customWidth="1"/>
    <col min="17" max="17" width="30.421875" style="4" customWidth="1"/>
    <col min="18" max="16384" width="9.140625" style="4" customWidth="1"/>
  </cols>
  <sheetData>
    <row r="1" ht="12.75"/>
    <row r="2" spans="1:18" ht="12.75" customHeight="1">
      <c r="A2" s="29"/>
      <c r="B2" s="65"/>
      <c r="C2" s="50"/>
      <c r="D2" s="66"/>
      <c r="E2" s="66"/>
      <c r="F2" s="50"/>
      <c r="G2" s="50"/>
      <c r="H2" s="50"/>
      <c r="I2" s="50"/>
      <c r="J2" s="50"/>
      <c r="K2" s="50"/>
      <c r="L2" s="50"/>
      <c r="M2" s="50"/>
      <c r="N2" s="50"/>
      <c r="O2" s="50"/>
      <c r="P2" s="50"/>
      <c r="Q2" s="50"/>
      <c r="R2" s="29"/>
    </row>
    <row r="3" spans="2:17" ht="25.5">
      <c r="B3" s="461" t="s">
        <v>77</v>
      </c>
      <c r="C3" s="461"/>
      <c r="D3" s="461"/>
      <c r="E3" s="461"/>
      <c r="F3" s="461"/>
      <c r="G3" s="461"/>
      <c r="H3" s="461"/>
      <c r="I3" s="461"/>
      <c r="J3" s="461"/>
      <c r="K3" s="461"/>
      <c r="L3" s="461"/>
      <c r="M3" s="461"/>
      <c r="N3" s="461"/>
      <c r="O3" s="461"/>
      <c r="P3" s="461"/>
      <c r="Q3" s="461"/>
    </row>
    <row r="4" spans="2:17" s="29" customFormat="1" ht="12.75" customHeight="1">
      <c r="B4" s="65"/>
      <c r="C4" s="50"/>
      <c r="D4" s="66"/>
      <c r="E4" s="66"/>
      <c r="F4" s="50"/>
      <c r="G4" s="50"/>
      <c r="H4" s="50"/>
      <c r="I4" s="50"/>
      <c r="J4" s="50"/>
      <c r="K4" s="50"/>
      <c r="L4" s="50"/>
      <c r="M4" s="50"/>
      <c r="N4" s="50"/>
      <c r="O4" s="50"/>
      <c r="P4" s="50"/>
      <c r="Q4" s="50"/>
    </row>
    <row r="5" spans="2:17" s="29" customFormat="1" ht="12.75" customHeight="1">
      <c r="B5" s="65"/>
      <c r="C5" s="50"/>
      <c r="D5" s="66"/>
      <c r="E5" s="66"/>
      <c r="F5" s="50"/>
      <c r="G5" s="50"/>
      <c r="H5" s="50"/>
      <c r="I5" s="50"/>
      <c r="J5" s="50"/>
      <c r="K5" s="50"/>
      <c r="L5" s="50"/>
      <c r="M5" s="50"/>
      <c r="N5" s="50"/>
      <c r="O5" s="50"/>
      <c r="P5" s="50"/>
      <c r="Q5" s="50"/>
    </row>
    <row r="6" spans="2:17" ht="20.25">
      <c r="B6" s="462" t="s">
        <v>78</v>
      </c>
      <c r="C6" s="462"/>
      <c r="D6" s="462"/>
      <c r="E6" s="462"/>
      <c r="F6" s="462"/>
      <c r="G6" s="462"/>
      <c r="H6" s="462"/>
      <c r="I6" s="462"/>
      <c r="J6" s="462"/>
      <c r="K6" s="462"/>
      <c r="L6" s="462"/>
      <c r="M6" s="462"/>
      <c r="N6" s="462"/>
      <c r="O6" s="462"/>
      <c r="P6" s="462"/>
      <c r="Q6" s="462"/>
    </row>
    <row r="7" spans="2:17" ht="12.75" customHeight="1">
      <c r="B7" s="7" t="s">
        <v>79</v>
      </c>
      <c r="C7" s="8"/>
      <c r="D7" s="9" t="s">
        <v>4</v>
      </c>
      <c r="E7" s="10" t="s">
        <v>5</v>
      </c>
      <c r="F7" s="463" t="s">
        <v>6</v>
      </c>
      <c r="G7" s="463"/>
      <c r="H7" s="463"/>
      <c r="I7" s="463"/>
      <c r="J7" s="463"/>
      <c r="K7" s="463"/>
      <c r="L7" s="463"/>
      <c r="M7" s="463"/>
      <c r="N7" s="463"/>
      <c r="O7" s="463"/>
      <c r="P7" s="463"/>
      <c r="Q7" s="463"/>
    </row>
    <row r="8" spans="2:17" ht="12.75" customHeight="1">
      <c r="B8" s="39"/>
      <c r="C8" s="458" t="s">
        <v>370</v>
      </c>
      <c r="D8" s="459" t="s">
        <v>0</v>
      </c>
      <c r="E8" s="460" t="s">
        <v>371</v>
      </c>
      <c r="F8" s="477" t="s">
        <v>373</v>
      </c>
      <c r="G8" s="471"/>
      <c r="H8" s="471"/>
      <c r="I8" s="471"/>
      <c r="J8" s="471"/>
      <c r="K8" s="471"/>
      <c r="L8" s="471"/>
      <c r="M8" s="471"/>
      <c r="N8" s="471"/>
      <c r="O8" s="471"/>
      <c r="P8" s="471"/>
      <c r="Q8" s="471"/>
    </row>
    <row r="9" spans="2:17" ht="12.75" customHeight="1">
      <c r="B9" s="67"/>
      <c r="C9" s="1" t="s">
        <v>80</v>
      </c>
      <c r="D9" s="15" t="s">
        <v>81</v>
      </c>
      <c r="E9" s="68">
        <v>0.025</v>
      </c>
      <c r="F9" s="477" t="s">
        <v>372</v>
      </c>
      <c r="G9" s="471"/>
      <c r="H9" s="471"/>
      <c r="I9" s="471"/>
      <c r="J9" s="471"/>
      <c r="K9" s="471"/>
      <c r="L9" s="471"/>
      <c r="M9" s="471"/>
      <c r="N9" s="471"/>
      <c r="O9" s="471"/>
      <c r="P9" s="471"/>
      <c r="Q9" s="471"/>
    </row>
    <row r="10" spans="2:17" ht="12.75" customHeight="1">
      <c r="B10" s="39"/>
      <c r="C10" s="383" t="s">
        <v>374</v>
      </c>
      <c r="D10" s="15" t="str">
        <f aca="true" t="shared" si="0" ref="D10:D17">getnextref(D9)</f>
        <v>ib</v>
      </c>
      <c r="E10" s="68">
        <v>0.08</v>
      </c>
      <c r="F10" s="477" t="s">
        <v>372</v>
      </c>
      <c r="G10" s="471"/>
      <c r="H10" s="471"/>
      <c r="I10" s="471"/>
      <c r="J10" s="471"/>
      <c r="K10" s="471"/>
      <c r="L10" s="471"/>
      <c r="M10" s="471"/>
      <c r="N10" s="471"/>
      <c r="O10" s="471"/>
      <c r="P10" s="471"/>
      <c r="Q10" s="471"/>
    </row>
    <row r="11" spans="2:17" ht="15" customHeight="1">
      <c r="B11" s="39"/>
      <c r="C11" s="69" t="s">
        <v>82</v>
      </c>
      <c r="D11" s="15" t="str">
        <f t="shared" si="0"/>
        <v>ic</v>
      </c>
      <c r="E11" s="70">
        <v>65300</v>
      </c>
      <c r="F11" s="471" t="s">
        <v>83</v>
      </c>
      <c r="G11" s="471"/>
      <c r="H11" s="471"/>
      <c r="I11" s="471"/>
      <c r="J11" s="471"/>
      <c r="K11" s="471"/>
      <c r="L11" s="471"/>
      <c r="M11" s="471"/>
      <c r="N11" s="471"/>
      <c r="O11" s="471"/>
      <c r="P11" s="471"/>
      <c r="Q11" s="471"/>
    </row>
    <row r="12" spans="2:17" ht="15" customHeight="1">
      <c r="B12" s="39"/>
      <c r="C12" s="454" t="s">
        <v>369</v>
      </c>
      <c r="D12" s="15" t="str">
        <f t="shared" si="0"/>
        <v>id</v>
      </c>
      <c r="E12" s="68">
        <v>0.08</v>
      </c>
      <c r="F12" s="477" t="s">
        <v>364</v>
      </c>
      <c r="G12" s="471"/>
      <c r="H12" s="471"/>
      <c r="I12" s="471"/>
      <c r="J12" s="471"/>
      <c r="K12" s="471"/>
      <c r="L12" s="471"/>
      <c r="M12" s="471"/>
      <c r="N12" s="471"/>
      <c r="O12" s="471"/>
      <c r="P12" s="471"/>
      <c r="Q12" s="471"/>
    </row>
    <row r="13" spans="2:17" ht="15" customHeight="1">
      <c r="B13" s="39"/>
      <c r="C13" s="454" t="s">
        <v>366</v>
      </c>
      <c r="D13" s="15" t="str">
        <f t="shared" si="0"/>
        <v>ie</v>
      </c>
      <c r="E13" s="455">
        <f>Input!E11</f>
        <v>40243</v>
      </c>
      <c r="F13" s="477" t="str">
        <f>"Actual Retirement date (from ref "&amp;Input!D11&amp;")"</f>
        <v>Actual Retirement date (from ref ac)</v>
      </c>
      <c r="G13" s="471"/>
      <c r="H13" s="471"/>
      <c r="I13" s="471"/>
      <c r="J13" s="471"/>
      <c r="K13" s="471"/>
      <c r="L13" s="471"/>
      <c r="M13" s="471"/>
      <c r="N13" s="471"/>
      <c r="O13" s="471"/>
      <c r="P13" s="471"/>
      <c r="Q13" s="471"/>
    </row>
    <row r="14" spans="2:17" ht="15" customHeight="1">
      <c r="B14" s="39"/>
      <c r="C14" s="454" t="s">
        <v>361</v>
      </c>
      <c r="D14" s="15" t="str">
        <f t="shared" si="0"/>
        <v>if</v>
      </c>
      <c r="E14" s="455">
        <f>Input!E91</f>
        <v>42133</v>
      </c>
      <c r="F14" s="471" t="str">
        <f>"Final Tribunal date (from ref "&amp;Input!D91&amp;")"</f>
        <v>Final Tribunal date (from ref fa)</v>
      </c>
      <c r="G14" s="471"/>
      <c r="H14" s="471"/>
      <c r="I14" s="471"/>
      <c r="J14" s="471"/>
      <c r="K14" s="471"/>
      <c r="L14" s="471"/>
      <c r="M14" s="471"/>
      <c r="N14" s="471"/>
      <c r="O14" s="471"/>
      <c r="P14" s="471"/>
      <c r="Q14" s="471"/>
    </row>
    <row r="15" spans="2:17" ht="15" customHeight="1">
      <c r="B15" s="39"/>
      <c r="C15" s="454" t="s">
        <v>362</v>
      </c>
      <c r="D15" s="15" t="str">
        <f t="shared" si="0"/>
        <v>ig</v>
      </c>
      <c r="E15" s="455">
        <f>ROUND(AVERAGE(E13,E14),0)</f>
        <v>41188</v>
      </c>
      <c r="F15" s="477" t="s">
        <v>365</v>
      </c>
      <c r="G15" s="471"/>
      <c r="H15" s="471"/>
      <c r="I15" s="471"/>
      <c r="J15" s="471"/>
      <c r="K15" s="471"/>
      <c r="L15" s="471"/>
      <c r="M15" s="471"/>
      <c r="N15" s="471"/>
      <c r="O15" s="471"/>
      <c r="P15" s="471"/>
      <c r="Q15" s="471"/>
    </row>
    <row r="16" spans="2:17" ht="15" customHeight="1">
      <c r="B16" s="39"/>
      <c r="C16" s="454" t="s">
        <v>363</v>
      </c>
      <c r="D16" s="15" t="str">
        <f t="shared" si="0"/>
        <v>ih</v>
      </c>
      <c r="E16" s="456">
        <f>ROUND(E14-E15,0)</f>
        <v>945</v>
      </c>
      <c r="F16" s="471"/>
      <c r="G16" s="471"/>
      <c r="H16" s="471"/>
      <c r="I16" s="471"/>
      <c r="J16" s="471"/>
      <c r="K16" s="471"/>
      <c r="L16" s="471"/>
      <c r="M16" s="471"/>
      <c r="N16" s="471"/>
      <c r="O16" s="471"/>
      <c r="P16" s="471"/>
      <c r="Q16" s="471"/>
    </row>
    <row r="17" spans="2:17" ht="15" customHeight="1">
      <c r="B17" s="39"/>
      <c r="C17" s="454" t="s">
        <v>368</v>
      </c>
      <c r="D17" s="15" t="str">
        <f t="shared" si="0"/>
        <v>ii</v>
      </c>
      <c r="E17" s="455">
        <f>Input!E91</f>
        <v>42133</v>
      </c>
      <c r="F17" s="477" t="s">
        <v>367</v>
      </c>
      <c r="G17" s="471"/>
      <c r="H17" s="471"/>
      <c r="I17" s="471"/>
      <c r="J17" s="471"/>
      <c r="K17" s="471"/>
      <c r="L17" s="471"/>
      <c r="M17" s="471"/>
      <c r="N17" s="471"/>
      <c r="O17" s="471"/>
      <c r="P17" s="471"/>
      <c r="Q17" s="471"/>
    </row>
    <row r="18" spans="2:17" ht="12.75">
      <c r="B18" s="60"/>
      <c r="C18" s="65" t="s">
        <v>84</v>
      </c>
      <c r="D18" s="66"/>
      <c r="E18" s="3"/>
      <c r="F18" s="3"/>
      <c r="G18" s="3"/>
      <c r="H18" s="3"/>
      <c r="I18" s="3"/>
      <c r="J18" s="3"/>
      <c r="K18" s="3"/>
      <c r="L18" s="3"/>
      <c r="M18" s="3"/>
      <c r="N18" s="3"/>
      <c r="O18" s="3"/>
      <c r="P18" s="3"/>
      <c r="Q18" s="71"/>
    </row>
    <row r="19" spans="2:17" ht="12.75">
      <c r="B19" s="61"/>
      <c r="C19" s="72"/>
      <c r="D19" s="62"/>
      <c r="E19" s="73"/>
      <c r="F19" s="73"/>
      <c r="G19" s="73"/>
      <c r="H19" s="73"/>
      <c r="I19" s="73"/>
      <c r="J19" s="73"/>
      <c r="K19" s="73"/>
      <c r="L19" s="73"/>
      <c r="M19" s="73"/>
      <c r="N19" s="73"/>
      <c r="O19" s="73"/>
      <c r="P19" s="73"/>
      <c r="Q19" s="74"/>
    </row>
    <row r="20" spans="1:18" ht="12.75">
      <c r="A20" s="29"/>
      <c r="B20" s="65"/>
      <c r="C20" s="65"/>
      <c r="D20" s="66"/>
      <c r="E20" s="3"/>
      <c r="F20" s="3"/>
      <c r="G20" s="3"/>
      <c r="H20" s="3"/>
      <c r="I20" s="3"/>
      <c r="J20" s="3"/>
      <c r="K20" s="3"/>
      <c r="L20" s="3"/>
      <c r="M20" s="3"/>
      <c r="N20" s="3"/>
      <c r="O20" s="3"/>
      <c r="P20" s="3"/>
      <c r="Q20" s="3"/>
      <c r="R20" s="29"/>
    </row>
    <row r="21" spans="1:18" ht="12.75">
      <c r="A21" s="29"/>
      <c r="B21" s="65"/>
      <c r="C21" s="65"/>
      <c r="D21" s="66"/>
      <c r="E21" s="3"/>
      <c r="F21" s="3"/>
      <c r="G21" s="3"/>
      <c r="H21" s="3"/>
      <c r="I21" s="3"/>
      <c r="J21" s="3"/>
      <c r="K21" s="3"/>
      <c r="L21" s="3"/>
      <c r="M21" s="3"/>
      <c r="N21" s="3"/>
      <c r="O21" s="3"/>
      <c r="P21" s="3"/>
      <c r="Q21" s="3"/>
      <c r="R21" s="29"/>
    </row>
    <row r="22" spans="2:17" ht="20.25">
      <c r="B22" s="462" t="s">
        <v>85</v>
      </c>
      <c r="C22" s="462"/>
      <c r="D22" s="462"/>
      <c r="E22" s="462"/>
      <c r="F22" s="462"/>
      <c r="G22" s="462"/>
      <c r="H22" s="462"/>
      <c r="I22" s="462"/>
      <c r="J22" s="462"/>
      <c r="K22" s="462"/>
      <c r="L22" s="462"/>
      <c r="M22" s="462"/>
      <c r="N22" s="462"/>
      <c r="O22" s="462"/>
      <c r="P22" s="462"/>
      <c r="Q22" s="462"/>
    </row>
    <row r="23" spans="2:17" ht="12.75">
      <c r="B23" s="58" t="s">
        <v>86</v>
      </c>
      <c r="C23" s="59"/>
      <c r="D23" s="75"/>
      <c r="E23" s="59"/>
      <c r="F23" s="59"/>
      <c r="G23" s="59"/>
      <c r="H23" s="59"/>
      <c r="I23" s="59"/>
      <c r="J23" s="59"/>
      <c r="K23" s="59"/>
      <c r="L23" s="59"/>
      <c r="M23" s="59"/>
      <c r="N23" s="59"/>
      <c r="O23" s="76"/>
      <c r="P23" s="76"/>
      <c r="Q23" s="77"/>
    </row>
    <row r="24" spans="2:17" ht="12.75">
      <c r="B24" s="11"/>
      <c r="C24" s="3"/>
      <c r="D24" s="29"/>
      <c r="E24" s="29"/>
      <c r="F24" s="29"/>
      <c r="G24" s="78"/>
      <c r="H24" s="29"/>
      <c r="I24" s="79" t="s">
        <v>15</v>
      </c>
      <c r="J24" s="79" t="s">
        <v>87</v>
      </c>
      <c r="K24" s="3"/>
      <c r="L24" s="79" t="s">
        <v>88</v>
      </c>
      <c r="M24" s="79" t="s">
        <v>87</v>
      </c>
      <c r="N24" s="3"/>
      <c r="O24" s="65" t="s">
        <v>89</v>
      </c>
      <c r="P24" s="3"/>
      <c r="Q24" s="71"/>
    </row>
    <row r="25" spans="2:17" ht="51" customHeight="1">
      <c r="B25" s="60"/>
      <c r="C25" s="3"/>
      <c r="D25" s="29"/>
      <c r="E25" s="29"/>
      <c r="F25" s="29"/>
      <c r="G25" s="78"/>
      <c r="H25" s="29"/>
      <c r="I25" s="80" t="s">
        <v>90</v>
      </c>
      <c r="J25" s="81" t="s">
        <v>91</v>
      </c>
      <c r="K25" s="3"/>
      <c r="L25" s="80" t="s">
        <v>90</v>
      </c>
      <c r="M25" s="81" t="s">
        <v>91</v>
      </c>
      <c r="N25" s="3"/>
      <c r="O25" s="58" t="s">
        <v>92</v>
      </c>
      <c r="P25" s="82" t="s">
        <v>93</v>
      </c>
      <c r="Q25" s="83" t="s">
        <v>94</v>
      </c>
    </row>
    <row r="26" spans="2:17" ht="12.75">
      <c r="B26" s="60"/>
      <c r="C26" s="3"/>
      <c r="D26" s="29"/>
      <c r="E26" s="29"/>
      <c r="F26" s="29"/>
      <c r="G26" s="78"/>
      <c r="H26" s="29"/>
      <c r="I26" s="84">
        <v>50</v>
      </c>
      <c r="J26" s="85">
        <v>525</v>
      </c>
      <c r="K26" s="3"/>
      <c r="L26" s="84">
        <v>50</v>
      </c>
      <c r="M26" s="85">
        <v>503</v>
      </c>
      <c r="N26" s="3"/>
      <c r="O26" s="86">
        <v>40148</v>
      </c>
      <c r="P26" s="87">
        <v>5897</v>
      </c>
      <c r="Q26" s="88">
        <f aca="true" t="shared" si="1" ref="Q26:Q42">P26/$P$35</f>
        <v>1.0394852811563546</v>
      </c>
    </row>
    <row r="27" spans="2:17" ht="12.75">
      <c r="B27" s="60"/>
      <c r="C27" s="3"/>
      <c r="D27" s="29"/>
      <c r="E27" s="29"/>
      <c r="F27" s="29"/>
      <c r="G27" s="78"/>
      <c r="H27" s="29"/>
      <c r="I27" s="84">
        <f aca="true" t="shared" si="2" ref="I27:I42">I26+1</f>
        <v>51</v>
      </c>
      <c r="J27" s="85">
        <v>531</v>
      </c>
      <c r="K27" s="3"/>
      <c r="L27" s="84">
        <f aca="true" t="shared" si="3" ref="L27:L42">L26+1</f>
        <v>51</v>
      </c>
      <c r="M27" s="85">
        <v>509</v>
      </c>
      <c r="N27" s="3"/>
      <c r="O27" s="86">
        <v>40179</v>
      </c>
      <c r="P27" s="87">
        <v>6051</v>
      </c>
      <c r="Q27" s="88">
        <f t="shared" si="1"/>
        <v>1.0666314119513485</v>
      </c>
    </row>
    <row r="28" spans="2:17" ht="12.75">
      <c r="B28" s="60"/>
      <c r="C28" s="3"/>
      <c r="D28" s="29"/>
      <c r="E28" s="29"/>
      <c r="F28" s="29"/>
      <c r="G28" s="78"/>
      <c r="H28" s="29"/>
      <c r="I28" s="84">
        <f t="shared" si="2"/>
        <v>52</v>
      </c>
      <c r="J28" s="85">
        <v>539</v>
      </c>
      <c r="K28" s="3"/>
      <c r="L28" s="84">
        <f t="shared" si="3"/>
        <v>52</v>
      </c>
      <c r="M28" s="85">
        <v>516</v>
      </c>
      <c r="N28" s="3"/>
      <c r="O28" s="86">
        <v>40210</v>
      </c>
      <c r="P28" s="87">
        <v>6080</v>
      </c>
      <c r="Q28" s="88">
        <f t="shared" si="1"/>
        <v>1.0717433456724836</v>
      </c>
    </row>
    <row r="29" spans="2:17" ht="12.75">
      <c r="B29" s="60"/>
      <c r="C29" s="3"/>
      <c r="D29" s="29"/>
      <c r="E29" s="29"/>
      <c r="F29" s="29"/>
      <c r="G29" s="78"/>
      <c r="H29" s="29"/>
      <c r="I29" s="84">
        <f t="shared" si="2"/>
        <v>53</v>
      </c>
      <c r="J29" s="85">
        <v>547</v>
      </c>
      <c r="K29" s="3"/>
      <c r="L29" s="84">
        <f t="shared" si="3"/>
        <v>53</v>
      </c>
      <c r="M29" s="85">
        <v>524</v>
      </c>
      <c r="N29" s="3"/>
      <c r="O29" s="86">
        <v>40238</v>
      </c>
      <c r="P29" s="87">
        <v>6080</v>
      </c>
      <c r="Q29" s="88">
        <f t="shared" si="1"/>
        <v>1.0717433456724836</v>
      </c>
    </row>
    <row r="30" spans="2:17" ht="12.75">
      <c r="B30" s="60"/>
      <c r="C30" s="3"/>
      <c r="D30" s="29"/>
      <c r="E30" s="29"/>
      <c r="F30" s="29"/>
      <c r="G30" s="78"/>
      <c r="H30" s="29"/>
      <c r="I30" s="84">
        <f t="shared" si="2"/>
        <v>54</v>
      </c>
      <c r="J30" s="85">
        <v>556</v>
      </c>
      <c r="K30" s="3"/>
      <c r="L30" s="84">
        <f t="shared" si="3"/>
        <v>54</v>
      </c>
      <c r="M30" s="85">
        <v>533</v>
      </c>
      <c r="N30" s="3"/>
      <c r="O30" s="86">
        <v>40269</v>
      </c>
      <c r="P30" s="87">
        <v>6080</v>
      </c>
      <c r="Q30" s="88">
        <f t="shared" si="1"/>
        <v>1.0717433456724836</v>
      </c>
    </row>
    <row r="31" spans="2:17" ht="12.75">
      <c r="B31" s="60"/>
      <c r="C31" s="3"/>
      <c r="D31" s="29"/>
      <c r="E31" s="29"/>
      <c r="F31" s="29"/>
      <c r="G31" s="78"/>
      <c r="H31" s="29"/>
      <c r="I31" s="84">
        <f t="shared" si="2"/>
        <v>55</v>
      </c>
      <c r="J31" s="89">
        <v>567</v>
      </c>
      <c r="K31" s="3"/>
      <c r="L31" s="84">
        <f t="shared" si="3"/>
        <v>55</v>
      </c>
      <c r="M31" s="89">
        <v>543</v>
      </c>
      <c r="N31" s="3"/>
      <c r="O31" s="86">
        <v>40299</v>
      </c>
      <c r="P31" s="87">
        <v>5971</v>
      </c>
      <c r="Q31" s="88">
        <f t="shared" si="1"/>
        <v>1.052529525824079</v>
      </c>
    </row>
    <row r="32" spans="2:17" ht="12.75">
      <c r="B32" s="60"/>
      <c r="C32" s="3"/>
      <c r="D32" s="29"/>
      <c r="E32" s="29"/>
      <c r="F32" s="29"/>
      <c r="G32" s="78"/>
      <c r="H32" s="29"/>
      <c r="I32" s="84">
        <f t="shared" si="2"/>
        <v>56</v>
      </c>
      <c r="J32" s="89">
        <v>579</v>
      </c>
      <c r="K32" s="3"/>
      <c r="L32" s="84">
        <f t="shared" si="3"/>
        <v>56</v>
      </c>
      <c r="M32" s="89">
        <v>554</v>
      </c>
      <c r="N32" s="3"/>
      <c r="O32" s="86">
        <v>40330</v>
      </c>
      <c r="P32" s="87">
        <v>5860</v>
      </c>
      <c r="Q32" s="88">
        <f t="shared" si="1"/>
        <v>1.0329631588224926</v>
      </c>
    </row>
    <row r="33" spans="2:17" ht="12.75">
      <c r="B33" s="60"/>
      <c r="C33" s="3"/>
      <c r="D33" s="29"/>
      <c r="E33" s="29"/>
      <c r="F33" s="29"/>
      <c r="G33" s="78"/>
      <c r="H33" s="29"/>
      <c r="I33" s="84">
        <f t="shared" si="2"/>
        <v>57</v>
      </c>
      <c r="J33" s="89">
        <v>592</v>
      </c>
      <c r="K33" s="3"/>
      <c r="L33" s="84">
        <f t="shared" si="3"/>
        <v>57</v>
      </c>
      <c r="M33" s="89">
        <v>566</v>
      </c>
      <c r="N33" s="3"/>
      <c r="O33" s="86">
        <v>40360</v>
      </c>
      <c r="P33" s="87">
        <v>5749</v>
      </c>
      <c r="Q33" s="88">
        <f t="shared" si="1"/>
        <v>1.0133967918209061</v>
      </c>
    </row>
    <row r="34" spans="2:17" ht="12.75">
      <c r="B34" s="60"/>
      <c r="C34" s="3"/>
      <c r="D34" s="29"/>
      <c r="E34" s="29"/>
      <c r="F34" s="29"/>
      <c r="G34" s="78"/>
      <c r="H34" s="29"/>
      <c r="I34" s="84">
        <f t="shared" si="2"/>
        <v>58</v>
      </c>
      <c r="J34" s="89">
        <v>608</v>
      </c>
      <c r="K34" s="3"/>
      <c r="L34" s="84">
        <f t="shared" si="3"/>
        <v>58</v>
      </c>
      <c r="M34" s="89">
        <v>579</v>
      </c>
      <c r="N34" s="3"/>
      <c r="O34" s="86">
        <v>40391</v>
      </c>
      <c r="P34" s="87">
        <v>5808</v>
      </c>
      <c r="Q34" s="88">
        <f t="shared" si="1"/>
        <v>1.0237969328397674</v>
      </c>
    </row>
    <row r="35" spans="2:17" ht="12.75">
      <c r="B35" s="60"/>
      <c r="C35" s="3"/>
      <c r="D35" s="29"/>
      <c r="E35" s="29"/>
      <c r="F35" s="29"/>
      <c r="G35" s="78"/>
      <c r="H35" s="29"/>
      <c r="I35" s="84">
        <f t="shared" si="2"/>
        <v>59</v>
      </c>
      <c r="J35" s="89">
        <v>626</v>
      </c>
      <c r="K35" s="3"/>
      <c r="L35" s="84">
        <f t="shared" si="3"/>
        <v>59</v>
      </c>
      <c r="M35" s="89">
        <v>595</v>
      </c>
      <c r="N35" s="3"/>
      <c r="O35" s="90">
        <v>40422</v>
      </c>
      <c r="P35" s="91">
        <v>5673</v>
      </c>
      <c r="Q35" s="92">
        <f t="shared" si="1"/>
        <v>1</v>
      </c>
    </row>
    <row r="36" spans="2:17" ht="12.75">
      <c r="B36" s="60"/>
      <c r="C36" s="3"/>
      <c r="D36" s="29"/>
      <c r="E36" s="29"/>
      <c r="F36" s="29"/>
      <c r="G36" s="78"/>
      <c r="H36" s="29"/>
      <c r="I36" s="84">
        <f t="shared" si="2"/>
        <v>60</v>
      </c>
      <c r="J36" s="89">
        <v>645</v>
      </c>
      <c r="K36" s="3"/>
      <c r="L36" s="84">
        <f t="shared" si="3"/>
        <v>60</v>
      </c>
      <c r="M36" s="89">
        <v>611</v>
      </c>
      <c r="N36" s="3"/>
      <c r="O36" s="86">
        <v>40452</v>
      </c>
      <c r="P36" s="87">
        <v>5673</v>
      </c>
      <c r="Q36" s="88">
        <f t="shared" si="1"/>
        <v>1</v>
      </c>
    </row>
    <row r="37" spans="2:17" ht="12.75">
      <c r="B37" s="60"/>
      <c r="C37" s="3"/>
      <c r="D37" s="29"/>
      <c r="E37" s="29"/>
      <c r="F37" s="29"/>
      <c r="G37" s="78"/>
      <c r="H37" s="29"/>
      <c r="I37" s="84">
        <f t="shared" si="2"/>
        <v>61</v>
      </c>
      <c r="J37" s="89">
        <v>664</v>
      </c>
      <c r="K37" s="3"/>
      <c r="L37" s="84">
        <f t="shared" si="3"/>
        <v>61</v>
      </c>
      <c r="M37" s="89">
        <v>628</v>
      </c>
      <c r="N37" s="3"/>
      <c r="O37" s="86">
        <v>40483</v>
      </c>
      <c r="P37" s="87">
        <v>5638</v>
      </c>
      <c r="Q37" s="88">
        <f t="shared" si="1"/>
        <v>0.9938304248193196</v>
      </c>
    </row>
    <row r="38" spans="2:17" ht="12.75">
      <c r="B38" s="60"/>
      <c r="C38" s="3"/>
      <c r="D38" s="29"/>
      <c r="E38" s="29"/>
      <c r="F38" s="29"/>
      <c r="G38" s="78"/>
      <c r="H38" s="29"/>
      <c r="I38" s="84">
        <f t="shared" si="2"/>
        <v>62</v>
      </c>
      <c r="J38" s="89">
        <v>685</v>
      </c>
      <c r="K38" s="3"/>
      <c r="L38" s="84">
        <f t="shared" si="3"/>
        <v>62</v>
      </c>
      <c r="M38" s="89">
        <v>647</v>
      </c>
      <c r="N38" s="3"/>
      <c r="O38" s="86">
        <v>40513</v>
      </c>
      <c r="P38" s="87">
        <v>5777</v>
      </c>
      <c r="Q38" s="88">
        <f t="shared" si="1"/>
        <v>1.0183324519654504</v>
      </c>
    </row>
    <row r="39" spans="2:17" ht="12.75">
      <c r="B39" s="60"/>
      <c r="C39" s="3"/>
      <c r="D39" s="29"/>
      <c r="E39" s="29"/>
      <c r="F39" s="29"/>
      <c r="G39" s="78"/>
      <c r="H39" s="29"/>
      <c r="I39" s="84">
        <f t="shared" si="2"/>
        <v>63</v>
      </c>
      <c r="J39" s="89">
        <v>708</v>
      </c>
      <c r="K39" s="3"/>
      <c r="L39" s="84">
        <f t="shared" si="3"/>
        <v>63</v>
      </c>
      <c r="M39" s="89">
        <v>667</v>
      </c>
      <c r="N39" s="3"/>
      <c r="O39" s="86">
        <v>40544</v>
      </c>
      <c r="P39" s="87">
        <v>5834</v>
      </c>
      <c r="Q39" s="88">
        <f t="shared" si="1"/>
        <v>1.0283800458311299</v>
      </c>
    </row>
    <row r="40" spans="2:17" ht="12.75">
      <c r="B40" s="60"/>
      <c r="C40" s="3"/>
      <c r="D40" s="29"/>
      <c r="E40" s="29"/>
      <c r="F40" s="29"/>
      <c r="G40" s="78"/>
      <c r="H40" s="29"/>
      <c r="I40" s="84">
        <f t="shared" si="2"/>
        <v>64</v>
      </c>
      <c r="J40" s="89">
        <v>732</v>
      </c>
      <c r="K40" s="3"/>
      <c r="L40" s="84">
        <f t="shared" si="3"/>
        <v>64</v>
      </c>
      <c r="M40" s="89">
        <v>688</v>
      </c>
      <c r="N40" s="3"/>
      <c r="O40" s="86">
        <v>40575</v>
      </c>
      <c r="P40" s="87">
        <v>5852</v>
      </c>
      <c r="Q40" s="88">
        <f t="shared" si="1"/>
        <v>1.0315529702097657</v>
      </c>
    </row>
    <row r="41" spans="2:17" ht="12.75">
      <c r="B41" s="60"/>
      <c r="C41" s="3"/>
      <c r="D41" s="29"/>
      <c r="E41" s="29"/>
      <c r="F41" s="29"/>
      <c r="G41" s="78"/>
      <c r="H41" s="29"/>
      <c r="I41" s="84">
        <f t="shared" si="2"/>
        <v>65</v>
      </c>
      <c r="J41" s="89">
        <v>757</v>
      </c>
      <c r="K41" s="3"/>
      <c r="L41" s="84">
        <f t="shared" si="3"/>
        <v>65</v>
      </c>
      <c r="M41" s="89">
        <v>710</v>
      </c>
      <c r="N41" s="3"/>
      <c r="O41" s="86">
        <v>40603</v>
      </c>
      <c r="P41" s="87">
        <v>5883</v>
      </c>
      <c r="Q41" s="88">
        <f t="shared" si="1"/>
        <v>1.0370174510840824</v>
      </c>
    </row>
    <row r="42" spans="2:17" ht="12.75">
      <c r="B42" s="60"/>
      <c r="C42" s="3"/>
      <c r="D42" s="29"/>
      <c r="E42" s="29"/>
      <c r="F42" s="29"/>
      <c r="G42" s="78"/>
      <c r="H42" s="29"/>
      <c r="I42" s="93">
        <f t="shared" si="2"/>
        <v>66</v>
      </c>
      <c r="J42" s="94">
        <v>783</v>
      </c>
      <c r="K42" s="3"/>
      <c r="L42" s="93">
        <f t="shared" si="3"/>
        <v>66</v>
      </c>
      <c r="M42" s="94">
        <v>733</v>
      </c>
      <c r="N42" s="3"/>
      <c r="O42" s="86">
        <v>40634</v>
      </c>
      <c r="P42" s="87">
        <v>5943</v>
      </c>
      <c r="Q42" s="88">
        <f t="shared" si="1"/>
        <v>1.0475938656795347</v>
      </c>
    </row>
    <row r="43" spans="2:20" ht="15.75" customHeight="1">
      <c r="B43" s="60"/>
      <c r="C43" s="3"/>
      <c r="D43" s="29"/>
      <c r="E43" s="29"/>
      <c r="F43" s="29"/>
      <c r="G43" s="78"/>
      <c r="H43" s="29"/>
      <c r="I43" s="79" t="s">
        <v>15</v>
      </c>
      <c r="J43" s="79" t="s">
        <v>95</v>
      </c>
      <c r="K43" s="3"/>
      <c r="L43" s="79" t="s">
        <v>88</v>
      </c>
      <c r="M43" s="79" t="s">
        <v>95</v>
      </c>
      <c r="N43" s="3"/>
      <c r="O43" s="95" t="s">
        <v>96</v>
      </c>
      <c r="P43" s="96"/>
      <c r="Q43" s="97"/>
      <c r="R43" s="98"/>
      <c r="S43" s="98"/>
      <c r="T43" s="98"/>
    </row>
    <row r="44" spans="2:17" ht="12.75" customHeight="1">
      <c r="B44" s="60"/>
      <c r="C44" s="3"/>
      <c r="D44" s="29"/>
      <c r="E44" s="29"/>
      <c r="F44" s="29"/>
      <c r="G44" s="78"/>
      <c r="H44" s="29"/>
      <c r="I44" s="80" t="s">
        <v>90</v>
      </c>
      <c r="J44" s="81" t="s">
        <v>91</v>
      </c>
      <c r="K44" s="3"/>
      <c r="L44" s="80" t="s">
        <v>90</v>
      </c>
      <c r="M44" s="81" t="s">
        <v>91</v>
      </c>
      <c r="N44" s="3"/>
      <c r="O44" s="529" t="s">
        <v>421</v>
      </c>
      <c r="P44" s="529"/>
      <c r="Q44" s="530"/>
    </row>
    <row r="45" spans="2:17" ht="12.75">
      <c r="B45" s="60"/>
      <c r="C45" s="3"/>
      <c r="D45" s="29"/>
      <c r="E45" s="29"/>
      <c r="F45" s="29"/>
      <c r="G45" s="78"/>
      <c r="H45" s="29"/>
      <c r="I45" s="84">
        <v>50</v>
      </c>
      <c r="J45" s="85">
        <v>488</v>
      </c>
      <c r="K45" s="3"/>
      <c r="L45" s="84">
        <v>50</v>
      </c>
      <c r="M45" s="85">
        <v>478</v>
      </c>
      <c r="N45" s="3"/>
      <c r="O45" s="531"/>
      <c r="P45" s="531"/>
      <c r="Q45" s="532"/>
    </row>
    <row r="46" spans="2:17" ht="12.75">
      <c r="B46" s="60"/>
      <c r="C46" s="29"/>
      <c r="D46" s="29"/>
      <c r="E46" s="29"/>
      <c r="F46" s="29"/>
      <c r="G46" s="78"/>
      <c r="H46" s="29"/>
      <c r="I46" s="84">
        <f aca="true" t="shared" si="4" ref="I46:I60">I45+1</f>
        <v>51</v>
      </c>
      <c r="J46" s="85">
        <v>494</v>
      </c>
      <c r="K46" s="3"/>
      <c r="L46" s="84">
        <f aca="true" t="shared" si="5" ref="L46:L60">L45+1</f>
        <v>51</v>
      </c>
      <c r="M46" s="85">
        <v>484</v>
      </c>
      <c r="N46" s="3"/>
      <c r="O46" s="531"/>
      <c r="P46" s="531"/>
      <c r="Q46" s="532"/>
    </row>
    <row r="47" spans="2:17" ht="12.75">
      <c r="B47" s="60"/>
      <c r="C47" s="65" t="s">
        <v>97</v>
      </c>
      <c r="D47" s="29"/>
      <c r="E47" s="29"/>
      <c r="F47" s="29"/>
      <c r="G47" s="78"/>
      <c r="H47" s="29"/>
      <c r="I47" s="84">
        <f t="shared" si="4"/>
        <v>52</v>
      </c>
      <c r="J47" s="85">
        <v>500</v>
      </c>
      <c r="K47" s="3"/>
      <c r="L47" s="84">
        <f t="shared" si="5"/>
        <v>52</v>
      </c>
      <c r="M47" s="85">
        <v>490</v>
      </c>
      <c r="N47" s="3"/>
      <c r="O47" s="531"/>
      <c r="P47" s="531"/>
      <c r="Q47" s="532"/>
    </row>
    <row r="48" spans="2:17" ht="12.75">
      <c r="B48" s="60"/>
      <c r="C48" s="2" t="s">
        <v>98</v>
      </c>
      <c r="D48" s="100" t="s">
        <v>99</v>
      </c>
      <c r="E48" s="76"/>
      <c r="F48" s="76"/>
      <c r="G48" s="101"/>
      <c r="H48" s="29"/>
      <c r="I48" s="84">
        <f t="shared" si="4"/>
        <v>53</v>
      </c>
      <c r="J48" s="85">
        <v>507</v>
      </c>
      <c r="K48" s="3"/>
      <c r="L48" s="84">
        <f t="shared" si="5"/>
        <v>53</v>
      </c>
      <c r="M48" s="85">
        <v>497</v>
      </c>
      <c r="N48" s="3"/>
      <c r="O48" s="531"/>
      <c r="P48" s="531"/>
      <c r="Q48" s="532"/>
    </row>
    <row r="49" spans="2:17" ht="12.75">
      <c r="B49" s="60"/>
      <c r="C49" s="102" t="s">
        <v>100</v>
      </c>
      <c r="D49" s="29"/>
      <c r="E49" s="29"/>
      <c r="F49" s="29"/>
      <c r="G49" s="103"/>
      <c r="H49" s="29"/>
      <c r="I49" s="84">
        <f t="shared" si="4"/>
        <v>54</v>
      </c>
      <c r="J49" s="85">
        <v>515</v>
      </c>
      <c r="K49" s="3"/>
      <c r="L49" s="84">
        <f t="shared" si="5"/>
        <v>54</v>
      </c>
      <c r="M49" s="85">
        <v>505</v>
      </c>
      <c r="N49" s="3"/>
      <c r="O49" s="104"/>
      <c r="P49" s="87"/>
      <c r="Q49" s="88"/>
    </row>
    <row r="50" spans="2:17" ht="12.75">
      <c r="B50" s="60"/>
      <c r="C50" s="102" t="s">
        <v>101</v>
      </c>
      <c r="D50" s="29"/>
      <c r="E50" s="29"/>
      <c r="F50" s="29"/>
      <c r="G50" s="103"/>
      <c r="H50" s="29"/>
      <c r="I50" s="84">
        <f t="shared" si="4"/>
        <v>55</v>
      </c>
      <c r="J50" s="89">
        <v>524</v>
      </c>
      <c r="K50" s="3"/>
      <c r="L50" s="84">
        <f t="shared" si="5"/>
        <v>55</v>
      </c>
      <c r="M50" s="89">
        <v>514</v>
      </c>
      <c r="N50" s="3"/>
      <c r="O50" s="99"/>
      <c r="P50" s="87"/>
      <c r="Q50" s="88"/>
    </row>
    <row r="51" spans="2:17" ht="12.75">
      <c r="B51" s="60"/>
      <c r="C51" s="102" t="s">
        <v>102</v>
      </c>
      <c r="D51" s="29"/>
      <c r="E51" s="29"/>
      <c r="F51" s="29"/>
      <c r="G51" s="103"/>
      <c r="H51" s="29"/>
      <c r="I51" s="84">
        <f t="shared" si="4"/>
        <v>56</v>
      </c>
      <c r="J51" s="89">
        <v>534</v>
      </c>
      <c r="K51" s="3"/>
      <c r="L51" s="84">
        <f t="shared" si="5"/>
        <v>56</v>
      </c>
      <c r="M51" s="89">
        <v>523</v>
      </c>
      <c r="N51" s="3"/>
      <c r="O51" s="99"/>
      <c r="P51" s="87"/>
      <c r="Q51" s="88"/>
    </row>
    <row r="52" spans="2:17" ht="12.75">
      <c r="B52" s="60"/>
      <c r="C52" s="102" t="s">
        <v>103</v>
      </c>
      <c r="D52" s="29"/>
      <c r="E52" s="29"/>
      <c r="F52" s="29"/>
      <c r="G52" s="103"/>
      <c r="H52" s="29"/>
      <c r="I52" s="84">
        <f t="shared" si="4"/>
        <v>57</v>
      </c>
      <c r="J52" s="89">
        <v>545</v>
      </c>
      <c r="K52" s="3"/>
      <c r="L52" s="84">
        <f t="shared" si="5"/>
        <v>57</v>
      </c>
      <c r="M52" s="89">
        <v>534</v>
      </c>
      <c r="N52" s="3"/>
      <c r="O52" s="29"/>
      <c r="P52" s="29"/>
      <c r="Q52" s="105"/>
    </row>
    <row r="53" spans="2:17" ht="12.75">
      <c r="B53" s="60"/>
      <c r="C53" s="102" t="s">
        <v>104</v>
      </c>
      <c r="D53" s="29"/>
      <c r="E53" s="29"/>
      <c r="F53" s="29"/>
      <c r="G53" s="103"/>
      <c r="H53" s="29"/>
      <c r="I53" s="84">
        <f t="shared" si="4"/>
        <v>58</v>
      </c>
      <c r="J53" s="89">
        <v>557</v>
      </c>
      <c r="K53" s="3"/>
      <c r="L53" s="84">
        <f t="shared" si="5"/>
        <v>58</v>
      </c>
      <c r="M53" s="89">
        <v>545</v>
      </c>
      <c r="N53" s="3"/>
      <c r="O53" s="29"/>
      <c r="P53" s="29"/>
      <c r="Q53" s="105"/>
    </row>
    <row r="54" spans="2:17" ht="12.75">
      <c r="B54" s="60"/>
      <c r="C54" s="102" t="s">
        <v>105</v>
      </c>
      <c r="D54" s="29"/>
      <c r="E54" s="29"/>
      <c r="F54" s="29"/>
      <c r="G54" s="103"/>
      <c r="H54" s="29"/>
      <c r="I54" s="84">
        <f t="shared" si="4"/>
        <v>59</v>
      </c>
      <c r="J54" s="89">
        <v>571</v>
      </c>
      <c r="K54" s="3"/>
      <c r="L54" s="84">
        <f t="shared" si="5"/>
        <v>59</v>
      </c>
      <c r="M54" s="89">
        <v>558</v>
      </c>
      <c r="N54" s="3"/>
      <c r="O54" s="29"/>
      <c r="P54" s="29"/>
      <c r="Q54" s="105"/>
    </row>
    <row r="55" spans="2:17" ht="12.75">
      <c r="B55" s="60"/>
      <c r="C55" s="102" t="s">
        <v>106</v>
      </c>
      <c r="D55" s="29"/>
      <c r="E55" s="29"/>
      <c r="F55" s="29"/>
      <c r="G55" s="103"/>
      <c r="H55" s="29"/>
      <c r="I55" s="84">
        <f t="shared" si="4"/>
        <v>60</v>
      </c>
      <c r="J55" s="89">
        <v>588</v>
      </c>
      <c r="K55" s="3"/>
      <c r="L55" s="84">
        <f t="shared" si="5"/>
        <v>60</v>
      </c>
      <c r="M55" s="89">
        <v>574</v>
      </c>
      <c r="N55" s="3"/>
      <c r="O55" s="29"/>
      <c r="P55" s="29"/>
      <c r="Q55" s="105"/>
    </row>
    <row r="56" spans="2:17" ht="12.75">
      <c r="B56" s="60"/>
      <c r="C56" s="102" t="s">
        <v>107</v>
      </c>
      <c r="D56" s="29"/>
      <c r="E56" s="29"/>
      <c r="F56" s="29"/>
      <c r="G56" s="103"/>
      <c r="H56" s="29"/>
      <c r="I56" s="84">
        <f t="shared" si="4"/>
        <v>61</v>
      </c>
      <c r="J56" s="89">
        <v>603</v>
      </c>
      <c r="K56" s="3"/>
      <c r="L56" s="84">
        <f t="shared" si="5"/>
        <v>61</v>
      </c>
      <c r="M56" s="89">
        <v>588</v>
      </c>
      <c r="N56" s="3"/>
      <c r="O56" s="29"/>
      <c r="P56" s="29"/>
      <c r="Q56" s="105"/>
    </row>
    <row r="57" spans="2:17" ht="12.75">
      <c r="B57" s="60"/>
      <c r="C57" s="102" t="s">
        <v>108</v>
      </c>
      <c r="D57" s="29"/>
      <c r="E57" s="29"/>
      <c r="F57" s="29"/>
      <c r="G57" s="103"/>
      <c r="H57" s="29"/>
      <c r="I57" s="84">
        <f t="shared" si="4"/>
        <v>62</v>
      </c>
      <c r="J57" s="89">
        <v>620</v>
      </c>
      <c r="K57" s="3"/>
      <c r="L57" s="84">
        <f t="shared" si="5"/>
        <v>62</v>
      </c>
      <c r="M57" s="89">
        <v>604</v>
      </c>
      <c r="N57" s="3"/>
      <c r="O57" s="29"/>
      <c r="P57" s="29"/>
      <c r="Q57" s="105"/>
    </row>
    <row r="58" spans="2:17" ht="12.75">
      <c r="B58" s="60"/>
      <c r="C58" s="102" t="s">
        <v>109</v>
      </c>
      <c r="D58" s="503" t="s">
        <v>96</v>
      </c>
      <c r="E58" s="503"/>
      <c r="F58" s="503"/>
      <c r="G58" s="103"/>
      <c r="H58" s="29"/>
      <c r="I58" s="84">
        <f t="shared" si="4"/>
        <v>63</v>
      </c>
      <c r="J58" s="89">
        <v>638</v>
      </c>
      <c r="K58" s="3"/>
      <c r="L58" s="84">
        <f t="shared" si="5"/>
        <v>63</v>
      </c>
      <c r="M58" s="89">
        <v>621</v>
      </c>
      <c r="N58" s="3"/>
      <c r="O58" s="29"/>
      <c r="P58" s="29"/>
      <c r="Q58" s="105"/>
    </row>
    <row r="59" spans="2:17" ht="12.75">
      <c r="B59" s="60"/>
      <c r="C59" s="106" t="s">
        <v>110</v>
      </c>
      <c r="D59" s="54"/>
      <c r="E59" s="54"/>
      <c r="F59" s="54"/>
      <c r="G59" s="107"/>
      <c r="H59" s="29"/>
      <c r="I59" s="84">
        <f t="shared" si="4"/>
        <v>64</v>
      </c>
      <c r="J59" s="89">
        <v>658</v>
      </c>
      <c r="K59" s="3"/>
      <c r="L59" s="84">
        <f t="shared" si="5"/>
        <v>64</v>
      </c>
      <c r="M59" s="89">
        <v>640</v>
      </c>
      <c r="N59" s="3"/>
      <c r="O59" s="29"/>
      <c r="P59" s="29"/>
      <c r="Q59" s="105"/>
    </row>
    <row r="60" spans="2:17" ht="12.75">
      <c r="B60" s="60"/>
      <c r="C60" s="3"/>
      <c r="D60" s="29"/>
      <c r="E60" s="29"/>
      <c r="F60" s="29"/>
      <c r="G60" s="78"/>
      <c r="H60" s="29"/>
      <c r="I60" s="93">
        <f t="shared" si="4"/>
        <v>65</v>
      </c>
      <c r="J60" s="108">
        <v>681</v>
      </c>
      <c r="K60" s="3"/>
      <c r="L60" s="93">
        <f t="shared" si="5"/>
        <v>65</v>
      </c>
      <c r="M60" s="108">
        <v>661</v>
      </c>
      <c r="N60" s="3"/>
      <c r="O60" s="29"/>
      <c r="P60" s="29"/>
      <c r="Q60" s="105"/>
    </row>
    <row r="61" spans="2:17" ht="12.75">
      <c r="B61" s="60"/>
      <c r="C61" s="3"/>
      <c r="D61" s="29"/>
      <c r="E61" s="29"/>
      <c r="F61" s="29"/>
      <c r="G61" s="78"/>
      <c r="H61" s="29"/>
      <c r="I61" s="109"/>
      <c r="J61" s="110"/>
      <c r="K61" s="111"/>
      <c r="L61" s="109"/>
      <c r="M61" s="110"/>
      <c r="N61" s="3"/>
      <c r="O61" s="29"/>
      <c r="P61" s="29"/>
      <c r="Q61" s="105"/>
    </row>
    <row r="62" spans="2:17" ht="12.75">
      <c r="B62" s="61"/>
      <c r="C62" s="72" t="s">
        <v>111</v>
      </c>
      <c r="D62" s="54"/>
      <c r="E62" s="54"/>
      <c r="F62" s="54"/>
      <c r="G62" s="54"/>
      <c r="H62" s="54"/>
      <c r="I62" s="54"/>
      <c r="J62" s="54"/>
      <c r="K62" s="54"/>
      <c r="L62" s="54"/>
      <c r="M62" s="54"/>
      <c r="N62" s="54"/>
      <c r="O62" s="54"/>
      <c r="P62" s="54"/>
      <c r="Q62" s="112"/>
    </row>
    <row r="63" spans="2:17" ht="12.75">
      <c r="B63" s="65"/>
      <c r="C63" s="65"/>
      <c r="D63" s="29"/>
      <c r="E63" s="29"/>
      <c r="F63" s="29"/>
      <c r="G63" s="29"/>
      <c r="H63" s="29"/>
      <c r="I63" s="29"/>
      <c r="J63" s="29"/>
      <c r="K63" s="29"/>
      <c r="L63" s="29"/>
      <c r="M63" s="29"/>
      <c r="N63" s="29"/>
      <c r="O63" s="29"/>
      <c r="P63" s="29"/>
      <c r="Q63" s="29"/>
    </row>
    <row r="64" ht="12.75"/>
    <row r="65" spans="2:17" ht="20.25">
      <c r="B65" s="462" t="s">
        <v>112</v>
      </c>
      <c r="C65" s="462"/>
      <c r="D65" s="462"/>
      <c r="E65" s="462"/>
      <c r="F65" s="462"/>
      <c r="G65" s="462"/>
      <c r="H65" s="462"/>
      <c r="I65" s="462"/>
      <c r="J65" s="462"/>
      <c r="K65" s="462"/>
      <c r="L65" s="462"/>
      <c r="M65" s="462"/>
      <c r="N65" s="462"/>
      <c r="O65" s="462"/>
      <c r="P65" s="462"/>
      <c r="Q65" s="462"/>
    </row>
    <row r="66" spans="2:17" ht="25.5">
      <c r="B66" s="113" t="s">
        <v>113</v>
      </c>
      <c r="C66" s="8"/>
      <c r="D66" s="9" t="s">
        <v>4</v>
      </c>
      <c r="E66" s="10" t="s">
        <v>5</v>
      </c>
      <c r="F66" s="10" t="s">
        <v>114</v>
      </c>
      <c r="G66" s="114" t="s">
        <v>115</v>
      </c>
      <c r="H66" s="115"/>
      <c r="I66" s="115"/>
      <c r="J66" s="115"/>
      <c r="K66" s="115"/>
      <c r="L66" s="115"/>
      <c r="M66" s="115"/>
      <c r="N66" s="115"/>
      <c r="O66" s="115"/>
      <c r="P66" s="115"/>
      <c r="Q66" s="116"/>
    </row>
    <row r="67" spans="2:17" ht="27.75" customHeight="1">
      <c r="B67" s="11"/>
      <c r="C67" s="18" t="s">
        <v>422</v>
      </c>
      <c r="D67" s="15" t="s">
        <v>116</v>
      </c>
      <c r="E67" s="117">
        <f>SUM(Input!E19:E24)-Input!E25</f>
        <v>60039.96</v>
      </c>
      <c r="F67" s="118" t="str">
        <f>Input!D19&amp;" + "&amp;Input!D20&amp;" + "&amp;Input!D21&amp;" + "&amp;Input!D22&amp;" + "&amp;Input!D23&amp;" + "&amp;Input!D24&amp;" - "&amp;Input!D25</f>
        <v>ba + bb + bc + bd + be + bf - bg</v>
      </c>
      <c r="G67" s="471" t="s">
        <v>117</v>
      </c>
      <c r="H67" s="471"/>
      <c r="I67" s="471"/>
      <c r="J67" s="471"/>
      <c r="K67" s="471"/>
      <c r="L67" s="471"/>
      <c r="M67" s="471"/>
      <c r="N67" s="471"/>
      <c r="O67" s="471"/>
      <c r="P67" s="471"/>
      <c r="Q67" s="471"/>
    </row>
    <row r="68" spans="2:17" ht="12.75" customHeight="1">
      <c r="B68" s="11"/>
      <c r="C68" s="18" t="s">
        <v>118</v>
      </c>
      <c r="D68" s="15" t="str">
        <f aca="true" t="shared" si="6" ref="D68:D81">GETNEXTREF(D67)</f>
        <v>kb</v>
      </c>
      <c r="E68" s="119">
        <f>QUOTIENT((DismissDate-Input!E10),365.25)</f>
        <v>25</v>
      </c>
      <c r="F68" s="118" t="str">
        <f>DismissDateRef&amp;" - "&amp;Input!D10</f>
        <v>ie - ab</v>
      </c>
      <c r="G68" s="471" t="s">
        <v>119</v>
      </c>
      <c r="H68" s="471"/>
      <c r="I68" s="471"/>
      <c r="J68" s="471"/>
      <c r="K68" s="471"/>
      <c r="L68" s="471"/>
      <c r="M68" s="471"/>
      <c r="N68" s="471"/>
      <c r="O68" s="471"/>
      <c r="P68" s="471"/>
      <c r="Q68" s="471"/>
    </row>
    <row r="69" spans="2:17" ht="12.75" customHeight="1">
      <c r="B69" s="11"/>
      <c r="C69" s="18" t="s">
        <v>120</v>
      </c>
      <c r="D69" s="15" t="str">
        <f t="shared" si="6"/>
        <v>kc</v>
      </c>
      <c r="E69" s="120">
        <f>EDATE(Input!$E$9,22*12)</f>
        <v>29116</v>
      </c>
      <c r="F69" s="118" t="str">
        <f>Input!$D$9&amp;" + "&amp;"22Y"</f>
        <v>aa + 22Y</v>
      </c>
      <c r="G69" s="471" t="s">
        <v>121</v>
      </c>
      <c r="H69" s="471"/>
      <c r="I69" s="471"/>
      <c r="J69" s="471"/>
      <c r="K69" s="471"/>
      <c r="L69" s="471"/>
      <c r="M69" s="471"/>
      <c r="N69" s="471"/>
      <c r="O69" s="471"/>
      <c r="P69" s="471"/>
      <c r="Q69" s="471"/>
    </row>
    <row r="70" spans="2:17" ht="12.75">
      <c r="B70" s="11"/>
      <c r="C70" s="18" t="s">
        <v>122</v>
      </c>
      <c r="D70" s="15" t="str">
        <f t="shared" si="6"/>
        <v>kd</v>
      </c>
      <c r="E70" s="120">
        <f>EDATE(Input!$E$9,41*12)</f>
        <v>36056</v>
      </c>
      <c r="F70" s="118" t="str">
        <f>Input!$D$9&amp;" + "&amp;"41Y"</f>
        <v>aa + 41Y</v>
      </c>
      <c r="G70" s="471"/>
      <c r="H70" s="471"/>
      <c r="I70" s="471"/>
      <c r="J70" s="471"/>
      <c r="K70" s="471"/>
      <c r="L70" s="471"/>
      <c r="M70" s="471"/>
      <c r="N70" s="471"/>
      <c r="O70" s="471"/>
      <c r="P70" s="471"/>
      <c r="Q70" s="471"/>
    </row>
    <row r="71" spans="2:17" ht="12.75" customHeight="1">
      <c r="B71" s="11"/>
      <c r="C71" s="18" t="s">
        <v>123</v>
      </c>
      <c r="D71" s="15" t="str">
        <f t="shared" si="6"/>
        <v>ke</v>
      </c>
      <c r="E71" s="121">
        <f>MAX(QUOTIENT(E69-1-Input!$E$10,365.25),0)</f>
        <v>0</v>
      </c>
      <c r="F71" s="118" t="str">
        <f>D69&amp;" - 1D - "&amp;Input!$D$10</f>
        <v>kc - 1D - ab</v>
      </c>
      <c r="G71" s="471" t="s">
        <v>124</v>
      </c>
      <c r="H71" s="471"/>
      <c r="I71" s="471"/>
      <c r="J71" s="471"/>
      <c r="K71" s="471"/>
      <c r="L71" s="471"/>
      <c r="M71" s="471"/>
      <c r="N71" s="471"/>
      <c r="O71" s="471"/>
      <c r="P71" s="471"/>
      <c r="Q71" s="471"/>
    </row>
    <row r="72" spans="2:17" ht="12.75" customHeight="1">
      <c r="B72" s="11"/>
      <c r="C72" s="18" t="s">
        <v>125</v>
      </c>
      <c r="D72" s="15" t="str">
        <f t="shared" si="6"/>
        <v>kf</v>
      </c>
      <c r="E72" s="121">
        <f>MAX(QUOTIENT(E70-1-Input!$E$10,365.25),0)-E71</f>
        <v>14</v>
      </c>
      <c r="F72" s="118" t="str">
        <f>D70&amp;" - 1D - "&amp;Input!$D$10&amp;" - "&amp;D71</f>
        <v>kd - 1D - ab - ke</v>
      </c>
      <c r="G72" s="471" t="s">
        <v>126</v>
      </c>
      <c r="H72" s="471"/>
      <c r="I72" s="471"/>
      <c r="J72" s="471"/>
      <c r="K72" s="471"/>
      <c r="L72" s="471"/>
      <c r="M72" s="471"/>
      <c r="N72" s="471"/>
      <c r="O72" s="471"/>
      <c r="P72" s="471"/>
      <c r="Q72" s="471"/>
    </row>
    <row r="73" spans="2:17" ht="26.25" customHeight="1">
      <c r="B73" s="11"/>
      <c r="C73" s="18" t="s">
        <v>127</v>
      </c>
      <c r="D73" s="15" t="str">
        <f t="shared" si="6"/>
        <v>kg</v>
      </c>
      <c r="E73" s="119">
        <f>MIN(E68-E72-E71,20)</f>
        <v>11</v>
      </c>
      <c r="F73" s="118" t="str">
        <f>D68&amp;" - "&amp;D72&amp;" - "&amp;D71</f>
        <v>kb - kf - ke</v>
      </c>
      <c r="G73" s="471" t="s">
        <v>119</v>
      </c>
      <c r="H73" s="471"/>
      <c r="I73" s="471"/>
      <c r="J73" s="471"/>
      <c r="K73" s="471"/>
      <c r="L73" s="471"/>
      <c r="M73" s="471"/>
      <c r="N73" s="471"/>
      <c r="O73" s="471"/>
      <c r="P73" s="471"/>
      <c r="Q73" s="471"/>
    </row>
    <row r="74" spans="2:17" ht="29.25" customHeight="1">
      <c r="B74" s="11"/>
      <c r="C74" s="18" t="s">
        <v>128</v>
      </c>
      <c r="D74" s="15" t="str">
        <f t="shared" si="6"/>
        <v>kh</v>
      </c>
      <c r="E74" s="119">
        <f>MIN(E71,20-E76-E75)</f>
        <v>0</v>
      </c>
      <c r="F74" s="118" t="str">
        <f>"Min("&amp;D71&amp;", 20 - "&amp;D76&amp;" - "&amp;D75&amp;")"</f>
        <v>Min(ke, 20 - kj - ki)</v>
      </c>
      <c r="G74" s="504" t="s">
        <v>129</v>
      </c>
      <c r="H74" s="504"/>
      <c r="I74" s="504"/>
      <c r="J74" s="504"/>
      <c r="K74" s="504"/>
      <c r="L74" s="504"/>
      <c r="M74" s="504"/>
      <c r="N74" s="504"/>
      <c r="O74" s="504"/>
      <c r="P74" s="504"/>
      <c r="Q74" s="504"/>
    </row>
    <row r="75" spans="2:17" ht="30.75" customHeight="1">
      <c r="B75" s="11"/>
      <c r="C75" s="18" t="s">
        <v>130</v>
      </c>
      <c r="D75" s="15" t="str">
        <f t="shared" si="6"/>
        <v>ki</v>
      </c>
      <c r="E75" s="119">
        <f>MIN(E72,20-E76)</f>
        <v>9</v>
      </c>
      <c r="F75" s="118" t="str">
        <f>"Min("&amp;D72&amp;", 20 - "&amp;D76&amp;")"</f>
        <v>Min(kf, 20 - kj)</v>
      </c>
      <c r="G75" s="505" t="s">
        <v>131</v>
      </c>
      <c r="H75" s="505"/>
      <c r="I75" s="505"/>
      <c r="J75" s="505"/>
      <c r="K75" s="505"/>
      <c r="L75" s="505"/>
      <c r="M75" s="505"/>
      <c r="N75" s="505"/>
      <c r="O75" s="505"/>
      <c r="P75" s="505"/>
      <c r="Q75" s="505"/>
    </row>
    <row r="76" spans="2:17" ht="28.5" customHeight="1">
      <c r="B76" s="11"/>
      <c r="C76" s="18" t="s">
        <v>132</v>
      </c>
      <c r="D76" s="15" t="str">
        <f t="shared" si="6"/>
        <v>kj</v>
      </c>
      <c r="E76" s="119">
        <f>MIN(E73,20)</f>
        <v>11</v>
      </c>
      <c r="F76" s="118" t="str">
        <f>"Min("&amp;D73&amp;", 20)"</f>
        <v>Min(kg, 20)</v>
      </c>
      <c r="G76" s="505"/>
      <c r="H76" s="505"/>
      <c r="I76" s="505"/>
      <c r="J76" s="505"/>
      <c r="K76" s="505"/>
      <c r="L76" s="505"/>
      <c r="M76" s="505"/>
      <c r="N76" s="505"/>
      <c r="O76" s="505"/>
      <c r="P76" s="505"/>
      <c r="Q76" s="505"/>
    </row>
    <row r="77" spans="2:17" ht="12.75" customHeight="1">
      <c r="B77" s="11"/>
      <c r="C77" s="18" t="s">
        <v>133</v>
      </c>
      <c r="D77" s="15" t="str">
        <f t="shared" si="6"/>
        <v>kk</v>
      </c>
      <c r="E77" s="122">
        <f>MIN(E67/52,380)</f>
        <v>380</v>
      </c>
      <c r="F77" s="123" t="str">
        <f>"Min("&amp;D67&amp;" / 52, 380)"</f>
        <v>Min(ka / 52, 380)</v>
      </c>
      <c r="G77" s="468" t="s">
        <v>134</v>
      </c>
      <c r="H77" s="468"/>
      <c r="I77" s="468"/>
      <c r="J77" s="468"/>
      <c r="K77" s="468"/>
      <c r="L77" s="468"/>
      <c r="M77" s="468"/>
      <c r="N77" s="468"/>
      <c r="O77" s="468"/>
      <c r="P77" s="468"/>
      <c r="Q77" s="468"/>
    </row>
    <row r="78" spans="2:17" ht="12.75">
      <c r="B78" s="11"/>
      <c r="C78" s="18" t="s">
        <v>135</v>
      </c>
      <c r="D78" s="15" t="str">
        <f t="shared" si="6"/>
        <v>kl</v>
      </c>
      <c r="E78" s="124">
        <f>0.5*E74*E77</f>
        <v>0</v>
      </c>
      <c r="F78" s="125" t="str">
        <f>"0.5 * "&amp;$D$77&amp;" * "&amp;D74</f>
        <v>0.5 * kk * kh</v>
      </c>
      <c r="G78" s="468"/>
      <c r="H78" s="468"/>
      <c r="I78" s="468"/>
      <c r="J78" s="468"/>
      <c r="K78" s="468"/>
      <c r="L78" s="468"/>
      <c r="M78" s="468"/>
      <c r="N78" s="468"/>
      <c r="O78" s="468"/>
      <c r="P78" s="468"/>
      <c r="Q78" s="468"/>
    </row>
    <row r="79" spans="2:17" ht="25.5">
      <c r="B79" s="11"/>
      <c r="C79" s="18" t="s">
        <v>136</v>
      </c>
      <c r="D79" s="15" t="str">
        <f t="shared" si="6"/>
        <v>km</v>
      </c>
      <c r="E79" s="126">
        <f>1*E75*E77</f>
        <v>3420</v>
      </c>
      <c r="F79" s="125" t="str">
        <f>"1.0 * "&amp;$D$77&amp;" * "&amp;D75</f>
        <v>1.0 * kk * ki</v>
      </c>
      <c r="G79" s="468"/>
      <c r="H79" s="468"/>
      <c r="I79" s="468"/>
      <c r="J79" s="468"/>
      <c r="K79" s="468"/>
      <c r="L79" s="468"/>
      <c r="M79" s="468"/>
      <c r="N79" s="468"/>
      <c r="O79" s="468"/>
      <c r="P79" s="468"/>
      <c r="Q79" s="468"/>
    </row>
    <row r="80" spans="2:17" ht="25.5">
      <c r="B80" s="11"/>
      <c r="C80" s="18" t="s">
        <v>137</v>
      </c>
      <c r="D80" s="15" t="str">
        <f t="shared" si="6"/>
        <v>kn</v>
      </c>
      <c r="E80" s="127">
        <f>1.5*E76*E77</f>
        <v>6270</v>
      </c>
      <c r="F80" s="125" t="str">
        <f>"1.5 * "&amp;$D$77&amp;" * "&amp;D76</f>
        <v>1.5 * kk * kj</v>
      </c>
      <c r="G80" s="468"/>
      <c r="H80" s="468"/>
      <c r="I80" s="468"/>
      <c r="J80" s="468"/>
      <c r="K80" s="468"/>
      <c r="L80" s="468"/>
      <c r="M80" s="468"/>
      <c r="N80" s="468"/>
      <c r="O80" s="468"/>
      <c r="P80" s="468"/>
      <c r="Q80" s="468"/>
    </row>
    <row r="81" spans="2:17" ht="12.75">
      <c r="B81" s="46"/>
      <c r="C81" s="128" t="s">
        <v>138</v>
      </c>
      <c r="D81" s="19" t="str">
        <f t="shared" si="6"/>
        <v>ko</v>
      </c>
      <c r="E81" s="129">
        <f>E78+E79+E80</f>
        <v>9690</v>
      </c>
      <c r="F81" s="130" t="str">
        <f>D78&amp;" + "&amp;D79&amp;" + "&amp;D80</f>
        <v>kl + km + kn</v>
      </c>
      <c r="G81" s="471"/>
      <c r="H81" s="471"/>
      <c r="I81" s="471"/>
      <c r="J81" s="471"/>
      <c r="K81" s="471"/>
      <c r="L81" s="471"/>
      <c r="M81" s="471"/>
      <c r="N81" s="471"/>
      <c r="O81" s="471"/>
      <c r="P81" s="471"/>
      <c r="Q81" s="471"/>
    </row>
    <row r="82" spans="2:17" ht="12.75">
      <c r="B82" s="29"/>
      <c r="C82" s="131"/>
      <c r="D82" s="66"/>
      <c r="E82" s="132"/>
      <c r="F82" s="133"/>
      <c r="G82" s="50"/>
      <c r="H82" s="50"/>
      <c r="I82" s="50"/>
      <c r="J82" s="50"/>
      <c r="K82" s="50"/>
      <c r="L82" s="50"/>
      <c r="M82" s="50"/>
      <c r="N82" s="50"/>
      <c r="O82" s="50"/>
      <c r="P82" s="50"/>
      <c r="Q82" s="50"/>
    </row>
    <row r="83" spans="2:17" ht="12.75">
      <c r="B83" s="29"/>
      <c r="C83" s="131"/>
      <c r="D83" s="66"/>
      <c r="E83" s="132"/>
      <c r="F83" s="133"/>
      <c r="G83" s="50"/>
      <c r="H83" s="50"/>
      <c r="I83" s="50"/>
      <c r="J83" s="50"/>
      <c r="K83" s="50"/>
      <c r="L83" s="50"/>
      <c r="M83" s="50"/>
      <c r="N83" s="50"/>
      <c r="O83" s="50"/>
      <c r="P83" s="50"/>
      <c r="Q83" s="50"/>
    </row>
    <row r="84" spans="2:17" ht="12.75">
      <c r="B84" s="29"/>
      <c r="C84" s="131"/>
      <c r="D84" s="66"/>
      <c r="E84" s="132"/>
      <c r="F84" s="133"/>
      <c r="G84" s="50"/>
      <c r="H84" s="50"/>
      <c r="I84" s="50"/>
      <c r="J84" s="50"/>
      <c r="K84" s="50"/>
      <c r="L84" s="50"/>
      <c r="M84" s="50"/>
      <c r="N84" s="50"/>
      <c r="O84" s="50"/>
      <c r="P84" s="50"/>
      <c r="Q84" s="50"/>
    </row>
    <row r="85" spans="2:17" ht="12.75">
      <c r="B85" s="29"/>
      <c r="C85" s="131"/>
      <c r="D85" s="66"/>
      <c r="E85" s="132"/>
      <c r="F85" s="133"/>
      <c r="G85" s="50"/>
      <c r="H85" s="50"/>
      <c r="I85" s="50"/>
      <c r="J85" s="50"/>
      <c r="K85" s="50"/>
      <c r="L85" s="50"/>
      <c r="M85" s="50"/>
      <c r="N85" s="50"/>
      <c r="O85" s="50"/>
      <c r="P85" s="50"/>
      <c r="Q85" s="50"/>
    </row>
    <row r="86" spans="2:17" ht="12.75">
      <c r="B86" s="29"/>
      <c r="C86" s="131"/>
      <c r="D86" s="66"/>
      <c r="E86" s="132"/>
      <c r="F86" s="133"/>
      <c r="G86" s="50"/>
      <c r="H86" s="50"/>
      <c r="I86" s="50"/>
      <c r="J86" s="50"/>
      <c r="K86" s="50"/>
      <c r="L86" s="50"/>
      <c r="M86" s="50"/>
      <c r="N86" s="50"/>
      <c r="O86" s="50"/>
      <c r="P86" s="50"/>
      <c r="Q86" s="50"/>
    </row>
    <row r="87" spans="2:17" ht="12.75">
      <c r="B87" s="29"/>
      <c r="C87" s="131"/>
      <c r="D87" s="66"/>
      <c r="E87" s="132"/>
      <c r="F87" s="133"/>
      <c r="G87" s="50"/>
      <c r="H87" s="50"/>
      <c r="I87" s="50"/>
      <c r="J87" s="50"/>
      <c r="K87" s="50"/>
      <c r="L87" s="50"/>
      <c r="M87" s="50"/>
      <c r="N87" s="50"/>
      <c r="O87" s="50"/>
      <c r="P87" s="50"/>
      <c r="Q87" s="50"/>
    </row>
    <row r="88" spans="2:17" ht="12.75">
      <c r="B88" s="29"/>
      <c r="C88" s="131"/>
      <c r="D88" s="66"/>
      <c r="E88" s="132"/>
      <c r="F88" s="133"/>
      <c r="G88" s="50"/>
      <c r="H88" s="50"/>
      <c r="I88" s="50"/>
      <c r="J88" s="50"/>
      <c r="K88" s="50"/>
      <c r="L88" s="50"/>
      <c r="M88" s="50"/>
      <c r="N88" s="50"/>
      <c r="O88" s="50"/>
      <c r="P88" s="50"/>
      <c r="Q88" s="50"/>
    </row>
    <row r="89" spans="2:17" ht="12.75">
      <c r="B89" s="29"/>
      <c r="C89" s="131"/>
      <c r="D89" s="66"/>
      <c r="E89" s="132"/>
      <c r="F89" s="133"/>
      <c r="G89" s="50"/>
      <c r="H89" s="50"/>
      <c r="I89" s="50"/>
      <c r="J89" s="50"/>
      <c r="K89" s="50"/>
      <c r="L89" s="50"/>
      <c r="M89" s="50"/>
      <c r="N89" s="50"/>
      <c r="O89" s="50"/>
      <c r="P89" s="50"/>
      <c r="Q89" s="50"/>
    </row>
    <row r="90" spans="2:17" ht="12.75">
      <c r="B90" s="29"/>
      <c r="C90" s="131"/>
      <c r="D90" s="66"/>
      <c r="E90" s="132"/>
      <c r="F90" s="133"/>
      <c r="G90" s="50"/>
      <c r="H90" s="50"/>
      <c r="I90" s="50"/>
      <c r="J90" s="50"/>
      <c r="K90" s="50"/>
      <c r="L90" s="50"/>
      <c r="M90" s="50"/>
      <c r="N90" s="50"/>
      <c r="O90" s="50"/>
      <c r="P90" s="50"/>
      <c r="Q90" s="50"/>
    </row>
    <row r="91" spans="2:17" ht="12.75">
      <c r="B91" s="29"/>
      <c r="C91" s="131"/>
      <c r="D91" s="66"/>
      <c r="E91" s="132"/>
      <c r="F91" s="133"/>
      <c r="G91" s="50"/>
      <c r="H91" s="50"/>
      <c r="I91" s="50"/>
      <c r="J91" s="50"/>
      <c r="K91" s="50"/>
      <c r="L91" s="50"/>
      <c r="M91" s="50"/>
      <c r="N91" s="50"/>
      <c r="O91" s="50"/>
      <c r="P91" s="50"/>
      <c r="Q91" s="50"/>
    </row>
    <row r="92" spans="2:17" ht="12.75">
      <c r="B92" s="29"/>
      <c r="C92" s="131"/>
      <c r="D92" s="66"/>
      <c r="E92" s="132"/>
      <c r="F92" s="133"/>
      <c r="G92" s="50"/>
      <c r="H92" s="50"/>
      <c r="I92" s="50"/>
      <c r="J92" s="50"/>
      <c r="K92" s="50"/>
      <c r="L92" s="50"/>
      <c r="M92" s="50"/>
      <c r="N92" s="50"/>
      <c r="O92" s="50"/>
      <c r="P92" s="50"/>
      <c r="Q92" s="50"/>
    </row>
    <row r="93" spans="2:17" ht="12.75">
      <c r="B93" s="29"/>
      <c r="C93" s="131"/>
      <c r="D93" s="66"/>
      <c r="E93" s="132"/>
      <c r="F93" s="133"/>
      <c r="G93" s="50"/>
      <c r="H93" s="50"/>
      <c r="I93" s="50"/>
      <c r="J93" s="50"/>
      <c r="K93" s="50"/>
      <c r="L93" s="50"/>
      <c r="M93" s="50"/>
      <c r="N93" s="50"/>
      <c r="O93" s="50"/>
      <c r="P93" s="50"/>
      <c r="Q93" s="50"/>
    </row>
    <row r="94" spans="2:17" ht="12.75">
      <c r="B94" s="29"/>
      <c r="C94" s="131"/>
      <c r="D94" s="66"/>
      <c r="E94" s="132"/>
      <c r="F94" s="133"/>
      <c r="G94" s="50"/>
      <c r="H94" s="50"/>
      <c r="I94" s="50"/>
      <c r="J94" s="50"/>
      <c r="K94" s="50"/>
      <c r="L94" s="50"/>
      <c r="M94" s="50"/>
      <c r="N94" s="50"/>
      <c r="O94" s="50"/>
      <c r="P94" s="50"/>
      <c r="Q94" s="50"/>
    </row>
    <row r="95" spans="2:17" ht="12.75">
      <c r="B95" s="29"/>
      <c r="C95" s="131"/>
      <c r="D95" s="66"/>
      <c r="E95" s="132"/>
      <c r="F95" s="133"/>
      <c r="G95" s="50"/>
      <c r="H95" s="50"/>
      <c r="I95" s="50"/>
      <c r="J95" s="50"/>
      <c r="K95" s="50"/>
      <c r="L95" s="50"/>
      <c r="M95" s="50"/>
      <c r="N95" s="50"/>
      <c r="O95" s="50"/>
      <c r="P95" s="50"/>
      <c r="Q95" s="50"/>
    </row>
    <row r="96" spans="2:17" ht="12.75">
      <c r="B96" s="29"/>
      <c r="C96" s="131"/>
      <c r="D96" s="66"/>
      <c r="E96" s="132"/>
      <c r="F96" s="133"/>
      <c r="G96" s="50"/>
      <c r="H96" s="50"/>
      <c r="I96" s="50"/>
      <c r="J96" s="50"/>
      <c r="K96" s="50"/>
      <c r="L96" s="50"/>
      <c r="M96" s="50"/>
      <c r="N96" s="50"/>
      <c r="O96" s="50"/>
      <c r="P96" s="50"/>
      <c r="Q96" s="50"/>
    </row>
    <row r="97" spans="2:17" ht="12.75">
      <c r="B97" s="29"/>
      <c r="C97" s="131"/>
      <c r="D97" s="66"/>
      <c r="E97" s="132"/>
      <c r="F97" s="133"/>
      <c r="G97" s="50"/>
      <c r="H97" s="50"/>
      <c r="I97" s="50"/>
      <c r="J97" s="50"/>
      <c r="K97" s="50"/>
      <c r="L97" s="50"/>
      <c r="M97" s="50"/>
      <c r="N97" s="50"/>
      <c r="O97" s="50"/>
      <c r="P97" s="50"/>
      <c r="Q97" s="50"/>
    </row>
    <row r="98" spans="2:17" ht="12.75">
      <c r="B98" s="29"/>
      <c r="C98" s="131"/>
      <c r="D98" s="66"/>
      <c r="E98" s="132"/>
      <c r="F98" s="133"/>
      <c r="G98" s="50"/>
      <c r="H98" s="50"/>
      <c r="I98" s="50"/>
      <c r="J98" s="50"/>
      <c r="K98" s="50"/>
      <c r="L98" s="50"/>
      <c r="M98" s="50"/>
      <c r="N98" s="50"/>
      <c r="O98" s="50"/>
      <c r="P98" s="50"/>
      <c r="Q98" s="50"/>
    </row>
    <row r="99" spans="2:17" ht="12.75">
      <c r="B99" s="29"/>
      <c r="C99" s="131"/>
      <c r="D99" s="66"/>
      <c r="E99" s="132"/>
      <c r="F99" s="133"/>
      <c r="G99" s="50"/>
      <c r="H99" s="50"/>
      <c r="I99" s="50"/>
      <c r="J99" s="50"/>
      <c r="K99" s="50"/>
      <c r="L99" s="50"/>
      <c r="M99" s="50"/>
      <c r="N99" s="50"/>
      <c r="O99" s="50"/>
      <c r="P99" s="50"/>
      <c r="Q99" s="50"/>
    </row>
    <row r="100" spans="2:17" ht="12.75">
      <c r="B100" s="29"/>
      <c r="C100" s="131"/>
      <c r="D100" s="66"/>
      <c r="E100" s="132"/>
      <c r="F100" s="133"/>
      <c r="G100" s="50"/>
      <c r="H100" s="50"/>
      <c r="I100" s="50"/>
      <c r="J100" s="50"/>
      <c r="K100" s="50"/>
      <c r="L100" s="50"/>
      <c r="M100" s="50"/>
      <c r="N100" s="50"/>
      <c r="O100" s="50"/>
      <c r="P100" s="50"/>
      <c r="Q100" s="50"/>
    </row>
    <row r="101" spans="2:17" ht="12.75">
      <c r="B101" s="29"/>
      <c r="C101" s="131"/>
      <c r="D101" s="66"/>
      <c r="E101" s="132"/>
      <c r="F101" s="133"/>
      <c r="G101" s="50"/>
      <c r="H101" s="50"/>
      <c r="I101" s="50"/>
      <c r="J101" s="50"/>
      <c r="K101" s="50"/>
      <c r="L101" s="50"/>
      <c r="M101" s="50"/>
      <c r="N101" s="50"/>
      <c r="O101" s="50"/>
      <c r="P101" s="50"/>
      <c r="Q101" s="50"/>
    </row>
    <row r="102" spans="2:17" ht="12.75">
      <c r="B102" s="29"/>
      <c r="C102" s="131"/>
      <c r="D102" s="66"/>
      <c r="E102" s="132"/>
      <c r="F102" s="133"/>
      <c r="G102" s="50"/>
      <c r="H102" s="50"/>
      <c r="I102" s="50"/>
      <c r="J102" s="50"/>
      <c r="K102" s="50"/>
      <c r="L102" s="50"/>
      <c r="M102" s="50"/>
      <c r="N102" s="50"/>
      <c r="O102" s="50"/>
      <c r="P102" s="50"/>
      <c r="Q102" s="50"/>
    </row>
    <row r="103" spans="2:17" ht="12.75">
      <c r="B103" s="29"/>
      <c r="C103" s="131"/>
      <c r="D103" s="66"/>
      <c r="E103" s="132"/>
      <c r="F103" s="133"/>
      <c r="G103" s="50"/>
      <c r="H103" s="50"/>
      <c r="I103" s="50"/>
      <c r="J103" s="50"/>
      <c r="K103" s="50"/>
      <c r="L103" s="50"/>
      <c r="M103" s="50"/>
      <c r="N103" s="50"/>
      <c r="O103" s="50"/>
      <c r="P103" s="50"/>
      <c r="Q103" s="50"/>
    </row>
    <row r="104" spans="2:17" ht="12.75">
      <c r="B104" s="29"/>
      <c r="C104" s="131"/>
      <c r="D104" s="66"/>
      <c r="E104" s="132"/>
      <c r="F104" s="133"/>
      <c r="G104" s="50"/>
      <c r="H104" s="50"/>
      <c r="I104" s="50"/>
      <c r="J104" s="50"/>
      <c r="K104" s="50"/>
      <c r="L104" s="50"/>
      <c r="M104" s="50"/>
      <c r="N104" s="50"/>
      <c r="O104" s="50"/>
      <c r="P104" s="50"/>
      <c r="Q104" s="50"/>
    </row>
    <row r="105" spans="2:17" ht="12.75">
      <c r="B105" s="29"/>
      <c r="C105" s="131"/>
      <c r="D105" s="66"/>
      <c r="E105" s="132"/>
      <c r="F105" s="133"/>
      <c r="G105" s="50"/>
      <c r="H105" s="50"/>
      <c r="I105" s="50"/>
      <c r="J105" s="50"/>
      <c r="K105" s="50"/>
      <c r="L105" s="50"/>
      <c r="M105" s="50"/>
      <c r="N105" s="50"/>
      <c r="O105" s="50"/>
      <c r="P105" s="50"/>
      <c r="Q105" s="50"/>
    </row>
    <row r="106" spans="2:17" ht="12.75">
      <c r="B106" s="29"/>
      <c r="C106" s="131"/>
      <c r="D106" s="66"/>
      <c r="E106" s="132"/>
      <c r="F106" s="133"/>
      <c r="G106" s="50"/>
      <c r="H106" s="50"/>
      <c r="I106" s="50"/>
      <c r="J106" s="50"/>
      <c r="K106" s="50"/>
      <c r="L106" s="50"/>
      <c r="M106" s="50"/>
      <c r="N106" s="50"/>
      <c r="O106" s="50"/>
      <c r="P106" s="50"/>
      <c r="Q106" s="50"/>
    </row>
    <row r="107" spans="2:17" ht="12.75">
      <c r="B107" s="29"/>
      <c r="C107" s="131"/>
      <c r="D107" s="66"/>
      <c r="E107" s="132"/>
      <c r="F107" s="133"/>
      <c r="G107" s="50"/>
      <c r="H107" s="50"/>
      <c r="I107" s="50"/>
      <c r="J107" s="50"/>
      <c r="K107" s="50"/>
      <c r="L107" s="50"/>
      <c r="M107" s="50"/>
      <c r="N107" s="50"/>
      <c r="O107" s="50"/>
      <c r="P107" s="50"/>
      <c r="Q107" s="50"/>
    </row>
    <row r="108" spans="2:17" ht="12.75">
      <c r="B108" s="29"/>
      <c r="C108" s="131"/>
      <c r="D108" s="66"/>
      <c r="E108" s="132"/>
      <c r="F108" s="133"/>
      <c r="G108" s="50"/>
      <c r="H108" s="50"/>
      <c r="I108" s="50"/>
      <c r="J108" s="50"/>
      <c r="K108" s="50"/>
      <c r="L108" s="50"/>
      <c r="M108" s="50"/>
      <c r="N108" s="50"/>
      <c r="O108" s="50"/>
      <c r="P108" s="50"/>
      <c r="Q108" s="50"/>
    </row>
    <row r="109" spans="2:17" ht="12.75">
      <c r="B109" s="29"/>
      <c r="C109" s="131"/>
      <c r="D109" s="66"/>
      <c r="E109" s="132"/>
      <c r="F109" s="133"/>
      <c r="G109" s="50"/>
      <c r="H109" s="50"/>
      <c r="I109" s="50"/>
      <c r="J109" s="50"/>
      <c r="K109" s="50"/>
      <c r="L109" s="50"/>
      <c r="M109" s="50"/>
      <c r="N109" s="50"/>
      <c r="O109" s="50"/>
      <c r="P109" s="50"/>
      <c r="Q109" s="50"/>
    </row>
    <row r="110" spans="2:17" ht="12.75">
      <c r="B110" s="29"/>
      <c r="C110" s="131"/>
      <c r="D110" s="66"/>
      <c r="E110" s="132"/>
      <c r="F110" s="133"/>
      <c r="G110" s="50"/>
      <c r="H110" s="50"/>
      <c r="I110" s="50"/>
      <c r="J110" s="50"/>
      <c r="K110" s="50"/>
      <c r="L110" s="50"/>
      <c r="M110" s="50"/>
      <c r="N110" s="50"/>
      <c r="O110" s="50"/>
      <c r="P110" s="50"/>
      <c r="Q110" s="50"/>
    </row>
    <row r="111" spans="2:17" ht="12.75">
      <c r="B111" s="29"/>
      <c r="C111" s="131"/>
      <c r="D111" s="66"/>
      <c r="E111" s="132"/>
      <c r="F111" s="133"/>
      <c r="G111" s="50"/>
      <c r="H111" s="50"/>
      <c r="I111" s="50"/>
      <c r="J111" s="50"/>
      <c r="K111" s="50"/>
      <c r="L111" s="50"/>
      <c r="M111" s="50"/>
      <c r="N111" s="50"/>
      <c r="O111" s="50"/>
      <c r="P111" s="50"/>
      <c r="Q111" s="50"/>
    </row>
    <row r="112" spans="2:17" ht="12.75">
      <c r="B112" s="29"/>
      <c r="C112" s="131"/>
      <c r="D112" s="66"/>
      <c r="E112" s="132"/>
      <c r="F112" s="133"/>
      <c r="G112" s="50"/>
      <c r="H112" s="50"/>
      <c r="I112" s="50"/>
      <c r="J112" s="50"/>
      <c r="K112" s="50"/>
      <c r="L112" s="50"/>
      <c r="M112" s="50"/>
      <c r="N112" s="50"/>
      <c r="O112" s="50"/>
      <c r="P112" s="50"/>
      <c r="Q112" s="50"/>
    </row>
    <row r="113" spans="2:17" ht="12.75">
      <c r="B113" s="29"/>
      <c r="C113" s="131"/>
      <c r="D113" s="66"/>
      <c r="E113" s="132"/>
      <c r="F113" s="133"/>
      <c r="G113" s="50"/>
      <c r="H113" s="50"/>
      <c r="I113" s="50"/>
      <c r="J113" s="50"/>
      <c r="K113" s="50"/>
      <c r="L113" s="50"/>
      <c r="M113" s="50"/>
      <c r="N113" s="50"/>
      <c r="O113" s="50"/>
      <c r="P113" s="50"/>
      <c r="Q113" s="50"/>
    </row>
    <row r="114" spans="2:17" ht="12.75">
      <c r="B114" s="29"/>
      <c r="C114" s="131"/>
      <c r="D114" s="66"/>
      <c r="E114" s="132"/>
      <c r="F114" s="133"/>
      <c r="G114" s="50"/>
      <c r="H114" s="50"/>
      <c r="I114" s="50"/>
      <c r="J114" s="50"/>
      <c r="K114" s="50"/>
      <c r="L114" s="50"/>
      <c r="M114" s="50"/>
      <c r="N114" s="50"/>
      <c r="O114" s="50"/>
      <c r="P114" s="50"/>
      <c r="Q114" s="50"/>
    </row>
    <row r="115" ht="12.75"/>
    <row r="116" spans="2:17" ht="20.25">
      <c r="B116" s="462" t="s">
        <v>423</v>
      </c>
      <c r="C116" s="462"/>
      <c r="D116" s="462"/>
      <c r="E116" s="462"/>
      <c r="F116" s="462"/>
      <c r="G116" s="462"/>
      <c r="H116" s="462"/>
      <c r="I116" s="462"/>
      <c r="J116" s="462"/>
      <c r="K116" s="462"/>
      <c r="L116" s="462"/>
      <c r="M116" s="462"/>
      <c r="N116" s="462"/>
      <c r="O116" s="462"/>
      <c r="P116" s="462"/>
      <c r="Q116" s="462"/>
    </row>
    <row r="117" spans="2:17" ht="27" customHeight="1">
      <c r="B117" s="506" t="s">
        <v>424</v>
      </c>
      <c r="C117" s="506"/>
      <c r="D117" s="9" t="s">
        <v>4</v>
      </c>
      <c r="E117" s="10" t="s">
        <v>5</v>
      </c>
      <c r="F117" s="10" t="s">
        <v>114</v>
      </c>
      <c r="G117" s="114" t="s">
        <v>115</v>
      </c>
      <c r="H117" s="115"/>
      <c r="I117" s="115"/>
      <c r="J117" s="115"/>
      <c r="K117" s="115"/>
      <c r="L117" s="115"/>
      <c r="M117" s="115"/>
      <c r="N117" s="115"/>
      <c r="O117" s="115"/>
      <c r="P117" s="115"/>
      <c r="Q117" s="116"/>
    </row>
    <row r="118" spans="2:17" ht="28.5" customHeight="1">
      <c r="B118" s="11"/>
      <c r="C118" s="18" t="s">
        <v>422</v>
      </c>
      <c r="D118" s="15" t="s">
        <v>139</v>
      </c>
      <c r="E118" s="122">
        <f>E67</f>
        <v>60039.96</v>
      </c>
      <c r="F118" s="125" t="str">
        <f>D67</f>
        <v>ka</v>
      </c>
      <c r="G118" s="471" t="s">
        <v>425</v>
      </c>
      <c r="H118" s="471"/>
      <c r="I118" s="471"/>
      <c r="J118" s="471"/>
      <c r="K118" s="471"/>
      <c r="L118" s="471"/>
      <c r="M118" s="471"/>
      <c r="N118" s="471"/>
      <c r="O118" s="471"/>
      <c r="P118" s="471"/>
      <c r="Q118" s="471"/>
    </row>
    <row r="119" spans="2:17" ht="54.75" customHeight="1">
      <c r="B119" s="11"/>
      <c r="C119" s="18" t="s">
        <v>426</v>
      </c>
      <c r="D119" s="15" t="str">
        <f aca="true" t="shared" si="7" ref="D119:D129">GETNEXTREF(D118)</f>
        <v>lb</v>
      </c>
      <c r="E119" s="124">
        <f>(netIncome(E118-Input!E23-Input!E24,0,0,0,0,0,IF(Input!E33="Enh M Plan","Standard NI rate","Contracted-out NI rate"))+Input!E23+Input!E24)</f>
        <v>42669.778</v>
      </c>
      <c r="F119" s="134" t="str">
        <f>"NetIncome("&amp;D118&amp;" - "&amp;Input!D23&amp;" - "&amp;Input!D24&amp;") + "&amp;Input!D23&amp;" + "&amp;Input!D24</f>
        <v>NetIncome(la - be - bf) + be + bf</v>
      </c>
      <c r="G119" s="507" t="str">
        <f>"Net annual XYZ compensation, equivalent to £"&amp;ROUND(E119/12,2)&amp;" per month"</f>
        <v>Net annual XYZ compensation, equivalent to £3555.81 per month</v>
      </c>
      <c r="H119" s="507"/>
      <c r="I119" s="507"/>
      <c r="J119" s="507"/>
      <c r="K119" s="507"/>
      <c r="L119" s="507"/>
      <c r="M119" s="507"/>
      <c r="N119" s="507"/>
      <c r="O119" s="507"/>
      <c r="P119" s="507"/>
      <c r="Q119" s="507"/>
    </row>
    <row r="120" spans="2:17" ht="42.75" customHeight="1">
      <c r="B120" s="11"/>
      <c r="C120" s="14" t="s">
        <v>427</v>
      </c>
      <c r="D120" s="15" t="str">
        <f t="shared" si="7"/>
        <v>lc</v>
      </c>
      <c r="E120" s="135">
        <f>IF(ISNUMBER(Input!E47),MIN(Input!E47,TribunalDate,Input!E12),MIN(TribunalDate,Input!E12))</f>
        <v>40274</v>
      </c>
      <c r="F120" s="134" t="str">
        <f>"Min("&amp;Input!D47&amp;", "&amp;TribDateRef&amp;", "&amp;Input!D12&amp;")"</f>
        <v>Min(db, if, ad)</v>
      </c>
      <c r="G120" s="507"/>
      <c r="H120" s="507"/>
      <c r="I120" s="507"/>
      <c r="J120" s="507"/>
      <c r="K120" s="507"/>
      <c r="L120" s="507"/>
      <c r="M120" s="507"/>
      <c r="N120" s="507"/>
      <c r="O120" s="507"/>
      <c r="P120" s="507"/>
      <c r="Q120" s="507"/>
    </row>
    <row r="121" spans="2:17" ht="41.25" customHeight="1">
      <c r="B121" s="11"/>
      <c r="C121" s="14" t="s">
        <v>428</v>
      </c>
      <c r="D121" s="15" t="str">
        <f t="shared" si="7"/>
        <v>ld</v>
      </c>
      <c r="E121" s="136">
        <f>(E120-DismissDate)/365.25</f>
        <v>0.08487337440109514</v>
      </c>
      <c r="F121" s="125" t="str">
        <f>D120&amp;" - "&amp;DismissDateRef</f>
        <v>lc - ie</v>
      </c>
      <c r="G121" s="507" t="s">
        <v>140</v>
      </c>
      <c r="H121" s="507"/>
      <c r="I121" s="507"/>
      <c r="J121" s="507"/>
      <c r="K121" s="507"/>
      <c r="L121" s="507"/>
      <c r="M121" s="507"/>
      <c r="N121" s="507"/>
      <c r="O121" s="507"/>
      <c r="P121" s="507"/>
      <c r="Q121" s="507"/>
    </row>
    <row r="122" spans="2:17" ht="42" customHeight="1">
      <c r="B122" s="11"/>
      <c r="C122" s="16" t="s">
        <v>429</v>
      </c>
      <c r="D122" s="15" t="str">
        <f t="shared" si="7"/>
        <v>le</v>
      </c>
      <c r="E122" s="137">
        <f>E121*12</f>
        <v>1.0184804928131417</v>
      </c>
      <c r="F122" s="138" t="str">
        <f>D121&amp;" * 12"</f>
        <v>ld * 12</v>
      </c>
      <c r="G122" s="471" t="s">
        <v>141</v>
      </c>
      <c r="H122" s="471"/>
      <c r="I122" s="471"/>
      <c r="J122" s="471"/>
      <c r="K122" s="471"/>
      <c r="L122" s="471"/>
      <c r="M122" s="471"/>
      <c r="N122" s="471"/>
      <c r="O122" s="471"/>
      <c r="P122" s="471"/>
      <c r="Q122" s="471"/>
    </row>
    <row r="123" spans="2:17" ht="190.5" customHeight="1">
      <c r="B123" s="11"/>
      <c r="C123" s="18" t="s">
        <v>142</v>
      </c>
      <c r="D123" s="15" t="str">
        <f t="shared" si="7"/>
        <v>lf</v>
      </c>
      <c r="E123" s="137">
        <f>GETDURATION(DismissDate,E120-1,PVdate,Discount,Input!E26)</f>
        <v>1.157294166799565</v>
      </c>
      <c r="F123" s="139" t="str">
        <f>"Duration("&amp;DismissDateRef&amp;", "&amp;D120&amp;" - 1, "&amp;PVdateRef&amp;", "&amp;D9&amp;", "&amp;Input!D26&amp;")"</f>
        <v>Duration(ie, lc - 1, ii, ia, bh)</v>
      </c>
      <c r="G123" s="471" t="s">
        <v>143</v>
      </c>
      <c r="H123" s="471"/>
      <c r="I123" s="471"/>
      <c r="J123" s="471"/>
      <c r="K123" s="471"/>
      <c r="L123" s="471"/>
      <c r="M123" s="471"/>
      <c r="N123" s="471"/>
      <c r="O123" s="471"/>
      <c r="P123" s="471"/>
      <c r="Q123" s="471"/>
    </row>
    <row r="124" spans="2:17" ht="12.75">
      <c r="B124" s="11"/>
      <c r="C124" s="18" t="s">
        <v>430</v>
      </c>
      <c r="D124" s="15" t="str">
        <f t="shared" si="7"/>
        <v>lg</v>
      </c>
      <c r="E124" s="140">
        <f>DismissDate</f>
        <v>40243</v>
      </c>
      <c r="F124" s="139" t="str">
        <f>DismissDateRef</f>
        <v>ie</v>
      </c>
      <c r="G124" s="471"/>
      <c r="H124" s="471"/>
      <c r="I124" s="471"/>
      <c r="J124" s="471"/>
      <c r="K124" s="471"/>
      <c r="L124" s="471"/>
      <c r="M124" s="471"/>
      <c r="N124" s="471"/>
      <c r="O124" s="471"/>
      <c r="P124" s="471"/>
      <c r="Q124" s="471"/>
    </row>
    <row r="125" spans="2:17" ht="45" customHeight="1">
      <c r="B125" s="11"/>
      <c r="C125" s="18" t="s">
        <v>431</v>
      </c>
      <c r="D125" s="15" t="str">
        <f t="shared" si="7"/>
        <v>lh</v>
      </c>
      <c r="E125" s="141">
        <f>E120</f>
        <v>40274</v>
      </c>
      <c r="F125" s="139" t="str">
        <f>D120</f>
        <v>lc</v>
      </c>
      <c r="G125" s="471"/>
      <c r="H125" s="471"/>
      <c r="I125" s="471"/>
      <c r="J125" s="471"/>
      <c r="K125" s="471"/>
      <c r="L125" s="471"/>
      <c r="M125" s="471"/>
      <c r="N125" s="471"/>
      <c r="O125" s="471"/>
      <c r="P125" s="471"/>
      <c r="Q125" s="471"/>
    </row>
    <row r="126" spans="2:17" ht="16.5" customHeight="1">
      <c r="B126" s="11"/>
      <c r="C126" s="16" t="s">
        <v>432</v>
      </c>
      <c r="D126" s="15" t="str">
        <f t="shared" si="7"/>
        <v>li</v>
      </c>
      <c r="E126" s="142">
        <f>QUOTIENT(E124-Input!E9,365.25)</f>
        <v>52</v>
      </c>
      <c r="F126" s="143" t="str">
        <f>D124&amp;" - "&amp;Input!D9</f>
        <v>lg - aa</v>
      </c>
      <c r="G126" s="471" t="s">
        <v>144</v>
      </c>
      <c r="H126" s="471"/>
      <c r="I126" s="471"/>
      <c r="J126" s="471"/>
      <c r="K126" s="471"/>
      <c r="L126" s="471"/>
      <c r="M126" s="471"/>
      <c r="N126" s="471"/>
      <c r="O126" s="471"/>
      <c r="P126" s="471"/>
      <c r="Q126" s="471"/>
    </row>
    <row r="127" spans="2:17" ht="41.25" customHeight="1">
      <c r="B127" s="11"/>
      <c r="C127" s="16" t="s">
        <v>433</v>
      </c>
      <c r="D127" s="139" t="str">
        <f t="shared" si="7"/>
        <v>lj</v>
      </c>
      <c r="E127" s="142">
        <f>QUOTIENT(E125-Input!E9,365.25)</f>
        <v>52</v>
      </c>
      <c r="F127" s="143" t="str">
        <f>D125&amp;" - "&amp;Input!D9</f>
        <v>lh - aa</v>
      </c>
      <c r="G127" s="471" t="s">
        <v>144</v>
      </c>
      <c r="H127" s="471"/>
      <c r="I127" s="471"/>
      <c r="J127" s="471"/>
      <c r="K127" s="471"/>
      <c r="L127" s="471"/>
      <c r="M127" s="471"/>
      <c r="N127" s="471"/>
      <c r="O127" s="471"/>
      <c r="P127" s="471"/>
      <c r="Q127" s="471"/>
    </row>
    <row r="128" spans="2:17" ht="85.5" customHeight="1">
      <c r="B128" s="11"/>
      <c r="C128" s="18" t="s">
        <v>434</v>
      </c>
      <c r="D128" s="15" t="str">
        <f t="shared" si="7"/>
        <v>lk</v>
      </c>
      <c r="E128" s="144" t="e">
        <f>IF(HLOOKUP(E126,WFXYZ,MATCH(E127,XYZPRA,0),FALSE)&lt;&gt;"",HLOOKUP(E126,WFXYZ,MATCH(E127,XYZPRA,0),FALSE),0)</f>
        <v>#NAME?</v>
      </c>
      <c r="F128" s="143" t="str">
        <f>"Lookup XYZ Withdrawal Factor table("&amp;D126&amp;", "&amp;D127&amp;")"</f>
        <v>Lookup XYZ Withdrawal Factor table(li, lj)</v>
      </c>
      <c r="G128" s="471" t="s">
        <v>435</v>
      </c>
      <c r="H128" s="471"/>
      <c r="I128" s="471"/>
      <c r="J128" s="471"/>
      <c r="K128" s="471"/>
      <c r="L128" s="471"/>
      <c r="M128" s="471"/>
      <c r="N128" s="471"/>
      <c r="O128" s="471"/>
      <c r="P128" s="471"/>
      <c r="Q128" s="471"/>
    </row>
    <row r="129" spans="2:17" ht="69" customHeight="1">
      <c r="B129" s="11"/>
      <c r="C129" s="131" t="s">
        <v>436</v>
      </c>
      <c r="D129" s="15" t="str">
        <f t="shared" si="7"/>
        <v>ll</v>
      </c>
      <c r="E129" s="145" t="e">
        <f>-E119/12*E123*(1-E128)</f>
        <v>#NAME?</v>
      </c>
      <c r="F129" s="146" t="str">
        <f>"-"&amp;D119&amp;" / 12 * "&amp;D123&amp;" * (1 - "&amp;D128&amp;")"</f>
        <v>-lb / 12 * lf * (1 - lk)</v>
      </c>
      <c r="G129" s="471" t="s">
        <v>437</v>
      </c>
      <c r="H129" s="471"/>
      <c r="I129" s="471"/>
      <c r="J129" s="471"/>
      <c r="K129" s="471"/>
      <c r="L129" s="471"/>
      <c r="M129" s="471"/>
      <c r="N129" s="471"/>
      <c r="O129" s="471"/>
      <c r="P129" s="471"/>
      <c r="Q129" s="471"/>
    </row>
    <row r="130" spans="2:17" ht="12.75">
      <c r="B130" s="46"/>
      <c r="C130" s="128"/>
      <c r="D130" s="62"/>
      <c r="E130" s="147"/>
      <c r="F130" s="148"/>
      <c r="G130" s="47"/>
      <c r="H130" s="47"/>
      <c r="I130" s="47"/>
      <c r="J130" s="47"/>
      <c r="K130" s="47"/>
      <c r="L130" s="47"/>
      <c r="M130" s="47"/>
      <c r="N130" s="47"/>
      <c r="O130" s="47"/>
      <c r="P130" s="47"/>
      <c r="Q130" s="49"/>
    </row>
    <row r="131" spans="3:17" s="29" customFormat="1" ht="12.75">
      <c r="C131" s="131"/>
      <c r="D131" s="66"/>
      <c r="E131" s="149"/>
      <c r="F131" s="150"/>
      <c r="G131" s="50"/>
      <c r="H131" s="50"/>
      <c r="I131" s="50"/>
      <c r="J131" s="50"/>
      <c r="K131" s="50"/>
      <c r="L131" s="50"/>
      <c r="M131" s="50"/>
      <c r="N131" s="50"/>
      <c r="O131" s="50"/>
      <c r="P131" s="50"/>
      <c r="Q131" s="50"/>
    </row>
    <row r="132" spans="3:17" s="29" customFormat="1" ht="12.75">
      <c r="C132" s="131"/>
      <c r="D132" s="66"/>
      <c r="E132" s="149"/>
      <c r="F132" s="150"/>
      <c r="G132" s="50"/>
      <c r="H132" s="50"/>
      <c r="I132" s="50"/>
      <c r="J132" s="50"/>
      <c r="K132" s="50"/>
      <c r="L132" s="50"/>
      <c r="M132" s="50"/>
      <c r="N132" s="50"/>
      <c r="O132" s="50"/>
      <c r="P132" s="50"/>
      <c r="Q132" s="50"/>
    </row>
    <row r="133" spans="2:17" ht="20.25">
      <c r="B133" s="462" t="s">
        <v>145</v>
      </c>
      <c r="C133" s="462"/>
      <c r="D133" s="462"/>
      <c r="E133" s="462"/>
      <c r="F133" s="462"/>
      <c r="G133" s="462"/>
      <c r="H133" s="462"/>
      <c r="I133" s="462"/>
      <c r="J133" s="462"/>
      <c r="K133" s="462"/>
      <c r="L133" s="462"/>
      <c r="M133" s="462"/>
      <c r="N133" s="462"/>
      <c r="O133" s="462"/>
      <c r="P133" s="462"/>
      <c r="Q133" s="462"/>
    </row>
    <row r="134" spans="2:17" ht="15.75" customHeight="1">
      <c r="B134" s="506" t="s">
        <v>146</v>
      </c>
      <c r="C134" s="506"/>
      <c r="D134" s="9" t="s">
        <v>4</v>
      </c>
      <c r="E134" s="10" t="s">
        <v>5</v>
      </c>
      <c r="F134" s="10" t="s">
        <v>114</v>
      </c>
      <c r="G134" s="114" t="s">
        <v>115</v>
      </c>
      <c r="H134" s="115"/>
      <c r="I134" s="115"/>
      <c r="J134" s="115"/>
      <c r="K134" s="115"/>
      <c r="L134" s="115"/>
      <c r="M134" s="115"/>
      <c r="N134" s="115"/>
      <c r="O134" s="115"/>
      <c r="P134" s="115"/>
      <c r="Q134" s="116"/>
    </row>
    <row r="135" spans="2:17" ht="41.25" customHeight="1">
      <c r="B135" s="151"/>
      <c r="C135" s="18" t="s">
        <v>147</v>
      </c>
      <c r="D135" s="15" t="s">
        <v>148</v>
      </c>
      <c r="E135" s="152">
        <f>(Input!E49-Input!E50+Input!E51+Input!E52+Input!E53)*Input!E48</f>
        <v>4320</v>
      </c>
      <c r="F135" s="15" t="str">
        <f>"("&amp;Input!D49&amp;" - "&amp;Input!D50&amp;" + "&amp;Input!D51&amp;" + "&amp;Input!D52&amp;" + "&amp;Input!D53&amp;") * "&amp;Input!D48</f>
        <v>(dd - de + df + dg + dh) * dc</v>
      </c>
      <c r="G135" s="508"/>
      <c r="H135" s="508"/>
      <c r="I135" s="508"/>
      <c r="J135" s="508"/>
      <c r="K135" s="508"/>
      <c r="L135" s="508"/>
      <c r="M135" s="508"/>
      <c r="N135" s="508"/>
      <c r="O135" s="508"/>
      <c r="P135" s="508"/>
      <c r="Q135" s="508"/>
    </row>
    <row r="136" spans="2:17" ht="40.5" customHeight="1">
      <c r="B136" s="11"/>
      <c r="C136" s="18" t="s">
        <v>149</v>
      </c>
      <c r="D136" s="15" t="str">
        <f>getnextref(D135)</f>
        <v>mb</v>
      </c>
      <c r="E136" s="153">
        <f>(Input!E54+Input!E55-Input!E56)*Input!E48</f>
        <v>0</v>
      </c>
      <c r="F136" s="146" t="str">
        <f>"("&amp;Input!D54&amp;" + "&amp;Input!D55&amp;" - "&amp;Input!D56&amp;") * "&amp;Input!D48</f>
        <v>(di + dj - dk) * dc</v>
      </c>
      <c r="G136" s="471"/>
      <c r="H136" s="471"/>
      <c r="I136" s="471"/>
      <c r="J136" s="471"/>
      <c r="K136" s="471"/>
      <c r="L136" s="471"/>
      <c r="M136" s="471"/>
      <c r="N136" s="471"/>
      <c r="O136" s="471"/>
      <c r="P136" s="471"/>
      <c r="Q136" s="471"/>
    </row>
    <row r="137" spans="2:17" ht="29.25" customHeight="1">
      <c r="B137" s="11"/>
      <c r="C137" s="18" t="s">
        <v>150</v>
      </c>
      <c r="D137" s="15" t="str">
        <f>getnextref(D136)</f>
        <v>mc</v>
      </c>
      <c r="E137" s="153">
        <f>Input!E57*Input!E48</f>
        <v>17172</v>
      </c>
      <c r="F137" s="146" t="str">
        <f>Input!D57&amp;" * "&amp;Input!D48</f>
        <v>dl * dc</v>
      </c>
      <c r="G137" s="471" t="s">
        <v>151</v>
      </c>
      <c r="H137" s="471"/>
      <c r="I137" s="471"/>
      <c r="J137" s="471"/>
      <c r="K137" s="471"/>
      <c r="L137" s="471"/>
      <c r="M137" s="471"/>
      <c r="N137" s="471"/>
      <c r="O137" s="471"/>
      <c r="P137" s="471"/>
      <c r="Q137" s="471"/>
    </row>
    <row r="138" spans="2:17" ht="41.25" customHeight="1">
      <c r="B138" s="11"/>
      <c r="C138" s="154" t="s">
        <v>152</v>
      </c>
      <c r="D138" s="15" t="str">
        <f>getnextref(D137)</f>
        <v>md</v>
      </c>
      <c r="E138" s="153">
        <f>Input!E58*Input!E48</f>
        <v>0</v>
      </c>
      <c r="F138" s="146" t="str">
        <f>Input!D58&amp;" * "&amp;Input!D48</f>
        <v>dm * dc</v>
      </c>
      <c r="G138" s="471"/>
      <c r="H138" s="471"/>
      <c r="I138" s="471"/>
      <c r="J138" s="471"/>
      <c r="K138" s="471"/>
      <c r="L138" s="471"/>
      <c r="M138" s="471"/>
      <c r="N138" s="471"/>
      <c r="O138" s="471"/>
      <c r="P138" s="471"/>
      <c r="Q138" s="471"/>
    </row>
    <row r="139" spans="2:17" ht="38.25">
      <c r="B139" s="11"/>
      <c r="C139" s="18" t="s">
        <v>153</v>
      </c>
      <c r="D139" s="15" t="str">
        <f>getnextref(D138)</f>
        <v>me</v>
      </c>
      <c r="E139" s="155">
        <f>netIncome(E135,E138,getCompound(Input!E37,DismissDate,Input!E47,Input!E40),0,E137,0,Input!E59)+E136-netIncome(0,0,getCompound(Input!E37,DismissDate,Input!E47,Input!E40),0,0,0)</f>
        <v>20628.000000000004</v>
      </c>
      <c r="F139" s="156" t="str">
        <f>"NetIncome("&amp;D135&amp;", "&amp;D138&amp;", "&amp;Input!D37&amp;", "&amp;D137&amp;", "&amp;Input!D59&amp;") + "&amp;D136&amp;" - NetIncome("&amp;Input!D37&amp;")"</f>
        <v>NetIncome(ma, md, ce, mc, dn) + mb - NetIncome(ce)</v>
      </c>
      <c r="G139" s="507" t="str">
        <f>"Net annual compensation from current new job, equivalent to £"&amp;ROUND(E139/12,2)&amp;" per month"&amp;CHAR(10)&amp;CHAR(10)&amp;"NB Tax on  XYZ Pension (adjusted for  likely rises before new job start) is discounted"</f>
        <v>Net annual compensation from current new job, equivalent to £1719 per month
NB Tax on  XYZ Pension (adjusted for  likely rises before new job start) is discounted</v>
      </c>
      <c r="H139" s="507"/>
      <c r="I139" s="507"/>
      <c r="J139" s="507"/>
      <c r="K139" s="507"/>
      <c r="L139" s="507"/>
      <c r="M139" s="507"/>
      <c r="N139" s="507"/>
      <c r="O139" s="507"/>
      <c r="P139" s="507"/>
      <c r="Q139" s="507"/>
    </row>
    <row r="140" spans="2:17" ht="29.25" customHeight="1">
      <c r="B140" s="11"/>
      <c r="C140" s="131" t="s">
        <v>438</v>
      </c>
      <c r="D140" s="19" t="str">
        <f>getnextref(D139)</f>
        <v>mf</v>
      </c>
      <c r="E140" s="157">
        <f>MAX(E139/12,0)</f>
        <v>1719.0000000000002</v>
      </c>
      <c r="F140" s="158" t="str">
        <f>"Max("&amp;D139&amp;" / 12, 0)"</f>
        <v>Max(me / 12, 0)</v>
      </c>
      <c r="G140" s="471" t="s">
        <v>154</v>
      </c>
      <c r="H140" s="471"/>
      <c r="I140" s="471"/>
      <c r="J140" s="471"/>
      <c r="K140" s="471"/>
      <c r="L140" s="471"/>
      <c r="M140" s="471"/>
      <c r="N140" s="471"/>
      <c r="O140" s="471"/>
      <c r="P140" s="471"/>
      <c r="Q140" s="471"/>
    </row>
    <row r="141" spans="2:17" ht="12.75">
      <c r="B141" s="106"/>
      <c r="C141" s="128"/>
      <c r="D141" s="159"/>
      <c r="E141" s="147"/>
      <c r="F141" s="160"/>
      <c r="G141" s="45"/>
      <c r="H141" s="45"/>
      <c r="I141" s="45"/>
      <c r="J141" s="45"/>
      <c r="K141" s="45"/>
      <c r="L141" s="45"/>
      <c r="M141" s="45"/>
      <c r="N141" s="45"/>
      <c r="O141" s="45"/>
      <c r="P141" s="45"/>
      <c r="Q141" s="161"/>
    </row>
    <row r="142" spans="2:17" s="29" customFormat="1" ht="12.75">
      <c r="B142" s="3"/>
      <c r="C142" s="131"/>
      <c r="D142" s="66"/>
      <c r="E142" s="149"/>
      <c r="F142" s="162"/>
      <c r="G142" s="50"/>
      <c r="H142" s="50"/>
      <c r="I142" s="50"/>
      <c r="J142" s="50"/>
      <c r="K142" s="50"/>
      <c r="L142" s="50"/>
      <c r="M142" s="50"/>
      <c r="N142" s="50"/>
      <c r="O142" s="50"/>
      <c r="P142" s="50"/>
      <c r="Q142" s="50"/>
    </row>
    <row r="143" spans="2:17" s="29" customFormat="1" ht="12.75">
      <c r="B143" s="3"/>
      <c r="C143" s="131"/>
      <c r="D143" s="66"/>
      <c r="E143" s="149"/>
      <c r="F143" s="162"/>
      <c r="G143" s="50"/>
      <c r="H143" s="50"/>
      <c r="I143" s="50"/>
      <c r="J143" s="50"/>
      <c r="K143" s="50"/>
      <c r="L143" s="50"/>
      <c r="M143" s="50"/>
      <c r="N143" s="50"/>
      <c r="O143" s="50"/>
      <c r="P143" s="50"/>
      <c r="Q143" s="50"/>
    </row>
    <row r="144" spans="2:17" ht="20.25">
      <c r="B144" s="462" t="s">
        <v>439</v>
      </c>
      <c r="C144" s="462"/>
      <c r="D144" s="462"/>
      <c r="E144" s="462"/>
      <c r="F144" s="462"/>
      <c r="G144" s="462"/>
      <c r="H144" s="462"/>
      <c r="I144" s="462"/>
      <c r="J144" s="462"/>
      <c r="K144" s="462"/>
      <c r="L144" s="462"/>
      <c r="M144" s="462"/>
      <c r="N144" s="462"/>
      <c r="O144" s="462"/>
      <c r="P144" s="462"/>
      <c r="Q144" s="462"/>
    </row>
    <row r="145" spans="2:17" s="29" customFormat="1" ht="47.25" customHeight="1">
      <c r="B145" s="506" t="s">
        <v>440</v>
      </c>
      <c r="C145" s="506"/>
      <c r="D145" s="9" t="s">
        <v>4</v>
      </c>
      <c r="E145" s="10" t="s">
        <v>5</v>
      </c>
      <c r="F145" s="10" t="s">
        <v>114</v>
      </c>
      <c r="G145" s="114" t="s">
        <v>115</v>
      </c>
      <c r="H145" s="115"/>
      <c r="I145" s="115"/>
      <c r="J145" s="115"/>
      <c r="K145" s="115"/>
      <c r="L145" s="115"/>
      <c r="M145" s="115"/>
      <c r="N145" s="115"/>
      <c r="O145" s="115"/>
      <c r="P145" s="115"/>
      <c r="Q145" s="116"/>
    </row>
    <row r="146" spans="2:17" s="29" customFormat="1" ht="30" customHeight="1">
      <c r="B146" s="151"/>
      <c r="C146" s="18" t="s">
        <v>441</v>
      </c>
      <c r="D146" s="15" t="s">
        <v>155</v>
      </c>
      <c r="E146" s="163">
        <f>MIN(TribunalDate,Input!E12)</f>
        <v>42133</v>
      </c>
      <c r="F146" s="15" t="str">
        <f>"Min("&amp;TribDateRef&amp;", "&amp;Input!D12&amp;")"</f>
        <v>Min(if, ad)</v>
      </c>
      <c r="G146" s="471"/>
      <c r="H146" s="471"/>
      <c r="I146" s="471"/>
      <c r="J146" s="471"/>
      <c r="K146" s="471"/>
      <c r="L146" s="471"/>
      <c r="M146" s="471"/>
      <c r="N146" s="471"/>
      <c r="O146" s="471"/>
      <c r="P146" s="471"/>
      <c r="Q146" s="471"/>
    </row>
    <row r="147" spans="2:17" s="29" customFormat="1" ht="41.25" customHeight="1">
      <c r="B147" s="151"/>
      <c r="C147" s="14" t="s">
        <v>442</v>
      </c>
      <c r="D147" s="15" t="str">
        <f>getnextref(D146)</f>
        <v>nb</v>
      </c>
      <c r="E147" s="164">
        <f>IF(ISNUMBER(Input!E47),(E146-Input!E47)/365.25,0)</f>
        <v>5.089664613278576</v>
      </c>
      <c r="F147" s="143" t="str">
        <f>D146&amp;" - "&amp;Input!D47</f>
        <v>na - db</v>
      </c>
      <c r="G147" s="471" t="s">
        <v>156</v>
      </c>
      <c r="H147" s="471"/>
      <c r="I147" s="471"/>
      <c r="J147" s="471"/>
      <c r="K147" s="471"/>
      <c r="L147" s="471"/>
      <c r="M147" s="471"/>
      <c r="N147" s="471"/>
      <c r="O147" s="471"/>
      <c r="P147" s="471"/>
      <c r="Q147" s="471"/>
    </row>
    <row r="148" spans="2:17" s="29" customFormat="1" ht="40.5" customHeight="1">
      <c r="B148" s="151"/>
      <c r="C148" s="18" t="s">
        <v>443</v>
      </c>
      <c r="D148" s="15" t="str">
        <f>getnextref(D147)</f>
        <v>nc</v>
      </c>
      <c r="E148" s="164">
        <f>E147*12</f>
        <v>61.07597535934292</v>
      </c>
      <c r="F148" s="15" t="str">
        <f>D147&amp;" * 12"</f>
        <v>nb * 12</v>
      </c>
      <c r="G148" s="471" t="s">
        <v>141</v>
      </c>
      <c r="H148" s="471"/>
      <c r="I148" s="471"/>
      <c r="J148" s="471"/>
      <c r="K148" s="471"/>
      <c r="L148" s="471"/>
      <c r="M148" s="471"/>
      <c r="N148" s="471"/>
      <c r="O148" s="471"/>
      <c r="P148" s="471"/>
      <c r="Q148" s="471"/>
    </row>
    <row r="149" spans="2:17" s="29" customFormat="1" ht="72" customHeight="1">
      <c r="B149" s="151"/>
      <c r="C149" s="383" t="s">
        <v>444</v>
      </c>
      <c r="D149" s="15" t="str">
        <f>getnextref(D148)</f>
        <v>nd</v>
      </c>
      <c r="E149" s="164">
        <f>IF(ISNUMBER(Input!E47),GETDURATION(Input!E47,E146-1,PVdate,Discount,Input!E26,"m"),0)</f>
        <v>69.25502484607696</v>
      </c>
      <c r="F149" s="15" t="str">
        <f>"Duration("&amp;Input!D47&amp;", "&amp;D146&amp;" - 1, "&amp;PVdateRef&amp;", "&amp;D9&amp;", "&amp;Input!D26&amp;",""m"")"</f>
        <v>Duration(db, na - 1, ii, ia, bh,"m")</v>
      </c>
      <c r="G149" s="471" t="s">
        <v>157</v>
      </c>
      <c r="H149" s="471"/>
      <c r="I149" s="471"/>
      <c r="J149" s="471"/>
      <c r="K149" s="471"/>
      <c r="L149" s="471"/>
      <c r="M149" s="471"/>
      <c r="N149" s="471"/>
      <c r="O149" s="471"/>
      <c r="P149" s="471"/>
      <c r="Q149" s="471"/>
    </row>
    <row r="150" spans="2:17" s="29" customFormat="1" ht="72" customHeight="1">
      <c r="B150" s="151"/>
      <c r="C150" s="383" t="s">
        <v>445</v>
      </c>
      <c r="D150" s="15" t="str">
        <f>getnextref(D149)</f>
        <v>ne</v>
      </c>
      <c r="E150" s="164">
        <f>IF(ISNUMBER(Input!E47),GETDURATION(Input!E47,E146-1,PVdate,Discount,Input!E60,"m"),0)</f>
        <v>69.25502484607696</v>
      </c>
      <c r="F150" s="15" t="str">
        <f>"Duration("&amp;Input!D47&amp;", "&amp;D146&amp;" - 1, "&amp;PVdateRef&amp;", "&amp;D9&amp;", "&amp;Input!D60&amp;",""m"")"</f>
        <v>Duration(db, na - 1, ii, ia, do,"m")</v>
      </c>
      <c r="G150" s="471" t="s">
        <v>157</v>
      </c>
      <c r="H150" s="471"/>
      <c r="I150" s="471"/>
      <c r="J150" s="471"/>
      <c r="K150" s="471"/>
      <c r="L150" s="471"/>
      <c r="M150" s="471"/>
      <c r="N150" s="471"/>
      <c r="O150" s="471"/>
      <c r="P150" s="471"/>
      <c r="Q150" s="471"/>
    </row>
    <row r="151" spans="2:17" s="29" customFormat="1" ht="54.75" customHeight="1">
      <c r="B151" s="165"/>
      <c r="C151" s="383" t="s">
        <v>446</v>
      </c>
      <c r="D151" s="15" t="str">
        <f>getnextref(D150)</f>
        <v>nf</v>
      </c>
      <c r="E151" s="153">
        <f>-getCompound(E119,DismissDate,Input!E47,Input!E26)/12*E149</f>
        <v>-246774.6799622551</v>
      </c>
      <c r="F151" s="143" t="str">
        <f>"- "&amp;D119&amp;" / 12 * "&amp;D149</f>
        <v>- lb / 12 * nd</v>
      </c>
      <c r="G151" s="471" t="s">
        <v>158</v>
      </c>
      <c r="H151" s="471"/>
      <c r="I151" s="471"/>
      <c r="J151" s="471"/>
      <c r="K151" s="471"/>
      <c r="L151" s="471"/>
      <c r="M151" s="471"/>
      <c r="N151" s="471"/>
      <c r="O151" s="471"/>
      <c r="P151" s="471"/>
      <c r="Q151" s="471"/>
    </row>
    <row r="152" spans="2:17" s="29" customFormat="1" ht="16.5" customHeight="1">
      <c r="B152" s="165"/>
      <c r="C152" s="16" t="s">
        <v>159</v>
      </c>
      <c r="D152" s="139" t="str">
        <f aca="true" t="shared" si="8" ref="D152:D158">GETNEXTREF(D151)</f>
        <v>ng</v>
      </c>
      <c r="E152" s="142">
        <f>IF(ISNUMBER(Input!E47),QUOTIENT((Input!E47-Input!E9),365.25),"N/A")</f>
        <v>52</v>
      </c>
      <c r="F152" s="143" t="str">
        <f>Input!D47&amp;" - "&amp;Input!D9</f>
        <v>db - aa</v>
      </c>
      <c r="G152" s="471" t="s">
        <v>144</v>
      </c>
      <c r="H152" s="471"/>
      <c r="I152" s="471"/>
      <c r="J152" s="471"/>
      <c r="K152" s="471"/>
      <c r="L152" s="471"/>
      <c r="M152" s="471"/>
      <c r="N152" s="471"/>
      <c r="O152" s="471"/>
      <c r="P152" s="471"/>
      <c r="Q152" s="471"/>
    </row>
    <row r="153" spans="2:17" s="29" customFormat="1" ht="32.25" customHeight="1">
      <c r="B153" s="165"/>
      <c r="C153" s="457" t="s">
        <v>447</v>
      </c>
      <c r="D153" s="139" t="str">
        <f>getnextref(D152)</f>
        <v>nh</v>
      </c>
      <c r="E153" s="142">
        <f ca="1">QUOTIENT((MIN(E146,TODAY())-Input!E9),365.25)</f>
        <v>56</v>
      </c>
      <c r="F153" s="143" t="str">
        <f>"MIN("&amp;D146&amp;" ,TODAY()- "&amp;Input!D9</f>
        <v>MIN(na ,TODAY()- aa</v>
      </c>
      <c r="G153" s="471" t="s">
        <v>144</v>
      </c>
      <c r="H153" s="471"/>
      <c r="I153" s="471"/>
      <c r="J153" s="471"/>
      <c r="K153" s="471"/>
      <c r="L153" s="471"/>
      <c r="M153" s="471"/>
      <c r="N153" s="471"/>
      <c r="O153" s="471"/>
      <c r="P153" s="471"/>
      <c r="Q153" s="471"/>
    </row>
    <row r="154" spans="2:17" s="29" customFormat="1" ht="32.25" customHeight="1">
      <c r="B154" s="165"/>
      <c r="C154" s="16" t="s">
        <v>448</v>
      </c>
      <c r="D154" s="139" t="str">
        <f>getnextref(D153)</f>
        <v>ni</v>
      </c>
      <c r="E154" s="142">
        <f>QUOTIENT((E146-Input!E9),365.25)</f>
        <v>57</v>
      </c>
      <c r="F154" s="143" t="str">
        <f>D146&amp;" - "&amp;Input!D9</f>
        <v>na - aa</v>
      </c>
      <c r="G154" s="471" t="s">
        <v>144</v>
      </c>
      <c r="H154" s="471"/>
      <c r="I154" s="471"/>
      <c r="J154" s="471"/>
      <c r="K154" s="471"/>
      <c r="L154" s="471"/>
      <c r="M154" s="471"/>
      <c r="N154" s="471"/>
      <c r="O154" s="471"/>
      <c r="P154" s="471"/>
      <c r="Q154" s="471"/>
    </row>
    <row r="155" spans="2:17" s="29" customFormat="1" ht="68.25" customHeight="1">
      <c r="B155" s="165"/>
      <c r="C155" s="18" t="s">
        <v>449</v>
      </c>
      <c r="D155" s="15" t="str">
        <f t="shared" si="8"/>
        <v>nj</v>
      </c>
      <c r="E155" s="144" t="e">
        <f>IF(ISNUMBER(Input!E47),IF(HLOOKUP(E152,WFXYZ,MATCH(E154,XYZPRA,0),FALSE)&lt;&gt;"",HLOOKUP(E152,WFXYZ,MATCH(E154,XYZPRA,0),FALSE),0),"N/A")</f>
        <v>#NAME?</v>
      </c>
      <c r="F155" s="143" t="str">
        <f>"Lookup XYZ Withdrawal Factor table("&amp;D152&amp;", "&amp;D154&amp;")"</f>
        <v>Lookup XYZ Withdrawal Factor table(ng, ni)</v>
      </c>
      <c r="G155" s="471" t="s">
        <v>450</v>
      </c>
      <c r="H155" s="471"/>
      <c r="I155" s="471"/>
      <c r="J155" s="471"/>
      <c r="K155" s="471"/>
      <c r="L155" s="471"/>
      <c r="M155" s="471"/>
      <c r="N155" s="471"/>
      <c r="O155" s="471"/>
      <c r="P155" s="471"/>
      <c r="Q155" s="471"/>
    </row>
    <row r="156" spans="2:17" s="29" customFormat="1" ht="69.75" customHeight="1">
      <c r="B156" s="165"/>
      <c r="C156" s="18" t="s">
        <v>451</v>
      </c>
      <c r="D156" s="15" t="str">
        <f t="shared" si="8"/>
        <v>nk</v>
      </c>
      <c r="E156" s="166" t="e">
        <f>IF(ISNUMBER(Input!E47),E151*(1-E155),"N/A")</f>
        <v>#NAME?</v>
      </c>
      <c r="F156" s="143" t="str">
        <f>D151&amp;" * (1 - "&amp;D155&amp;")"</f>
        <v>nf * (1 - nj)</v>
      </c>
      <c r="G156" s="471" t="s">
        <v>452</v>
      </c>
      <c r="H156" s="471"/>
      <c r="I156" s="471"/>
      <c r="J156" s="471"/>
      <c r="K156" s="471"/>
      <c r="L156" s="471"/>
      <c r="M156" s="471"/>
      <c r="N156" s="471"/>
      <c r="O156" s="471"/>
      <c r="P156" s="471"/>
      <c r="Q156" s="471"/>
    </row>
    <row r="157" spans="2:17" s="29" customFormat="1" ht="67.5" customHeight="1">
      <c r="B157" s="165"/>
      <c r="C157" s="18" t="s">
        <v>453</v>
      </c>
      <c r="D157" s="15" t="str">
        <f t="shared" si="8"/>
        <v>nl</v>
      </c>
      <c r="E157" s="167">
        <f>E140*E150</f>
        <v>119049.38771040631</v>
      </c>
      <c r="F157" s="15" t="str">
        <f>D140&amp;" * "&amp;D150</f>
        <v>mf * ne</v>
      </c>
      <c r="G157" s="471"/>
      <c r="H157" s="471"/>
      <c r="I157" s="471"/>
      <c r="J157" s="471"/>
      <c r="K157" s="471"/>
      <c r="L157" s="471"/>
      <c r="M157" s="471"/>
      <c r="N157" s="471"/>
      <c r="O157" s="471"/>
      <c r="P157" s="471"/>
      <c r="Q157" s="471"/>
    </row>
    <row r="158" spans="2:17" s="29" customFormat="1" ht="85.5" customHeight="1">
      <c r="B158" s="165"/>
      <c r="C158" s="18" t="s">
        <v>454</v>
      </c>
      <c r="D158" s="15" t="str">
        <f t="shared" si="8"/>
        <v>nm</v>
      </c>
      <c r="E158" s="168">
        <f>IF(ISNUMBER(Input!E47),HLOOKUP(E153,WFNewJob,MATCH(E154,NEWJOBPRA,0),FALSE),0)</f>
        <v>0.0016892243194490675</v>
      </c>
      <c r="F158" s="143" t="str">
        <f>"Lookup New Job Withdrawal Factor table("&amp;D152&amp;", "&amp;D154&amp;")"</f>
        <v>Lookup New Job Withdrawal Factor table(ng, ni)</v>
      </c>
      <c r="G158" s="477" t="s">
        <v>455</v>
      </c>
      <c r="H158" s="471"/>
      <c r="I158" s="471"/>
      <c r="J158" s="471"/>
      <c r="K158" s="471"/>
      <c r="L158" s="471"/>
      <c r="M158" s="471"/>
      <c r="N158" s="471"/>
      <c r="O158" s="471"/>
      <c r="P158" s="471"/>
      <c r="Q158" s="471"/>
    </row>
    <row r="159" spans="2:17" s="29" customFormat="1" ht="69.75" customHeight="1">
      <c r="B159" s="165"/>
      <c r="C159" s="18" t="s">
        <v>456</v>
      </c>
      <c r="D159" s="15" t="str">
        <f>getnextref(D158)</f>
        <v>nn</v>
      </c>
      <c r="E159" s="169">
        <f>E157*(1-E158)</f>
        <v>118848.28658947037</v>
      </c>
      <c r="F159" s="143" t="str">
        <f>D157&amp;" * (1 - "&amp;D158&amp;")"</f>
        <v>nl * (1 - nm)</v>
      </c>
      <c r="G159" s="477" t="s">
        <v>457</v>
      </c>
      <c r="H159" s="471"/>
      <c r="I159" s="471"/>
      <c r="J159" s="471"/>
      <c r="K159" s="471"/>
      <c r="L159" s="471"/>
      <c r="M159" s="471"/>
      <c r="N159" s="471"/>
      <c r="O159" s="471"/>
      <c r="P159" s="471"/>
      <c r="Q159" s="471"/>
    </row>
    <row r="160" spans="2:17" s="29" customFormat="1" ht="96.75" customHeight="1">
      <c r="B160" s="151"/>
      <c r="C160" s="170" t="s">
        <v>458</v>
      </c>
      <c r="D160" s="15" t="str">
        <f>getnextref(D159)</f>
        <v>no</v>
      </c>
      <c r="E160" s="171" t="e">
        <f>IF(ISNUMBER(Input!E47),MIN(E159+E156,0),0)</f>
        <v>#NAME?</v>
      </c>
      <c r="F160" s="172" t="str">
        <f>"Min("&amp;D159&amp;" + "&amp;D156&amp;", 0)"</f>
        <v>Min(nn + nk, 0)</v>
      </c>
      <c r="G160" s="471" t="s">
        <v>459</v>
      </c>
      <c r="H160" s="471"/>
      <c r="I160" s="471"/>
      <c r="J160" s="471"/>
      <c r="K160" s="471"/>
      <c r="L160" s="471"/>
      <c r="M160" s="471"/>
      <c r="N160" s="471"/>
      <c r="O160" s="471"/>
      <c r="P160" s="471"/>
      <c r="Q160" s="471"/>
    </row>
    <row r="161" spans="2:17" s="29" customFormat="1" ht="12.75">
      <c r="B161" s="173"/>
      <c r="C161" s="128"/>
      <c r="D161" s="62"/>
      <c r="E161" s="174"/>
      <c r="F161" s="175"/>
      <c r="G161" s="176"/>
      <c r="H161" s="177"/>
      <c r="I161" s="176"/>
      <c r="J161" s="176"/>
      <c r="K161" s="176"/>
      <c r="L161" s="176"/>
      <c r="M161" s="176"/>
      <c r="N161" s="176"/>
      <c r="O161" s="176"/>
      <c r="P161" s="176"/>
      <c r="Q161" s="178"/>
    </row>
    <row r="162" spans="2:17" s="29" customFormat="1" ht="12.75">
      <c r="B162" s="179"/>
      <c r="C162" s="131"/>
      <c r="D162" s="66"/>
      <c r="E162" s="41"/>
      <c r="F162" s="180"/>
      <c r="G162" s="181"/>
      <c r="H162" s="182"/>
      <c r="I162" s="181"/>
      <c r="J162" s="181"/>
      <c r="K162" s="181"/>
      <c r="L162" s="181"/>
      <c r="M162" s="181"/>
      <c r="N162" s="181"/>
      <c r="O162" s="181"/>
      <c r="P162" s="181"/>
      <c r="Q162" s="181"/>
    </row>
    <row r="163" spans="2:17" s="29" customFormat="1" ht="12.75">
      <c r="B163" s="179"/>
      <c r="C163" s="131"/>
      <c r="D163" s="66"/>
      <c r="E163" s="41"/>
      <c r="F163" s="180"/>
      <c r="G163" s="181"/>
      <c r="H163" s="181"/>
      <c r="I163" s="181"/>
      <c r="J163" s="181"/>
      <c r="K163" s="181"/>
      <c r="L163" s="181"/>
      <c r="M163" s="181"/>
      <c r="N163" s="181"/>
      <c r="O163" s="181"/>
      <c r="P163" s="181"/>
      <c r="Q163" s="181"/>
    </row>
    <row r="164" spans="2:17" s="29" customFormat="1" ht="20.25">
      <c r="B164" s="462" t="s">
        <v>460</v>
      </c>
      <c r="C164" s="462"/>
      <c r="D164" s="462"/>
      <c r="E164" s="462"/>
      <c r="F164" s="462"/>
      <c r="G164" s="462"/>
      <c r="H164" s="462"/>
      <c r="I164" s="462"/>
      <c r="J164" s="462"/>
      <c r="K164" s="462"/>
      <c r="L164" s="462"/>
      <c r="M164" s="462"/>
      <c r="N164" s="462"/>
      <c r="O164" s="462"/>
      <c r="P164" s="462"/>
      <c r="Q164" s="462"/>
    </row>
    <row r="165" spans="2:17" s="29" customFormat="1" ht="43.5" customHeight="1">
      <c r="B165" s="506" t="s">
        <v>461</v>
      </c>
      <c r="C165" s="506"/>
      <c r="D165" s="9" t="s">
        <v>4</v>
      </c>
      <c r="E165" s="10" t="s">
        <v>5</v>
      </c>
      <c r="F165" s="10" t="s">
        <v>114</v>
      </c>
      <c r="G165" s="114" t="s">
        <v>115</v>
      </c>
      <c r="H165" s="115"/>
      <c r="I165" s="115"/>
      <c r="J165" s="115"/>
      <c r="K165" s="115"/>
      <c r="L165" s="115"/>
      <c r="M165" s="115"/>
      <c r="N165" s="115"/>
      <c r="O165" s="115"/>
      <c r="P165" s="115"/>
      <c r="Q165" s="116"/>
    </row>
    <row r="166" spans="2:17" s="29" customFormat="1" ht="15.75" customHeight="1">
      <c r="B166" s="151"/>
      <c r="C166" s="16" t="s">
        <v>160</v>
      </c>
      <c r="D166" s="15" t="s">
        <v>161</v>
      </c>
      <c r="E166" s="163">
        <f>TribunalDate</f>
        <v>42133</v>
      </c>
      <c r="F166" s="15" t="str">
        <f>TribDateRef</f>
        <v>if</v>
      </c>
      <c r="G166" s="471"/>
      <c r="H166" s="471"/>
      <c r="I166" s="471"/>
      <c r="J166" s="471"/>
      <c r="K166" s="471"/>
      <c r="L166" s="471"/>
      <c r="M166" s="471"/>
      <c r="N166" s="471"/>
      <c r="O166" s="471"/>
      <c r="P166" s="471"/>
      <c r="Q166" s="471"/>
    </row>
    <row r="167" spans="2:17" s="29" customFormat="1" ht="15.75" customHeight="1">
      <c r="B167" s="151"/>
      <c r="C167" s="53" t="s">
        <v>462</v>
      </c>
      <c r="D167" s="15" t="str">
        <f aca="true" t="shared" si="9" ref="D167:D178">GETNEXTREF(D166)</f>
        <v>ob</v>
      </c>
      <c r="E167" s="163">
        <f>Input!E12</f>
        <v>44110</v>
      </c>
      <c r="F167" s="15" t="str">
        <f>Input!D12</f>
        <v>ad</v>
      </c>
      <c r="G167" s="14"/>
      <c r="H167" s="45"/>
      <c r="I167" s="45"/>
      <c r="J167" s="45"/>
      <c r="K167" s="45"/>
      <c r="L167" s="45"/>
      <c r="M167" s="45"/>
      <c r="N167" s="45"/>
      <c r="O167" s="45"/>
      <c r="P167" s="45"/>
      <c r="Q167" s="20"/>
    </row>
    <row r="168" spans="2:17" s="29" customFormat="1" ht="29.25" customHeight="1">
      <c r="B168" s="151"/>
      <c r="C168" s="14" t="s">
        <v>463</v>
      </c>
      <c r="D168" s="15" t="str">
        <f t="shared" si="9"/>
        <v>oc</v>
      </c>
      <c r="E168" s="164">
        <f>MAX((E167-E166)/365.25,0)</f>
        <v>5.412731006160164</v>
      </c>
      <c r="F168" s="143" t="str">
        <f>D167&amp;" - "&amp;D166</f>
        <v>ob - oa</v>
      </c>
      <c r="G168" s="471" t="s">
        <v>464</v>
      </c>
      <c r="H168" s="471"/>
      <c r="I168" s="471"/>
      <c r="J168" s="471"/>
      <c r="K168" s="471"/>
      <c r="L168" s="471"/>
      <c r="M168" s="471"/>
      <c r="N168" s="471"/>
      <c r="O168" s="471"/>
      <c r="P168" s="471"/>
      <c r="Q168" s="471"/>
    </row>
    <row r="169" spans="2:17" s="29" customFormat="1" ht="28.5" customHeight="1">
      <c r="B169" s="151"/>
      <c r="C169" s="18" t="s">
        <v>465</v>
      </c>
      <c r="D169" s="15" t="str">
        <f t="shared" si="9"/>
        <v>od</v>
      </c>
      <c r="E169" s="164">
        <f>E168*12</f>
        <v>64.95277207392196</v>
      </c>
      <c r="F169" s="15" t="str">
        <f>D168&amp;" * 12"</f>
        <v>oc * 12</v>
      </c>
      <c r="G169" s="471" t="s">
        <v>141</v>
      </c>
      <c r="H169" s="471"/>
      <c r="I169" s="471"/>
      <c r="J169" s="471"/>
      <c r="K169" s="471"/>
      <c r="L169" s="471"/>
      <c r="M169" s="471"/>
      <c r="N169" s="471"/>
      <c r="O169" s="471"/>
      <c r="P169" s="471"/>
      <c r="Q169" s="471"/>
    </row>
    <row r="170" spans="2:17" s="29" customFormat="1" ht="57.75" customHeight="1">
      <c r="B170" s="151"/>
      <c r="C170" s="383" t="s">
        <v>466</v>
      </c>
      <c r="D170" s="15" t="str">
        <f t="shared" si="9"/>
        <v>oe</v>
      </c>
      <c r="E170" s="164">
        <f>IF(E167&gt;PVdate,GETDURATION(PVdate,E167-1,PVdate,Discount,Input!E26,"m"),0)</f>
        <v>64.95277207392198</v>
      </c>
      <c r="F170" s="15" t="str">
        <f>"Duration("&amp;D166&amp;", "&amp;D167&amp;" - 1, "&amp;D166&amp;", "&amp;D9&amp;", "&amp;Input!D26&amp;",""m"")"</f>
        <v>Duration(oa, ob - 1, oa, ia, bh,"m")</v>
      </c>
      <c r="G170" s="471" t="s">
        <v>141</v>
      </c>
      <c r="H170" s="471"/>
      <c r="I170" s="471"/>
      <c r="J170" s="471"/>
      <c r="K170" s="471"/>
      <c r="L170" s="471"/>
      <c r="M170" s="471"/>
      <c r="N170" s="471"/>
      <c r="O170" s="471"/>
      <c r="P170" s="471"/>
      <c r="Q170" s="471"/>
    </row>
    <row r="171" spans="2:17" s="29" customFormat="1" ht="57.75" customHeight="1">
      <c r="B171" s="151"/>
      <c r="C171" s="383" t="s">
        <v>467</v>
      </c>
      <c r="D171" s="15" t="str">
        <f t="shared" si="9"/>
        <v>of</v>
      </c>
      <c r="E171" s="164">
        <f>IF(E167&gt;PVdate,GETDURATION(PVdate,E167-1,PVdate,Discount,Input!E60,"m"),0)</f>
        <v>64.95277207392198</v>
      </c>
      <c r="F171" s="15" t="str">
        <f>"Duration("&amp;D166&amp;", "&amp;D167&amp;" - 1, "&amp;D166&amp;", "&amp;D9&amp;", "&amp;Input!D60&amp;",""m"")"</f>
        <v>Duration(oa, ob - 1, oa, ia, do,"m")</v>
      </c>
      <c r="G171" s="471" t="s">
        <v>141</v>
      </c>
      <c r="H171" s="471"/>
      <c r="I171" s="471"/>
      <c r="J171" s="471"/>
      <c r="K171" s="471"/>
      <c r="L171" s="471"/>
      <c r="M171" s="471"/>
      <c r="N171" s="471"/>
      <c r="O171" s="471"/>
      <c r="P171" s="471"/>
      <c r="Q171" s="471"/>
    </row>
    <row r="172" spans="2:17" s="29" customFormat="1" ht="54.75" customHeight="1">
      <c r="B172" s="165"/>
      <c r="C172" s="18" t="s">
        <v>468</v>
      </c>
      <c r="D172" s="15" t="str">
        <f t="shared" si="9"/>
        <v>og</v>
      </c>
      <c r="E172" s="153">
        <f>-getCompound(E119,DismissDate,E166,Input!E26)/12*E170</f>
        <v>-262438.69945422065</v>
      </c>
      <c r="F172" s="143" t="str">
        <f>"-  ("&amp;D119&amp;" Inc XYZ infl to ET) / 12 * "&amp;D170</f>
        <v>-  (lb Inc XYZ infl to ET) / 12 * oe</v>
      </c>
      <c r="G172" s="471"/>
      <c r="H172" s="471"/>
      <c r="I172" s="471"/>
      <c r="J172" s="471"/>
      <c r="K172" s="471"/>
      <c r="L172" s="471"/>
      <c r="M172" s="471"/>
      <c r="N172" s="471"/>
      <c r="O172" s="471"/>
      <c r="P172" s="471"/>
      <c r="Q172" s="471"/>
    </row>
    <row r="173" spans="2:17" s="29" customFormat="1" ht="15.75" customHeight="1">
      <c r="B173" s="165"/>
      <c r="C173" s="16" t="s">
        <v>162</v>
      </c>
      <c r="D173" s="139" t="str">
        <f t="shared" si="9"/>
        <v>oh</v>
      </c>
      <c r="E173" s="142">
        <f>QUOTIENT((E166-Input!E9),365.25)</f>
        <v>57</v>
      </c>
      <c r="F173" s="143" t="str">
        <f>D166&amp;" - "&amp;Input!D9</f>
        <v>oa - aa</v>
      </c>
      <c r="G173" s="471" t="s">
        <v>144</v>
      </c>
      <c r="H173" s="471"/>
      <c r="I173" s="471"/>
      <c r="J173" s="471"/>
      <c r="K173" s="471"/>
      <c r="L173" s="471"/>
      <c r="M173" s="471"/>
      <c r="N173" s="471"/>
      <c r="O173" s="471"/>
      <c r="P173" s="471"/>
      <c r="Q173" s="471"/>
    </row>
    <row r="174" spans="2:17" s="29" customFormat="1" ht="15.75" customHeight="1">
      <c r="B174" s="165"/>
      <c r="C174" s="16" t="s">
        <v>469</v>
      </c>
      <c r="D174" s="139" t="str">
        <f t="shared" si="9"/>
        <v>oi</v>
      </c>
      <c r="E174" s="142">
        <f>QUOTIENT((E167-Input!E9),365.25)</f>
        <v>63</v>
      </c>
      <c r="F174" s="143" t="str">
        <f>D167&amp;" - "&amp;Input!D9</f>
        <v>ob - aa</v>
      </c>
      <c r="G174" s="471" t="s">
        <v>144</v>
      </c>
      <c r="H174" s="471"/>
      <c r="I174" s="471"/>
      <c r="J174" s="471"/>
      <c r="K174" s="471"/>
      <c r="L174" s="471"/>
      <c r="M174" s="471"/>
      <c r="N174" s="471"/>
      <c r="O174" s="471"/>
      <c r="P174" s="471"/>
      <c r="Q174" s="471"/>
    </row>
    <row r="175" spans="2:17" s="29" customFormat="1" ht="71.25" customHeight="1">
      <c r="B175" s="165"/>
      <c r="C175" s="18" t="s">
        <v>470</v>
      </c>
      <c r="D175" s="15" t="str">
        <f t="shared" si="9"/>
        <v>oj</v>
      </c>
      <c r="E175" s="144" t="e">
        <f>IF(E167&gt;E166,IF(HLOOKUP(E173,WFXYZ,MATCH(E174,XYZPRA,0),FALSE)&lt;&gt;"",HLOOKUP(E173,WFXYZ,MATCH(E174,XYZPRA,0),FALSE),0),0)</f>
        <v>#NAME?</v>
      </c>
      <c r="F175" s="143" t="str">
        <f>"Lookup XYZ Withdrawal Factor table("&amp;D173&amp;", "&amp;D174&amp;")"</f>
        <v>Lookup XYZ Withdrawal Factor table(oh, oi)</v>
      </c>
      <c r="G175" s="471" t="s">
        <v>450</v>
      </c>
      <c r="H175" s="471"/>
      <c r="I175" s="471"/>
      <c r="J175" s="471"/>
      <c r="K175" s="471"/>
      <c r="L175" s="471"/>
      <c r="M175" s="471"/>
      <c r="N175" s="471"/>
      <c r="O175" s="471"/>
      <c r="P175" s="471"/>
      <c r="Q175" s="471"/>
    </row>
    <row r="176" spans="2:17" s="29" customFormat="1" ht="67.5" customHeight="1">
      <c r="B176" s="165"/>
      <c r="C176" s="18" t="s">
        <v>471</v>
      </c>
      <c r="D176" s="15" t="str">
        <f t="shared" si="9"/>
        <v>ok</v>
      </c>
      <c r="E176" s="166" t="e">
        <f>E172*(1-E175)</f>
        <v>#NAME?</v>
      </c>
      <c r="F176" s="143" t="str">
        <f>D172&amp;" * (1 - "&amp;D175&amp;")"</f>
        <v>og * (1 - oj)</v>
      </c>
      <c r="G176" s="471" t="s">
        <v>472</v>
      </c>
      <c r="H176" s="471"/>
      <c r="I176" s="471"/>
      <c r="J176" s="471"/>
      <c r="K176" s="471"/>
      <c r="L176" s="471"/>
      <c r="M176" s="471"/>
      <c r="N176" s="471"/>
      <c r="O176" s="471"/>
      <c r="P176" s="471"/>
      <c r="Q176" s="471"/>
    </row>
    <row r="177" spans="2:17" s="29" customFormat="1" ht="57.75" customHeight="1">
      <c r="B177" s="165"/>
      <c r="C177" s="16" t="s">
        <v>473</v>
      </c>
      <c r="D177" s="15" t="str">
        <f t="shared" si="9"/>
        <v>ol</v>
      </c>
      <c r="E177" s="167">
        <f>getCompound(E140,Input!E47,E166,Input!E60)*E171</f>
        <v>126606.0459943421</v>
      </c>
      <c r="F177" s="15" t="str">
        <f>"("&amp;D140&amp;" Inc new Job infl to ET) * "&amp;D171</f>
        <v>(mf Inc new Job infl to ET) * of</v>
      </c>
      <c r="G177" s="471"/>
      <c r="H177" s="471"/>
      <c r="I177" s="471"/>
      <c r="J177" s="471"/>
      <c r="K177" s="471"/>
      <c r="L177" s="471"/>
      <c r="M177" s="471"/>
      <c r="N177" s="471"/>
      <c r="O177" s="471"/>
      <c r="P177" s="471"/>
      <c r="Q177" s="471"/>
    </row>
    <row r="178" spans="2:17" s="29" customFormat="1" ht="71.25" customHeight="1">
      <c r="B178" s="165"/>
      <c r="C178" s="16" t="s">
        <v>474</v>
      </c>
      <c r="D178" s="15" t="str">
        <f t="shared" si="9"/>
        <v>om</v>
      </c>
      <c r="E178" s="168">
        <f>IF(E167&gt;E166,HLOOKUP(E173,WFNewJob,MATCH(E174,NEWJOBPRA,0),FALSE),0)</f>
        <v>0.002723911919808586</v>
      </c>
      <c r="F178" s="143" t="str">
        <f>"Lookup New Job Withdrawal Factor table("&amp;D173&amp;", "&amp;D174&amp;")"</f>
        <v>Lookup New Job Withdrawal Factor table(oh, oi)</v>
      </c>
      <c r="G178" s="477" t="s">
        <v>475</v>
      </c>
      <c r="H178" s="471"/>
      <c r="I178" s="471"/>
      <c r="J178" s="471"/>
      <c r="K178" s="471"/>
      <c r="L178" s="471"/>
      <c r="M178" s="471"/>
      <c r="N178" s="471"/>
      <c r="O178" s="471"/>
      <c r="P178" s="471"/>
      <c r="Q178" s="471"/>
    </row>
    <row r="179" spans="2:17" s="29" customFormat="1" ht="72.75" customHeight="1" thickBot="1">
      <c r="B179" s="165"/>
      <c r="C179" s="18" t="s">
        <v>476</v>
      </c>
      <c r="D179" s="15" t="str">
        <f>getnextref(D178)</f>
        <v>on</v>
      </c>
      <c r="E179" s="169">
        <f>E177*(1-E178)</f>
        <v>126261.18227653828</v>
      </c>
      <c r="F179" s="143" t="str">
        <f>D177&amp;" * (1 - "&amp;D178&amp;")"</f>
        <v>ol * (1 - om)</v>
      </c>
      <c r="G179" s="471" t="s">
        <v>163</v>
      </c>
      <c r="H179" s="471"/>
      <c r="I179" s="471"/>
      <c r="J179" s="471"/>
      <c r="K179" s="471"/>
      <c r="L179" s="471"/>
      <c r="M179" s="471"/>
      <c r="N179" s="471"/>
      <c r="O179" s="471"/>
      <c r="P179" s="471"/>
      <c r="Q179" s="471"/>
    </row>
    <row r="180" spans="2:17" s="29" customFormat="1" ht="41.25" customHeight="1" thickBot="1">
      <c r="B180" s="151"/>
      <c r="C180" s="170" t="s">
        <v>477</v>
      </c>
      <c r="D180" s="15" t="str">
        <f>getnextref(D179)</f>
        <v>oo</v>
      </c>
      <c r="E180" s="171" t="e">
        <f>MIN(E179+E176,0)</f>
        <v>#NAME?</v>
      </c>
      <c r="F180" s="172" t="str">
        <f>"Min("&amp;D179&amp;" + "&amp;D176&amp;", 0)"</f>
        <v>Min(on + ok, 0)</v>
      </c>
      <c r="G180" s="509" t="s">
        <v>478</v>
      </c>
      <c r="H180" s="510"/>
      <c r="I180" s="510"/>
      <c r="J180" s="510"/>
      <c r="K180" s="510"/>
      <c r="L180" s="510"/>
      <c r="M180" s="510"/>
      <c r="N180" s="510"/>
      <c r="O180" s="510"/>
      <c r="P180" s="510"/>
      <c r="Q180" s="470"/>
    </row>
    <row r="181" spans="2:17" s="29" customFormat="1" ht="12.75">
      <c r="B181" s="173"/>
      <c r="C181" s="128"/>
      <c r="D181" s="62"/>
      <c r="E181" s="174"/>
      <c r="F181" s="175"/>
      <c r="G181" s="176"/>
      <c r="H181" s="177"/>
      <c r="I181" s="176"/>
      <c r="J181" s="176"/>
      <c r="K181" s="176"/>
      <c r="L181" s="176"/>
      <c r="M181" s="176"/>
      <c r="N181" s="176"/>
      <c r="O181" s="176"/>
      <c r="P181" s="176"/>
      <c r="Q181" s="178"/>
    </row>
    <row r="182" spans="2:17" s="29" customFormat="1" ht="12.75">
      <c r="B182" s="179"/>
      <c r="C182" s="131"/>
      <c r="D182" s="66"/>
      <c r="E182" s="41"/>
      <c r="F182" s="180"/>
      <c r="G182" s="181"/>
      <c r="H182" s="181"/>
      <c r="I182" s="181"/>
      <c r="J182" s="181"/>
      <c r="K182" s="181"/>
      <c r="L182" s="181"/>
      <c r="M182" s="181"/>
      <c r="N182" s="181"/>
      <c r="O182" s="181"/>
      <c r="P182" s="181"/>
      <c r="Q182" s="181"/>
    </row>
    <row r="183" spans="2:17" s="29" customFormat="1" ht="12.75">
      <c r="B183" s="131"/>
      <c r="C183" s="131"/>
      <c r="D183" s="131"/>
      <c r="E183" s="41"/>
      <c r="F183" s="41"/>
      <c r="G183" s="183"/>
      <c r="H183" s="28"/>
      <c r="I183" s="28"/>
      <c r="J183" s="28"/>
      <c r="K183" s="28"/>
      <c r="L183" s="28"/>
      <c r="M183" s="28"/>
      <c r="N183" s="28"/>
      <c r="O183" s="28"/>
      <c r="P183" s="28"/>
      <c r="Q183" s="28"/>
    </row>
    <row r="184" spans="2:17" ht="20.25">
      <c r="B184" s="462" t="s">
        <v>164</v>
      </c>
      <c r="C184" s="462"/>
      <c r="D184" s="462"/>
      <c r="E184" s="462"/>
      <c r="F184" s="462"/>
      <c r="G184" s="462"/>
      <c r="H184" s="462"/>
      <c r="I184" s="462"/>
      <c r="J184" s="462"/>
      <c r="K184" s="462"/>
      <c r="L184" s="462"/>
      <c r="M184" s="462"/>
      <c r="N184" s="462"/>
      <c r="O184" s="462"/>
      <c r="P184" s="462"/>
      <c r="Q184" s="462"/>
    </row>
    <row r="185" spans="2:17" ht="12.75" customHeight="1">
      <c r="B185" s="506" t="s">
        <v>165</v>
      </c>
      <c r="C185" s="506"/>
      <c r="D185" s="9" t="s">
        <v>4</v>
      </c>
      <c r="E185" s="10" t="s">
        <v>5</v>
      </c>
      <c r="F185" s="10" t="s">
        <v>114</v>
      </c>
      <c r="G185" s="114" t="s">
        <v>115</v>
      </c>
      <c r="H185" s="115"/>
      <c r="I185" s="115"/>
      <c r="J185" s="115"/>
      <c r="K185" s="184"/>
      <c r="L185" s="185"/>
      <c r="M185" s="186"/>
      <c r="N185" s="186"/>
      <c r="O185" s="184"/>
      <c r="P185" s="115"/>
      <c r="Q185" s="116"/>
    </row>
    <row r="186" spans="2:17" ht="12.75" customHeight="1">
      <c r="B186" s="151"/>
      <c r="C186" s="18" t="s">
        <v>166</v>
      </c>
      <c r="D186" s="15" t="s">
        <v>51</v>
      </c>
      <c r="E186" s="187">
        <f>Input!E26*Input!E39</f>
        <v>0.016666666666666666</v>
      </c>
      <c r="F186" s="15" t="str">
        <f>Input!D26&amp;" * "&amp;Input!D39</f>
        <v>bh * cg</v>
      </c>
      <c r="G186" s="471" t="s">
        <v>167</v>
      </c>
      <c r="H186" s="471"/>
      <c r="I186" s="471"/>
      <c r="J186" s="471"/>
      <c r="K186" s="471"/>
      <c r="L186" s="471"/>
      <c r="M186" s="471"/>
      <c r="N186" s="471"/>
      <c r="O186" s="471"/>
      <c r="P186" s="471"/>
      <c r="Q186" s="471"/>
    </row>
    <row r="187" spans="2:17" ht="15" customHeight="1">
      <c r="B187" s="151"/>
      <c r="C187" s="14" t="s">
        <v>168</v>
      </c>
      <c r="D187" s="15" t="str">
        <f aca="true" t="shared" si="10" ref="D187:D200">GETNEXTREF(D186)</f>
        <v>pb</v>
      </c>
      <c r="E187" s="136">
        <f>(Input!E12-DismissDate)/365.25</f>
        <v>10.587268993839835</v>
      </c>
      <c r="F187" s="15" t="str">
        <f>Input!D12&amp;" - "&amp;DismissDateRef</f>
        <v>ad - ie</v>
      </c>
      <c r="G187" s="471" t="s">
        <v>140</v>
      </c>
      <c r="H187" s="471"/>
      <c r="I187" s="471"/>
      <c r="J187" s="471"/>
      <c r="K187" s="471"/>
      <c r="L187" s="471"/>
      <c r="M187" s="471"/>
      <c r="N187" s="471"/>
      <c r="O187" s="471"/>
      <c r="P187" s="471"/>
      <c r="Q187" s="471"/>
    </row>
    <row r="188" spans="2:17" ht="15" customHeight="1">
      <c r="B188" s="11"/>
      <c r="C188" s="14" t="s">
        <v>169</v>
      </c>
      <c r="D188" s="15" t="str">
        <f t="shared" si="10"/>
        <v>pc</v>
      </c>
      <c r="E188" s="124">
        <f>Input!E35</f>
        <v>34464</v>
      </c>
      <c r="F188" s="15" t="str">
        <f>Input!D35</f>
        <v>cc</v>
      </c>
      <c r="G188" s="471" t="s">
        <v>170</v>
      </c>
      <c r="H188" s="471"/>
      <c r="I188" s="471"/>
      <c r="J188" s="471"/>
      <c r="K188" s="471"/>
      <c r="L188" s="471"/>
      <c r="M188" s="471"/>
      <c r="N188" s="471"/>
      <c r="O188" s="471"/>
      <c r="P188" s="471"/>
      <c r="Q188" s="471"/>
    </row>
    <row r="189" spans="2:17" ht="28.5" customHeight="1">
      <c r="B189" s="11"/>
      <c r="C189" s="14" t="s">
        <v>171</v>
      </c>
      <c r="D189" s="15" t="str">
        <f t="shared" si="10"/>
        <v>pd</v>
      </c>
      <c r="E189" s="124">
        <f>E188*(1+E186)^E187</f>
        <v>41055.11642603172</v>
      </c>
      <c r="F189" s="188" t="str">
        <f>D188&amp;" * (1 + "&amp;D186&amp;") ^ "&amp;D187</f>
        <v>pc * (1 + pa) ^ pb</v>
      </c>
      <c r="G189" s="471" t="s">
        <v>172</v>
      </c>
      <c r="H189" s="471"/>
      <c r="I189" s="471"/>
      <c r="J189" s="471"/>
      <c r="K189" s="471"/>
      <c r="L189" s="471"/>
      <c r="M189" s="471"/>
      <c r="N189" s="471"/>
      <c r="O189" s="471"/>
      <c r="P189" s="471"/>
      <c r="Q189" s="471"/>
    </row>
    <row r="190" spans="2:17" ht="12.75" customHeight="1">
      <c r="B190" s="11"/>
      <c r="C190" s="14" t="s">
        <v>173</v>
      </c>
      <c r="D190" s="15" t="str">
        <f t="shared" si="10"/>
        <v>pe</v>
      </c>
      <c r="E190" s="189">
        <f>QUOTIENT((Input!E12-Input!$E$9),365.25)</f>
        <v>63</v>
      </c>
      <c r="F190" s="188" t="str">
        <f>Input!D12&amp;" - "&amp;Input!D9</f>
        <v>ad - aa</v>
      </c>
      <c r="G190" s="471" t="s">
        <v>119</v>
      </c>
      <c r="H190" s="471"/>
      <c r="I190" s="471"/>
      <c r="J190" s="471"/>
      <c r="K190" s="471"/>
      <c r="L190" s="471"/>
      <c r="M190" s="471"/>
      <c r="N190" s="471"/>
      <c r="O190" s="471"/>
      <c r="P190" s="471"/>
      <c r="Q190" s="471"/>
    </row>
    <row r="191" spans="2:17" ht="15" customHeight="1">
      <c r="B191" s="11"/>
      <c r="C191" s="14" t="s">
        <v>479</v>
      </c>
      <c r="D191" s="15" t="str">
        <f t="shared" si="10"/>
        <v>pf</v>
      </c>
      <c r="E191" s="190">
        <f>DismissDate</f>
        <v>40243</v>
      </c>
      <c r="F191" s="188" t="str">
        <f>DismissDateRef</f>
        <v>ie</v>
      </c>
      <c r="G191" s="471" t="s">
        <v>480</v>
      </c>
      <c r="H191" s="471"/>
      <c r="I191" s="471"/>
      <c r="J191" s="471"/>
      <c r="K191" s="471"/>
      <c r="L191" s="471"/>
      <c r="M191" s="471"/>
      <c r="N191" s="471"/>
      <c r="O191" s="471"/>
      <c r="P191" s="471"/>
      <c r="Q191" s="471"/>
    </row>
    <row r="192" spans="2:17" ht="28.5" customHeight="1">
      <c r="B192" s="11"/>
      <c r="C192" s="14" t="s">
        <v>174</v>
      </c>
      <c r="D192" s="15" t="str">
        <f t="shared" si="10"/>
        <v>pg</v>
      </c>
      <c r="E192" s="191">
        <f>VLOOKUP(E191,$O$26:$Q$42,3,TRUE)</f>
        <v>1.0717433456724836</v>
      </c>
      <c r="F192" s="188" t="str">
        <f>"Annuity Factor("&amp;D191&amp;")"</f>
        <v>Annuity Factor(pf)</v>
      </c>
      <c r="G192" s="14"/>
      <c r="H192" s="45"/>
      <c r="I192" s="45"/>
      <c r="J192" s="45"/>
      <c r="K192" s="45"/>
      <c r="L192" s="45"/>
      <c r="M192" s="45"/>
      <c r="N192" s="45"/>
      <c r="O192" s="45"/>
      <c r="P192" s="45"/>
      <c r="Q192" s="161"/>
    </row>
    <row r="193" spans="2:17" ht="27" customHeight="1">
      <c r="B193" s="11"/>
      <c r="C193" s="14" t="s">
        <v>175</v>
      </c>
      <c r="D193" s="15" t="str">
        <f t="shared" si="10"/>
        <v>ph</v>
      </c>
      <c r="E193" s="192">
        <f ca="1">VLOOKUP(E190,INDIRECT("Annuities"&amp;LEFT(Gender,1)&amp;LEFT(SingleOrJoint,1)),2,FALSE)/200000*12</f>
        <v>0.03828</v>
      </c>
      <c r="F193" s="125" t="str">
        <f>"Annuity("&amp;D190&amp;", "&amp;Input!D13&amp;", "&amp;Input!D38&amp;")"</f>
        <v>Annuity(pe, ae, cf)</v>
      </c>
      <c r="G193" s="468" t="s">
        <v>176</v>
      </c>
      <c r="H193" s="468"/>
      <c r="I193" s="468"/>
      <c r="J193" s="468"/>
      <c r="K193" s="468"/>
      <c r="L193" s="468"/>
      <c r="M193" s="468"/>
      <c r="N193" s="468"/>
      <c r="O193" s="468"/>
      <c r="P193" s="468"/>
      <c r="Q193" s="468"/>
    </row>
    <row r="194" spans="2:17" ht="27" customHeight="1">
      <c r="B194" s="11"/>
      <c r="C194" s="14" t="s">
        <v>177</v>
      </c>
      <c r="D194" s="15" t="str">
        <f t="shared" si="10"/>
        <v>pi</v>
      </c>
      <c r="E194" s="192">
        <f>E193*E192</f>
        <v>0.04102633527234267</v>
      </c>
      <c r="F194" s="125" t="str">
        <f>D192&amp;" * "&amp;D193</f>
        <v>pg * ph</v>
      </c>
      <c r="G194" s="468" t="s">
        <v>178</v>
      </c>
      <c r="H194" s="468"/>
      <c r="I194" s="468"/>
      <c r="J194" s="468"/>
      <c r="K194" s="468"/>
      <c r="L194" s="468"/>
      <c r="M194" s="468"/>
      <c r="N194" s="468"/>
      <c r="O194" s="468"/>
      <c r="P194" s="468"/>
      <c r="Q194" s="468"/>
    </row>
    <row r="195" spans="2:17" ht="27.75" customHeight="1">
      <c r="B195" s="11"/>
      <c r="C195" s="53" t="s">
        <v>179</v>
      </c>
      <c r="D195" s="15" t="str">
        <f t="shared" si="10"/>
        <v>pj</v>
      </c>
      <c r="E195" s="193">
        <f>E189/E194</f>
        <v>1000701.5287497161</v>
      </c>
      <c r="F195" s="125" t="str">
        <f>D189&amp;" / "&amp;D194</f>
        <v>pd / pi</v>
      </c>
      <c r="G195" s="471" t="s">
        <v>180</v>
      </c>
      <c r="H195" s="471"/>
      <c r="I195" s="471"/>
      <c r="J195" s="471"/>
      <c r="K195" s="471"/>
      <c r="L195" s="471"/>
      <c r="M195" s="471"/>
      <c r="N195" s="471"/>
      <c r="O195" s="471"/>
      <c r="P195" s="471"/>
      <c r="Q195" s="471"/>
    </row>
    <row r="196" spans="2:17" ht="15" customHeight="1">
      <c r="B196" s="11"/>
      <c r="C196" s="14" t="s">
        <v>181</v>
      </c>
      <c r="D196" s="15" t="str">
        <f t="shared" si="10"/>
        <v>pk</v>
      </c>
      <c r="E196" s="194">
        <f>Input!E36</f>
        <v>19902.36</v>
      </c>
      <c r="F196" s="195" t="str">
        <f>Input!D36</f>
        <v>cd</v>
      </c>
      <c r="G196" s="468"/>
      <c r="H196" s="468"/>
      <c r="I196" s="468"/>
      <c r="J196" s="468"/>
      <c r="K196" s="468"/>
      <c r="L196" s="468"/>
      <c r="M196" s="468"/>
      <c r="N196" s="468"/>
      <c r="O196" s="468"/>
      <c r="P196" s="468"/>
      <c r="Q196" s="468"/>
    </row>
    <row r="197" spans="2:17" ht="12.75" customHeight="1">
      <c r="B197" s="11"/>
      <c r="C197" s="14" t="s">
        <v>182</v>
      </c>
      <c r="D197" s="15" t="str">
        <f t="shared" si="10"/>
        <v>pl</v>
      </c>
      <c r="E197" s="196">
        <f>QUOTIENT((DismissDate-Input!$E$9),365.25)</f>
        <v>52</v>
      </c>
      <c r="F197" s="195" t="str">
        <f>DismissDateRef&amp;" - "&amp;Input!D9</f>
        <v>ie - aa</v>
      </c>
      <c r="G197" s="468" t="s">
        <v>119</v>
      </c>
      <c r="H197" s="468"/>
      <c r="I197" s="468"/>
      <c r="J197" s="468"/>
      <c r="K197" s="468"/>
      <c r="L197" s="468"/>
      <c r="M197" s="468"/>
      <c r="N197" s="468"/>
      <c r="O197" s="468"/>
      <c r="P197" s="468"/>
      <c r="Q197" s="468"/>
    </row>
    <row r="198" spans="2:17" ht="29.25" customHeight="1">
      <c r="B198" s="11"/>
      <c r="C198" s="14" t="s">
        <v>183</v>
      </c>
      <c r="D198" s="15" t="str">
        <f t="shared" si="10"/>
        <v>pm</v>
      </c>
      <c r="E198" s="197">
        <f ca="1">VLOOKUP(E197,INDIRECT("Annuities"&amp;LEFT(Gender,1)&amp;LEFT(SingleOrJoint,1)),2,FALSE)/200000*12</f>
        <v>0.03</v>
      </c>
      <c r="F198" s="195" t="str">
        <f>"Annuity("&amp;D197&amp;", "&amp;Input!D13&amp;", "&amp;Input!D38&amp;")"</f>
        <v>Annuity(pl, ae, cf)</v>
      </c>
      <c r="G198" s="468" t="s">
        <v>184</v>
      </c>
      <c r="H198" s="468"/>
      <c r="I198" s="468"/>
      <c r="J198" s="468"/>
      <c r="K198" s="468"/>
      <c r="L198" s="468"/>
      <c r="M198" s="468"/>
      <c r="N198" s="468"/>
      <c r="O198" s="468"/>
      <c r="P198" s="468"/>
      <c r="Q198" s="468"/>
    </row>
    <row r="199" spans="2:17" ht="29.25" customHeight="1">
      <c r="B199" s="11"/>
      <c r="C199" s="14" t="s">
        <v>185</v>
      </c>
      <c r="D199" s="15" t="str">
        <f t="shared" si="10"/>
        <v>pn</v>
      </c>
      <c r="E199" s="197">
        <f>E198*E192</f>
        <v>0.03215230037017451</v>
      </c>
      <c r="F199" s="195" t="str">
        <f>D198&amp;" * "&amp;D192</f>
        <v>pm * pg</v>
      </c>
      <c r="G199" s="468" t="s">
        <v>186</v>
      </c>
      <c r="H199" s="468"/>
      <c r="I199" s="468"/>
      <c r="J199" s="468"/>
      <c r="K199" s="468"/>
      <c r="L199" s="468"/>
      <c r="M199" s="468"/>
      <c r="N199" s="468"/>
      <c r="O199" s="468"/>
      <c r="P199" s="468"/>
      <c r="Q199" s="468"/>
    </row>
    <row r="200" spans="2:17" ht="27" customHeight="1">
      <c r="B200" s="11"/>
      <c r="C200" s="14" t="s">
        <v>187</v>
      </c>
      <c r="D200" s="15" t="str">
        <f t="shared" si="10"/>
        <v>po</v>
      </c>
      <c r="E200" s="169">
        <f>E196/E199</f>
        <v>619002.6769736842</v>
      </c>
      <c r="F200" s="195" t="str">
        <f>D196&amp;" / "&amp;D199</f>
        <v>pk / pn</v>
      </c>
      <c r="G200" s="471" t="s">
        <v>188</v>
      </c>
      <c r="H200" s="471"/>
      <c r="I200" s="471"/>
      <c r="J200" s="471"/>
      <c r="K200" s="471"/>
      <c r="L200" s="471"/>
      <c r="M200" s="471"/>
      <c r="N200" s="471"/>
      <c r="O200" s="471"/>
      <c r="P200" s="471"/>
      <c r="Q200" s="471"/>
    </row>
    <row r="201" spans="2:17" ht="27" customHeight="1">
      <c r="B201" s="11"/>
      <c r="C201" s="14" t="s">
        <v>481</v>
      </c>
      <c r="D201" s="15" t="str">
        <f>getnextref(D200)</f>
        <v>pp</v>
      </c>
      <c r="E201" s="169">
        <f>Input!E73+Input!E76+Input!E79+Input!E82+Input!E85</f>
        <v>0</v>
      </c>
      <c r="F201" s="195" t="str">
        <f>Input!D73&amp;" + "&amp;Input!D76&amp;" + "&amp;Input!D79&amp;" + "&amp;Input!D82&amp;" + "&amp;Input!D85</f>
        <v>eh + ek + en + eq + et</v>
      </c>
      <c r="G201" s="471"/>
      <c r="H201" s="471"/>
      <c r="I201" s="471"/>
      <c r="J201" s="471"/>
      <c r="K201" s="471"/>
      <c r="L201" s="471"/>
      <c r="M201" s="471"/>
      <c r="N201" s="471"/>
      <c r="O201" s="471"/>
      <c r="P201" s="471"/>
      <c r="Q201" s="471"/>
    </row>
    <row r="202" spans="2:17" ht="40.5" customHeight="1">
      <c r="B202" s="11"/>
      <c r="C202" s="34" t="s">
        <v>482</v>
      </c>
      <c r="D202" s="15" t="str">
        <f>getnextref(D201)</f>
        <v>pq</v>
      </c>
      <c r="E202" s="198">
        <f>MIN(E200+E201-E195,0)</f>
        <v>-381698.8517760319</v>
      </c>
      <c r="F202" s="199" t="str">
        <f>"Min("&amp;D200&amp;" + "&amp;D201&amp;" - "&amp;D195&amp;", 0)"</f>
        <v>Min(po + pp - pj, 0)</v>
      </c>
      <c r="G202" s="471" t="s">
        <v>189</v>
      </c>
      <c r="H202" s="471"/>
      <c r="I202" s="471"/>
      <c r="J202" s="471"/>
      <c r="K202" s="471"/>
      <c r="L202" s="471"/>
      <c r="M202" s="471"/>
      <c r="N202" s="471"/>
      <c r="O202" s="471"/>
      <c r="P202" s="471"/>
      <c r="Q202" s="471"/>
    </row>
    <row r="203" spans="2:17" ht="27.75" customHeight="1">
      <c r="B203" s="11"/>
      <c r="C203" s="14" t="s">
        <v>190</v>
      </c>
      <c r="D203" s="15" t="str">
        <f>GETNEXTREF(D202)</f>
        <v>pr</v>
      </c>
      <c r="E203" s="200">
        <f>(TribunalDate-DismissDate)/365.25</f>
        <v>5.174537987679671</v>
      </c>
      <c r="F203" s="195" t="str">
        <f>TribDateRef&amp;" - "&amp;DismissDateRef</f>
        <v>if - ie</v>
      </c>
      <c r="G203" s="471" t="s">
        <v>140</v>
      </c>
      <c r="H203" s="471"/>
      <c r="I203" s="471"/>
      <c r="J203" s="471"/>
      <c r="K203" s="471"/>
      <c r="L203" s="471"/>
      <c r="M203" s="471"/>
      <c r="N203" s="471"/>
      <c r="O203" s="471"/>
      <c r="P203" s="471"/>
      <c r="Q203" s="471"/>
    </row>
    <row r="204" spans="2:17" ht="56.25" customHeight="1">
      <c r="B204" s="11"/>
      <c r="C204" s="18" t="s">
        <v>483</v>
      </c>
      <c r="D204" s="15" t="str">
        <f>GETNEXTREF(D203)</f>
        <v>ps</v>
      </c>
      <c r="E204" s="166">
        <f>E202*((1+InterestRate)^E203-1)</f>
        <v>-186726.3779395502</v>
      </c>
      <c r="F204" s="199" t="str">
        <f>D202&amp;" * [(1 + "&amp;D10&amp;") ^ "&amp;D203&amp;" - 1]"</f>
        <v>pq * [(1 + ib) ^ pr - 1]</v>
      </c>
      <c r="G204" s="511" t="s">
        <v>191</v>
      </c>
      <c r="H204" s="511"/>
      <c r="I204" s="511"/>
      <c r="J204" s="511"/>
      <c r="K204" s="511"/>
      <c r="L204" s="511"/>
      <c r="M204" s="511"/>
      <c r="N204" s="511"/>
      <c r="O204" s="511"/>
      <c r="P204" s="511"/>
      <c r="Q204" s="511"/>
    </row>
    <row r="205" spans="2:17" ht="56.25" customHeight="1">
      <c r="B205" s="46"/>
      <c r="C205" s="201" t="s">
        <v>484</v>
      </c>
      <c r="D205" s="202" t="str">
        <f>GETNEXTREF(D204)</f>
        <v>pt</v>
      </c>
      <c r="E205" s="171">
        <f>E202+E204</f>
        <v>-568425.2297155821</v>
      </c>
      <c r="F205" s="203" t="str">
        <f>D202&amp;" + "&amp;D204</f>
        <v>pq + ps</v>
      </c>
      <c r="G205" s="471" t="s">
        <v>192</v>
      </c>
      <c r="H205" s="471"/>
      <c r="I205" s="471"/>
      <c r="J205" s="471"/>
      <c r="K205" s="471"/>
      <c r="L205" s="471"/>
      <c r="M205" s="471"/>
      <c r="N205" s="471"/>
      <c r="O205" s="471"/>
      <c r="P205" s="471"/>
      <c r="Q205" s="471"/>
    </row>
    <row r="206" spans="2:17" ht="14.25" customHeight="1">
      <c r="B206" s="29"/>
      <c r="C206" s="131"/>
      <c r="D206" s="180"/>
      <c r="E206" s="204"/>
      <c r="F206" s="150"/>
      <c r="G206" s="50"/>
      <c r="H206" s="50"/>
      <c r="I206" s="50"/>
      <c r="J206" s="50"/>
      <c r="K206" s="50"/>
      <c r="L206" s="50"/>
      <c r="M206" s="50"/>
      <c r="N206" s="50"/>
      <c r="O206" s="50"/>
      <c r="P206" s="50"/>
      <c r="Q206" s="50"/>
    </row>
    <row r="207" spans="2:17" ht="14.25" customHeight="1">
      <c r="B207" s="29"/>
      <c r="C207" s="131"/>
      <c r="D207" s="180"/>
      <c r="E207" s="204"/>
      <c r="F207" s="150"/>
      <c r="G207" s="50"/>
      <c r="H207" s="50"/>
      <c r="I207" s="50"/>
      <c r="J207" s="50"/>
      <c r="K207" s="50"/>
      <c r="L207" s="50"/>
      <c r="M207" s="50"/>
      <c r="N207" s="50"/>
      <c r="O207" s="50"/>
      <c r="P207" s="50"/>
      <c r="Q207" s="50"/>
    </row>
    <row r="208" spans="2:17" ht="14.25" customHeight="1">
      <c r="B208" s="111"/>
      <c r="C208" s="131"/>
      <c r="D208" s="180"/>
      <c r="E208" s="204"/>
      <c r="F208" s="150"/>
      <c r="G208" s="50"/>
      <c r="H208" s="50"/>
      <c r="I208" s="50"/>
      <c r="J208" s="50"/>
      <c r="K208" s="50"/>
      <c r="L208" s="50"/>
      <c r="M208" s="50"/>
      <c r="N208" s="50"/>
      <c r="O208" s="50"/>
      <c r="P208" s="50"/>
      <c r="Q208" s="50"/>
    </row>
    <row r="209" spans="2:17" ht="21.75" customHeight="1">
      <c r="B209" s="462" t="s">
        <v>193</v>
      </c>
      <c r="C209" s="462"/>
      <c r="D209" s="462"/>
      <c r="E209" s="462"/>
      <c r="F209" s="462"/>
      <c r="G209" s="462"/>
      <c r="H209" s="462"/>
      <c r="I209" s="462"/>
      <c r="J209" s="462"/>
      <c r="K209" s="462"/>
      <c r="L209" s="462"/>
      <c r="M209" s="462"/>
      <c r="N209" s="462"/>
      <c r="O209" s="462"/>
      <c r="P209" s="462"/>
      <c r="Q209" s="462"/>
    </row>
    <row r="210" spans="2:17" ht="29.25" customHeight="1" thickBot="1">
      <c r="B210" s="506" t="s">
        <v>194</v>
      </c>
      <c r="C210" s="506"/>
      <c r="D210" s="9" t="s">
        <v>4</v>
      </c>
      <c r="E210" s="10" t="s">
        <v>5</v>
      </c>
      <c r="F210" s="10" t="s">
        <v>114</v>
      </c>
      <c r="G210" s="114" t="s">
        <v>115</v>
      </c>
      <c r="H210" s="115"/>
      <c r="I210" s="115"/>
      <c r="J210" s="115"/>
      <c r="K210" s="184"/>
      <c r="L210" s="185"/>
      <c r="M210" s="186"/>
      <c r="N210" s="186"/>
      <c r="O210" s="184"/>
      <c r="P210" s="115"/>
      <c r="Q210" s="116"/>
    </row>
    <row r="211" spans="2:17" ht="28.5" customHeight="1" thickTop="1">
      <c r="B211" s="151"/>
      <c r="C211" s="433" t="str">
        <f>IF(AND(ISBLANK(Input!E66),ISBLANK(Input!F66),ISBLANK(Input!G66)),"Intentionally left empty","Net income earned from "&amp;Input!E66&amp;" between "&amp;TEXT(Input!F66,"dd/mm/yyyy")&amp;" and "&amp;TEXT(Input!G66,"dd/mm/yyyy"))</f>
        <v>Net income earned from aa between 00/01/1900 and 00/01/1900</v>
      </c>
      <c r="D211" s="418" t="s">
        <v>195</v>
      </c>
      <c r="E211" s="434">
        <f>IF(ISNUMBER(Input!E72),Input!E72,0)</f>
        <v>0</v>
      </c>
      <c r="F211" s="418" t="str">
        <f>Input!D72</f>
        <v>eg</v>
      </c>
      <c r="G211" s="512"/>
      <c r="H211" s="512"/>
      <c r="I211" s="512"/>
      <c r="J211" s="512"/>
      <c r="K211" s="512"/>
      <c r="L211" s="512"/>
      <c r="M211" s="512"/>
      <c r="N211" s="512"/>
      <c r="O211" s="512"/>
      <c r="P211" s="512"/>
      <c r="Q211" s="513"/>
    </row>
    <row r="212" spans="2:17" ht="29.25" customHeight="1">
      <c r="B212" s="151"/>
      <c r="C212" s="435" t="str">
        <f>IF(ISBLANK(Input!E66),"Intentionally left empty","Calendar days worked at "&amp;Input!E66)</f>
        <v>Calendar days worked at aa</v>
      </c>
      <c r="D212" s="15" t="str">
        <f>getnextref(D211)</f>
        <v>qb</v>
      </c>
      <c r="E212" s="205">
        <f>IF(AND(ISNUMBER(Input!G66),ISNUMBER(Input!F66)),Input!G66-Input!F66+1,0)</f>
        <v>0</v>
      </c>
      <c r="F212" s="15" t="str">
        <f>Input!D72&amp;"(Finish date) -"&amp;Input!D72&amp;" (Start date) + 1"</f>
        <v>eg(Finish date) -eg (Start date) + 1</v>
      </c>
      <c r="G212" s="471" t="s">
        <v>196</v>
      </c>
      <c r="H212" s="471"/>
      <c r="I212" s="471"/>
      <c r="J212" s="471"/>
      <c r="K212" s="471"/>
      <c r="L212" s="471"/>
      <c r="M212" s="471"/>
      <c r="N212" s="471"/>
      <c r="O212" s="471"/>
      <c r="P212" s="471"/>
      <c r="Q212" s="514"/>
    </row>
    <row r="213" spans="2:17" ht="28.5" customHeight="1">
      <c r="B213" s="11"/>
      <c r="C213" s="435" t="str">
        <f>IF(ISBLANK(Input!E66),"Intentionally left empty","Net income earned from "&amp;Input!E66&amp;" per calendar day")</f>
        <v>Net income earned from aa per calendar day</v>
      </c>
      <c r="D213" s="15" t="str">
        <f aca="true" t="shared" si="11" ref="D213:D236">GETNEXTREF(D212)</f>
        <v>qc</v>
      </c>
      <c r="E213" s="122">
        <f>IF(E212=0,0,E211/E212)</f>
        <v>0</v>
      </c>
      <c r="F213" s="15" t="str">
        <f>D211&amp;" / "&amp;D212</f>
        <v>qa / qb</v>
      </c>
      <c r="G213" s="468" t="s">
        <v>197</v>
      </c>
      <c r="H213" s="468"/>
      <c r="I213" s="468"/>
      <c r="J213" s="468"/>
      <c r="K213" s="468"/>
      <c r="L213" s="468"/>
      <c r="M213" s="468"/>
      <c r="N213" s="468"/>
      <c r="O213" s="468"/>
      <c r="P213" s="468"/>
      <c r="Q213" s="515"/>
    </row>
    <row r="214" spans="2:17" ht="44.25" customHeight="1" thickBot="1">
      <c r="B214" s="11"/>
      <c r="C214" s="435" t="str">
        <f>IF(ISBLANK(Input!E66),"Intentionally left empty","Duration of calendar days worked at "&amp;Input!E66)</f>
        <v>Duration of calendar days worked at aa</v>
      </c>
      <c r="D214" s="15" t="str">
        <f t="shared" si="11"/>
        <v>qd</v>
      </c>
      <c r="E214" s="206">
        <f>IF(AND(ISNUMBER(Input!F66),ISNUMBER(Input!G66)),GETDURATION(Input!F66,Input!G66,PVdate,Discount,0,"d"),0)</f>
        <v>0</v>
      </c>
      <c r="F214" s="188" t="str">
        <f>"Duration("&amp;Input!D66&amp;"(Start date), "&amp;Input!D66&amp;"(Finish date),"&amp;PVdateRef&amp;", "&amp;$D$9&amp;", 0, ""d"")"</f>
        <v>Duration(ea(Start date), ea(Finish date),ii, ia, 0, "d")</v>
      </c>
      <c r="G214" s="471" t="s">
        <v>196</v>
      </c>
      <c r="H214" s="471"/>
      <c r="I214" s="471"/>
      <c r="J214" s="471"/>
      <c r="K214" s="471"/>
      <c r="L214" s="471"/>
      <c r="M214" s="471"/>
      <c r="N214" s="471"/>
      <c r="O214" s="471"/>
      <c r="P214" s="471"/>
      <c r="Q214" s="514"/>
    </row>
    <row r="215" spans="2:17" ht="29.25" customHeight="1" thickBot="1">
      <c r="B215" s="11"/>
      <c r="C215" s="421" t="str">
        <f>IF(ISBLANK(Input!E66),"Intentionally left empty","Net income earned from "&amp;Input!E66&amp;" PV'd to Employment Tribunal final hearing date")</f>
        <v>Net income earned from aa PV'd to Employment Tribunal final hearing date</v>
      </c>
      <c r="D215" s="436" t="str">
        <f t="shared" si="11"/>
        <v>qe</v>
      </c>
      <c r="E215" s="437">
        <f>E213*E214</f>
        <v>0</v>
      </c>
      <c r="F215" s="438" t="str">
        <f>D213&amp;" * "&amp;D214</f>
        <v>qc * qd</v>
      </c>
      <c r="G215" s="516"/>
      <c r="H215" s="516"/>
      <c r="I215" s="516"/>
      <c r="J215" s="516"/>
      <c r="K215" s="516"/>
      <c r="L215" s="516"/>
      <c r="M215" s="516"/>
      <c r="N215" s="516"/>
      <c r="O215" s="516"/>
      <c r="P215" s="516"/>
      <c r="Q215" s="517"/>
    </row>
    <row r="216" spans="2:17" ht="28.5" customHeight="1" thickTop="1">
      <c r="B216" s="11"/>
      <c r="C216" s="431" t="str">
        <f>IF(AND(ISBLANK(Input!E67),ISBLANK(Input!F67),ISBLANK(Input!G67)),"Intentionally left empty","Net income earned from "&amp;Input!E67&amp;" between "&amp;TEXT(Input!F67,"dd/mm/yyyy")&amp;" and "&amp;TEXT(Input!G67,"dd/mm/yyyy"))</f>
        <v>Net income earned from b between 00/01/1900 and 00/01/1900</v>
      </c>
      <c r="D216" s="415" t="str">
        <f t="shared" si="11"/>
        <v>qf</v>
      </c>
      <c r="E216" s="207">
        <f>IF(ISNUMBER(Input!E75),Input!E75,0)</f>
        <v>0</v>
      </c>
      <c r="F216" s="432" t="str">
        <f>Input!D75</f>
        <v>ej</v>
      </c>
      <c r="G216" s="518"/>
      <c r="H216" s="518"/>
      <c r="I216" s="518"/>
      <c r="J216" s="518"/>
      <c r="K216" s="518"/>
      <c r="L216" s="518"/>
      <c r="M216" s="518"/>
      <c r="N216" s="518"/>
      <c r="O216" s="518"/>
      <c r="P216" s="518"/>
      <c r="Q216" s="518"/>
    </row>
    <row r="217" spans="2:17" ht="29.25" customHeight="1">
      <c r="B217" s="11"/>
      <c r="C217" s="53" t="str">
        <f>IF(ISBLANK(Input!E67),"Intentionally left empty","Calendar days worked at "&amp;Input!E67)</f>
        <v>Calendar days worked at b</v>
      </c>
      <c r="D217" s="15" t="str">
        <f t="shared" si="11"/>
        <v>qg</v>
      </c>
      <c r="E217" s="205">
        <f>IF(AND(ISNUMBER(Input!G67),ISNUMBER(Input!F67)),Input!G67-Input!F67+1,0)</f>
        <v>0</v>
      </c>
      <c r="F217" s="134" t="str">
        <f>Input!D67&amp;"(Finish date) -"&amp;Input!D67&amp;" (Start date) + 1"</f>
        <v>eb(Finish date) -eb (Start date) + 1</v>
      </c>
      <c r="G217" s="471" t="s">
        <v>196</v>
      </c>
      <c r="H217" s="471"/>
      <c r="I217" s="471"/>
      <c r="J217" s="471"/>
      <c r="K217" s="471"/>
      <c r="L217" s="471"/>
      <c r="M217" s="471"/>
      <c r="N217" s="471"/>
      <c r="O217" s="471"/>
      <c r="P217" s="471"/>
      <c r="Q217" s="471"/>
    </row>
    <row r="218" spans="2:17" ht="27.75" customHeight="1">
      <c r="B218" s="11"/>
      <c r="C218" s="53" t="str">
        <f>IF(ISBLANK(Input!E67),"Intentionally left empty","Net income earned from "&amp;Input!E67&amp;" per calendar day")</f>
        <v>Net income earned from b per calendar day</v>
      </c>
      <c r="D218" s="15" t="str">
        <f t="shared" si="11"/>
        <v>qh</v>
      </c>
      <c r="E218" s="208">
        <f>IF(E217=0,0,E216/E217)</f>
        <v>0</v>
      </c>
      <c r="F218" s="134" t="str">
        <f>D216&amp;" / "&amp;D217</f>
        <v>qf / qg</v>
      </c>
      <c r="G218" s="468" t="s">
        <v>197</v>
      </c>
      <c r="H218" s="468"/>
      <c r="I218" s="468"/>
      <c r="J218" s="468"/>
      <c r="K218" s="468"/>
      <c r="L218" s="468"/>
      <c r="M218" s="468"/>
      <c r="N218" s="468"/>
      <c r="O218" s="468"/>
      <c r="P218" s="468"/>
      <c r="Q218" s="468"/>
    </row>
    <row r="219" spans="2:17" ht="42" customHeight="1" thickBot="1">
      <c r="B219" s="11"/>
      <c r="C219" s="53" t="str">
        <f>IF(ISBLANK(Input!E67),"Intentionally left empty","Duration of calendar days worked at "&amp;Input!E67)</f>
        <v>Duration of calendar days worked at b</v>
      </c>
      <c r="D219" s="15" t="str">
        <f t="shared" si="11"/>
        <v>qi</v>
      </c>
      <c r="E219" s="209">
        <f>IF(AND(ISNUMBER(Input!F67),ISNUMBER(Input!G67)),GETDURATION(Input!F67,Input!G67,PVdate,Discount,0,"d"),0)</f>
        <v>0</v>
      </c>
      <c r="F219" s="134" t="str">
        <f>"Duration("&amp;Input!D67&amp;"(Start date), "&amp;Input!D67&amp;"(Finish date),"&amp;PVdateRef&amp;", "&amp;$D$9&amp;", 0, ""d"")"</f>
        <v>Duration(eb(Start date), eb(Finish date),ii, ia, 0, "d")</v>
      </c>
      <c r="G219" s="471" t="s">
        <v>196</v>
      </c>
      <c r="H219" s="471"/>
      <c r="I219" s="471"/>
      <c r="J219" s="471"/>
      <c r="K219" s="471"/>
      <c r="L219" s="471"/>
      <c r="M219" s="471"/>
      <c r="N219" s="471"/>
      <c r="O219" s="471"/>
      <c r="P219" s="471"/>
      <c r="Q219" s="471"/>
    </row>
    <row r="220" spans="2:17" ht="28.5" customHeight="1" thickBot="1">
      <c r="B220" s="11"/>
      <c r="C220" s="426" t="str">
        <f>IF(ISBLANK(Input!E67),"Intentionally left empty","Net income earned from "&amp;Input!E67&amp;" PV'd to Employment Tribunal final hearing date")</f>
        <v>Net income earned from b PV'd to Employment Tribunal final hearing date</v>
      </c>
      <c r="D220" s="439" t="str">
        <f t="shared" si="11"/>
        <v>qj</v>
      </c>
      <c r="E220" s="440">
        <f>E218*E219</f>
        <v>0</v>
      </c>
      <c r="F220" s="213" t="str">
        <f>D218&amp;" * "&amp;D219</f>
        <v>qh * qi</v>
      </c>
      <c r="G220" s="519"/>
      <c r="H220" s="519"/>
      <c r="I220" s="519"/>
      <c r="J220" s="519"/>
      <c r="K220" s="519"/>
      <c r="L220" s="519"/>
      <c r="M220" s="519"/>
      <c r="N220" s="519"/>
      <c r="O220" s="519"/>
      <c r="P220" s="519"/>
      <c r="Q220" s="519"/>
    </row>
    <row r="221" spans="2:17" ht="28.5" customHeight="1" thickTop="1">
      <c r="B221" s="11"/>
      <c r="C221" s="433" t="str">
        <f>IF(AND(ISBLANK(Input!E68),ISBLANK(Input!F68),ISBLANK(Input!G68)),"Intentionally left empty","Net income earned from "&amp;Input!E68&amp;" between "&amp;TEXT(Input!F68,"dd/mm/yyyy")&amp;" and "&amp;TEXT(Input!G68,"dd/mm/yyyy"))</f>
        <v>Net income earned from c between 00/01/1900 and 00/01/1900</v>
      </c>
      <c r="D221" s="418" t="str">
        <f t="shared" si="11"/>
        <v>qk</v>
      </c>
      <c r="E221" s="443">
        <f>IF(ISNUMBER(Input!E78),Input!E78,0)</f>
        <v>0</v>
      </c>
      <c r="F221" s="444" t="str">
        <f>Input!D78</f>
        <v>em</v>
      </c>
      <c r="G221" s="512"/>
      <c r="H221" s="512"/>
      <c r="I221" s="512"/>
      <c r="J221" s="512"/>
      <c r="K221" s="512"/>
      <c r="L221" s="512"/>
      <c r="M221" s="512"/>
      <c r="N221" s="512"/>
      <c r="O221" s="512"/>
      <c r="P221" s="512"/>
      <c r="Q221" s="513"/>
    </row>
    <row r="222" spans="2:17" ht="28.5" customHeight="1">
      <c r="B222" s="11"/>
      <c r="C222" s="435" t="str">
        <f>IF(ISBLANK(Input!E68),"Intentionally left empty","Calendar days worked at "&amp;Input!E68)</f>
        <v>Calendar days worked at c</v>
      </c>
      <c r="D222" s="15" t="str">
        <f t="shared" si="11"/>
        <v>ql</v>
      </c>
      <c r="E222" s="205">
        <f>IF(AND(ISNUMBER(Input!G68),ISNUMBER(Input!F68)),Input!G68-Input!F68+1,0)</f>
        <v>0</v>
      </c>
      <c r="F222" s="15" t="str">
        <f>Input!D68&amp;"(Finish date) -"&amp;Input!D68&amp;" (Start date) + 1"</f>
        <v>ec(Finish date) -ec (Start date) + 1</v>
      </c>
      <c r="G222" s="471" t="s">
        <v>196</v>
      </c>
      <c r="H222" s="471"/>
      <c r="I222" s="471"/>
      <c r="J222" s="471"/>
      <c r="K222" s="471"/>
      <c r="L222" s="471"/>
      <c r="M222" s="471"/>
      <c r="N222" s="471"/>
      <c r="O222" s="471"/>
      <c r="P222" s="471"/>
      <c r="Q222" s="514"/>
    </row>
    <row r="223" spans="2:17" ht="28.5" customHeight="1">
      <c r="B223" s="11"/>
      <c r="C223" s="435" t="str">
        <f>IF(ISBLANK(Input!E68),"Intentionally left empty","Net income earned from "&amp;Input!E68&amp;" per calendar day")</f>
        <v>Net income earned from c per calendar day</v>
      </c>
      <c r="D223" s="15" t="str">
        <f t="shared" si="11"/>
        <v>qm</v>
      </c>
      <c r="E223" s="208">
        <f>IF(E222=0,0,E221/E222)</f>
        <v>0</v>
      </c>
      <c r="F223" s="134" t="str">
        <f>D221&amp;" / "&amp;D222</f>
        <v>qk / ql</v>
      </c>
      <c r="G223" s="468" t="s">
        <v>197</v>
      </c>
      <c r="H223" s="468"/>
      <c r="I223" s="468"/>
      <c r="J223" s="468"/>
      <c r="K223" s="468"/>
      <c r="L223" s="468"/>
      <c r="M223" s="468"/>
      <c r="N223" s="468"/>
      <c r="O223" s="468"/>
      <c r="P223" s="468"/>
      <c r="Q223" s="515"/>
    </row>
    <row r="224" spans="2:17" ht="42" customHeight="1" thickBot="1">
      <c r="B224" s="11"/>
      <c r="C224" s="435" t="str">
        <f>IF(ISBLANK(Input!E68),"Intentionally left empty","Duration of calendar days worked at "&amp;Input!E68)</f>
        <v>Duration of calendar days worked at c</v>
      </c>
      <c r="D224" s="15" t="str">
        <f t="shared" si="11"/>
        <v>qn</v>
      </c>
      <c r="E224" s="209">
        <f>IF(AND(ISNUMBER(Input!F68),ISNUMBER(Input!G68)),GETDURATION(Input!F68,Input!G68,PVdate,Discount,0,"d"),0)</f>
        <v>0</v>
      </c>
      <c r="F224" s="134" t="str">
        <f>"Duration("&amp;Input!D68&amp;"(Start date), "&amp;Input!D68&amp;"(Finish date),"&amp;PVdateRef&amp;", "&amp;$D$9&amp;", 0, ""d"")"</f>
        <v>Duration(ec(Start date), ec(Finish date),ii, ia, 0, "d")</v>
      </c>
      <c r="G224" s="471" t="s">
        <v>196</v>
      </c>
      <c r="H224" s="471"/>
      <c r="I224" s="471"/>
      <c r="J224" s="471"/>
      <c r="K224" s="471"/>
      <c r="L224" s="471"/>
      <c r="M224" s="471"/>
      <c r="N224" s="471"/>
      <c r="O224" s="471"/>
      <c r="P224" s="471"/>
      <c r="Q224" s="514"/>
    </row>
    <row r="225" spans="2:17" ht="28.5" customHeight="1" thickBot="1">
      <c r="B225" s="11"/>
      <c r="C225" s="421" t="str">
        <f>IF(ISBLANK(Input!E68),"Intentionally left empty","Net income earned from "&amp;Input!E68&amp;" PV'd to Employment Tribunal final hearing date")</f>
        <v>Net income earned from c PV'd to Employment Tribunal final hearing date</v>
      </c>
      <c r="D225" s="445" t="str">
        <f t="shared" si="11"/>
        <v>qo</v>
      </c>
      <c r="E225" s="446">
        <f>E223*E224</f>
        <v>0</v>
      </c>
      <c r="F225" s="447" t="str">
        <f>D223&amp;" * "&amp;D224</f>
        <v>qm * qn</v>
      </c>
      <c r="G225" s="520"/>
      <c r="H225" s="520"/>
      <c r="I225" s="520"/>
      <c r="J225" s="520"/>
      <c r="K225" s="520"/>
      <c r="L225" s="520"/>
      <c r="M225" s="520"/>
      <c r="N225" s="520"/>
      <c r="O225" s="520"/>
      <c r="P225" s="520"/>
      <c r="Q225" s="521"/>
    </row>
    <row r="226" spans="2:17" ht="28.5" customHeight="1" thickTop="1">
      <c r="B226" s="11"/>
      <c r="C226" s="431" t="str">
        <f>IF(AND(ISBLANK(Input!E69),ISBLANK(Input!F69),ISBLANK(Input!G69)),"Intentionally left empty","Net income earned from "&amp;Input!E69&amp;" between "&amp;TEXT(Input!F69,"dd/mm/yyyy")&amp;" and "&amp;TEXT(Input!G69,"dd/mm/yyyy"))</f>
        <v>Net income earned from dd between 00/01/1900 and 00/01/1900</v>
      </c>
      <c r="D226" s="441" t="str">
        <f t="shared" si="11"/>
        <v>qp</v>
      </c>
      <c r="E226" s="211">
        <f>IF(ISNUMBER(Input!E81),Input!E81,0)</f>
        <v>0</v>
      </c>
      <c r="F226" s="442" t="str">
        <f>Input!D81</f>
        <v>ep</v>
      </c>
      <c r="G226" s="522"/>
      <c r="H226" s="522"/>
      <c r="I226" s="522"/>
      <c r="J226" s="522"/>
      <c r="K226" s="522"/>
      <c r="L226" s="522"/>
      <c r="M226" s="522"/>
      <c r="N226" s="522"/>
      <c r="O226" s="522"/>
      <c r="P226" s="522"/>
      <c r="Q226" s="522"/>
    </row>
    <row r="227" spans="2:17" ht="28.5" customHeight="1">
      <c r="B227" s="11"/>
      <c r="C227" s="53" t="str">
        <f>IF(ISBLANK(Input!E69),"Intentionally left empty","Calendar days worked at "&amp;Input!E69)</f>
        <v>Calendar days worked at dd</v>
      </c>
      <c r="D227" s="202" t="str">
        <f t="shared" si="11"/>
        <v>qq</v>
      </c>
      <c r="E227" s="214">
        <f>IF(AND(ISNUMBER(Input!G69),ISNUMBER(Input!F69)),Input!G69-Input!F69+1,0)</f>
        <v>0</v>
      </c>
      <c r="F227" s="143" t="str">
        <f>Input!D69&amp;"(Finish date) -"&amp;Input!D69&amp;" (Start date) + 1"</f>
        <v>ed(Finish date) -ed (Start date) + 1</v>
      </c>
      <c r="G227" s="471" t="s">
        <v>196</v>
      </c>
      <c r="H227" s="471"/>
      <c r="I227" s="471"/>
      <c r="J227" s="471"/>
      <c r="K227" s="471"/>
      <c r="L227" s="471"/>
      <c r="M227" s="471"/>
      <c r="N227" s="471"/>
      <c r="O227" s="471"/>
      <c r="P227" s="471"/>
      <c r="Q227" s="471"/>
    </row>
    <row r="228" spans="2:17" ht="28.5" customHeight="1">
      <c r="B228" s="11"/>
      <c r="C228" s="53" t="str">
        <f>IF(ISBLANK(Input!E69),"Intentionally left empty","Net income earned from "&amp;Input!E69&amp;" per calendar day")</f>
        <v>Net income earned from dd per calendar day</v>
      </c>
      <c r="D228" s="202" t="str">
        <f t="shared" si="11"/>
        <v>qr</v>
      </c>
      <c r="E228" s="208">
        <f>IF(E227=0,0,E226/E227)</f>
        <v>0</v>
      </c>
      <c r="F228" s="134" t="str">
        <f>D226&amp;" / "&amp;D227</f>
        <v>qp / qq</v>
      </c>
      <c r="G228" s="468" t="s">
        <v>197</v>
      </c>
      <c r="H228" s="468"/>
      <c r="I228" s="468"/>
      <c r="J228" s="468"/>
      <c r="K228" s="468"/>
      <c r="L228" s="468"/>
      <c r="M228" s="468"/>
      <c r="N228" s="468"/>
      <c r="O228" s="468"/>
      <c r="P228" s="468"/>
      <c r="Q228" s="468"/>
    </row>
    <row r="229" spans="2:17" ht="42.75" customHeight="1" thickBot="1">
      <c r="B229" s="11"/>
      <c r="C229" s="53" t="str">
        <f>IF(ISBLANK(Input!E69),"Intentionally left empty","Duration of calendar days worked at "&amp;Input!E69)</f>
        <v>Duration of calendar days worked at dd</v>
      </c>
      <c r="D229" s="202" t="str">
        <f t="shared" si="11"/>
        <v>qs</v>
      </c>
      <c r="E229" s="209">
        <f>IF(AND(ISNUMBER(Input!F69),ISNUMBER(Input!G69)),GETDURATION(Input!F69,Input!G69,PVdate,Discount,0,"d"),0)</f>
        <v>0</v>
      </c>
      <c r="F229" s="134" t="str">
        <f>"Duration("&amp;Input!D69&amp;"(Start date), "&amp;Input!D69&amp;"(Finish date),"&amp;PVdateRef&amp;", "&amp;$D$9&amp;", 0, ""d"")"</f>
        <v>Duration(ed(Start date), ed(Finish date),ii, ia, 0, "d")</v>
      </c>
      <c r="G229" s="471" t="s">
        <v>196</v>
      </c>
      <c r="H229" s="471"/>
      <c r="I229" s="471"/>
      <c r="J229" s="471"/>
      <c r="K229" s="471"/>
      <c r="L229" s="471"/>
      <c r="M229" s="471"/>
      <c r="N229" s="471"/>
      <c r="O229" s="471"/>
      <c r="P229" s="471"/>
      <c r="Q229" s="471"/>
    </row>
    <row r="230" spans="2:17" ht="28.5" customHeight="1" thickBot="1">
      <c r="B230" s="11"/>
      <c r="C230" s="426" t="str">
        <f>IF(ISBLANK(Input!E69),"Intentionally left empty","Net income earned from "&amp;Input!E69&amp;" PV'd to Employment Tribunal final hearing date")</f>
        <v>Net income earned from dd PV'd to Employment Tribunal final hearing date</v>
      </c>
      <c r="D230" s="439" t="str">
        <f t="shared" si="11"/>
        <v>qt</v>
      </c>
      <c r="E230" s="440">
        <f>E228*E229</f>
        <v>0</v>
      </c>
      <c r="F230" s="213" t="str">
        <f>D228&amp;" * "&amp;D229</f>
        <v>qr * qs</v>
      </c>
      <c r="G230" s="519"/>
      <c r="H230" s="519"/>
      <c r="I230" s="519"/>
      <c r="J230" s="519"/>
      <c r="K230" s="519"/>
      <c r="L230" s="519"/>
      <c r="M230" s="519"/>
      <c r="N230" s="519"/>
      <c r="O230" s="519"/>
      <c r="P230" s="519"/>
      <c r="Q230" s="519"/>
    </row>
    <row r="231" spans="2:17" ht="28.5" customHeight="1" thickTop="1">
      <c r="B231" s="11"/>
      <c r="C231" s="433" t="str">
        <f>IF(AND(ISBLANK(Input!E70),ISBLANK(Input!F70),ISBLANK(Input!G70)),"Intentionally left empty","Net income earned from "&amp;Input!E70&amp;" between "&amp;TEXT(Input!F70,"dd/mm/yyyy")&amp;" and "&amp;TEXT(Input!G70,"dd/mm/yyyy"))</f>
        <v>Net income earned from e between 00/01/1900 and 00/01/1900</v>
      </c>
      <c r="D231" s="448" t="str">
        <f t="shared" si="11"/>
        <v>qu</v>
      </c>
      <c r="E231" s="443">
        <f>IF(ISNUMBER(Input!E84),Input!E84,0)</f>
        <v>0</v>
      </c>
      <c r="F231" s="444" t="str">
        <f>Input!D84</f>
        <v>es</v>
      </c>
      <c r="G231" s="523"/>
      <c r="H231" s="523"/>
      <c r="I231" s="523"/>
      <c r="J231" s="523"/>
      <c r="K231" s="523"/>
      <c r="L231" s="523"/>
      <c r="M231" s="523"/>
      <c r="N231" s="523"/>
      <c r="O231" s="523"/>
      <c r="P231" s="523"/>
      <c r="Q231" s="524"/>
    </row>
    <row r="232" spans="2:17" ht="28.5" customHeight="1">
      <c r="B232" s="11"/>
      <c r="C232" s="435" t="str">
        <f>IF(ISBLANK(Input!E70),"Intentionally left empty","Calendar days worked at "&amp;Input!E70)</f>
        <v>Calendar days worked at e</v>
      </c>
      <c r="D232" s="212" t="str">
        <f t="shared" si="11"/>
        <v>qv</v>
      </c>
      <c r="E232" s="214">
        <f>IF(AND(ISNUMBER(Input!G70),ISNUMBER(Input!F70)),Input!G70-Input!F70+1,0)</f>
        <v>0</v>
      </c>
      <c r="F232" s="143" t="str">
        <f>Input!D70&amp;"(Finish date) -"&amp;Input!D70&amp;" (Start date) + 1"</f>
        <v>ee(Finish date) -ee (Start date) + 1</v>
      </c>
      <c r="G232" s="468" t="s">
        <v>196</v>
      </c>
      <c r="H232" s="468"/>
      <c r="I232" s="468"/>
      <c r="J232" s="468"/>
      <c r="K232" s="468"/>
      <c r="L232" s="468"/>
      <c r="M232" s="468"/>
      <c r="N232" s="468"/>
      <c r="O232" s="468"/>
      <c r="P232" s="468"/>
      <c r="Q232" s="515"/>
    </row>
    <row r="233" spans="2:17" ht="28.5" customHeight="1">
      <c r="B233" s="11"/>
      <c r="C233" s="435" t="str">
        <f>IF(ISBLANK(Input!E70),"Intentionally left empty","Net income earned from "&amp;Input!E70&amp;" per calendar day")</f>
        <v>Net income earned from e per calendar day</v>
      </c>
      <c r="D233" s="212" t="str">
        <f t="shared" si="11"/>
        <v>qw</v>
      </c>
      <c r="E233" s="208">
        <f>IF(E232=0,0,E231/E232)</f>
        <v>0</v>
      </c>
      <c r="F233" s="134" t="str">
        <f>D231&amp;" / "&amp;D232</f>
        <v>qu / qv</v>
      </c>
      <c r="G233" s="468" t="s">
        <v>197</v>
      </c>
      <c r="H233" s="468"/>
      <c r="I233" s="468"/>
      <c r="J233" s="468"/>
      <c r="K233" s="468"/>
      <c r="L233" s="468"/>
      <c r="M233" s="468"/>
      <c r="N233" s="468"/>
      <c r="O233" s="468"/>
      <c r="P233" s="468"/>
      <c r="Q233" s="515"/>
    </row>
    <row r="234" spans="2:17" ht="42.75" customHeight="1" thickBot="1">
      <c r="B234" s="11"/>
      <c r="C234" s="435" t="str">
        <f>IF(ISBLANK(Input!E70),"Intentionally left empty","Duration of calendar days worked at "&amp;Input!E70)</f>
        <v>Duration of calendar days worked at e</v>
      </c>
      <c r="D234" s="212" t="str">
        <f t="shared" si="11"/>
        <v>qx</v>
      </c>
      <c r="E234" s="209">
        <f>IF(AND(ISNUMBER(Input!F70),ISNUMBER(Input!G70)),GETDURATION(Input!F70,Input!G70,PVdate,Discount,0,"d"),0)</f>
        <v>0</v>
      </c>
      <c r="F234" s="134" t="str">
        <f>"Duration("&amp;Input!D70&amp;"(Start date), "&amp;Input!D70&amp;"(Finish date),"&amp;PVdateRef&amp;", "&amp;$D$9&amp;", 0, ""d"")"</f>
        <v>Duration(ee(Start date), ee(Finish date),ii, ia, 0, "d")</v>
      </c>
      <c r="G234" s="468" t="s">
        <v>196</v>
      </c>
      <c r="H234" s="468"/>
      <c r="I234" s="468"/>
      <c r="J234" s="468"/>
      <c r="K234" s="468"/>
      <c r="L234" s="468"/>
      <c r="M234" s="468"/>
      <c r="N234" s="468"/>
      <c r="O234" s="468"/>
      <c r="P234" s="468"/>
      <c r="Q234" s="515"/>
    </row>
    <row r="235" spans="2:17" ht="28.5" customHeight="1" thickBot="1">
      <c r="B235" s="11"/>
      <c r="C235" s="435" t="str">
        <f>IF(ISBLANK(Input!E70),"Intentionally left empty","Net income earned from "&amp;Input!E70&amp;" PV'd to Employment Tribunal final hearing date")</f>
        <v>Net income earned from e PV'd to Employment Tribunal final hearing date</v>
      </c>
      <c r="D235" s="212" t="str">
        <f t="shared" si="11"/>
        <v>qy</v>
      </c>
      <c r="E235" s="210">
        <f>E233*E234</f>
        <v>0</v>
      </c>
      <c r="F235" s="213" t="str">
        <f>D233&amp;" * "&amp;D234</f>
        <v>qw * qx</v>
      </c>
      <c r="G235" s="468"/>
      <c r="H235" s="468"/>
      <c r="I235" s="468"/>
      <c r="J235" s="468"/>
      <c r="K235" s="468"/>
      <c r="L235" s="468"/>
      <c r="M235" s="468"/>
      <c r="N235" s="468"/>
      <c r="O235" s="468"/>
      <c r="P235" s="468"/>
      <c r="Q235" s="515"/>
    </row>
    <row r="236" spans="2:17" ht="42" customHeight="1" thickBot="1">
      <c r="B236" s="46"/>
      <c r="C236" s="449" t="s">
        <v>198</v>
      </c>
      <c r="D236" s="445" t="str">
        <f t="shared" si="11"/>
        <v>qz</v>
      </c>
      <c r="E236" s="450">
        <f>E215+E220+E225+E230+E235</f>
        <v>0</v>
      </c>
      <c r="F236" s="451" t="str">
        <f>D215&amp;" + "&amp;D220&amp;" + "&amp;D225&amp;" + "&amp;D230&amp;" + "&amp;D235</f>
        <v>qe + qj + qo + qt + qy</v>
      </c>
      <c r="G236" s="525"/>
      <c r="H236" s="525"/>
      <c r="I236" s="525"/>
      <c r="J236" s="525"/>
      <c r="K236" s="525"/>
      <c r="L236" s="525"/>
      <c r="M236" s="525"/>
      <c r="N236" s="525"/>
      <c r="O236" s="525"/>
      <c r="P236" s="525"/>
      <c r="Q236" s="526"/>
    </row>
    <row r="237" spans="2:17" ht="14.25" customHeight="1" thickTop="1">
      <c r="B237" s="29"/>
      <c r="C237" s="131"/>
      <c r="D237" s="180"/>
      <c r="E237" s="204"/>
      <c r="F237" s="150"/>
      <c r="G237" s="50"/>
      <c r="H237" s="50"/>
      <c r="I237" s="50"/>
      <c r="J237" s="50"/>
      <c r="K237" s="50"/>
      <c r="L237" s="50"/>
      <c r="M237" s="50"/>
      <c r="N237" s="50"/>
      <c r="O237" s="50"/>
      <c r="P237" s="50"/>
      <c r="Q237" s="50"/>
    </row>
    <row r="238" spans="2:17" ht="14.25" customHeight="1">
      <c r="B238" s="29"/>
      <c r="C238" s="131"/>
      <c r="D238" s="180"/>
      <c r="E238" s="204"/>
      <c r="F238" s="150"/>
      <c r="G238" s="50"/>
      <c r="H238" s="50"/>
      <c r="I238" s="50"/>
      <c r="J238" s="50"/>
      <c r="K238" s="50"/>
      <c r="L238" s="50"/>
      <c r="M238" s="50"/>
      <c r="N238" s="50"/>
      <c r="O238" s="50"/>
      <c r="P238" s="50"/>
      <c r="Q238" s="50"/>
    </row>
    <row r="239" spans="2:17" ht="20.25">
      <c r="B239" s="462" t="s">
        <v>199</v>
      </c>
      <c r="C239" s="462"/>
      <c r="D239" s="462"/>
      <c r="E239" s="462"/>
      <c r="F239" s="462"/>
      <c r="G239" s="462"/>
      <c r="H239" s="462"/>
      <c r="I239" s="462"/>
      <c r="J239" s="462"/>
      <c r="K239" s="462"/>
      <c r="L239" s="462"/>
      <c r="M239" s="462"/>
      <c r="N239" s="462"/>
      <c r="O239" s="462"/>
      <c r="P239" s="462"/>
      <c r="Q239" s="462"/>
    </row>
    <row r="240" spans="2:17" ht="12.75" customHeight="1">
      <c r="B240" s="506" t="s">
        <v>200</v>
      </c>
      <c r="C240" s="506"/>
      <c r="D240" s="9" t="s">
        <v>4</v>
      </c>
      <c r="E240" s="10" t="s">
        <v>5</v>
      </c>
      <c r="F240" s="10" t="s">
        <v>114</v>
      </c>
      <c r="G240" s="114" t="s">
        <v>115</v>
      </c>
      <c r="H240" s="115"/>
      <c r="I240" s="115"/>
      <c r="J240" s="115"/>
      <c r="K240" s="184"/>
      <c r="L240" s="185"/>
      <c r="M240" s="186"/>
      <c r="N240" s="186"/>
      <c r="O240" s="184"/>
      <c r="P240" s="115"/>
      <c r="Q240" s="116"/>
    </row>
    <row r="241" spans="2:17" ht="27" customHeight="1">
      <c r="B241" s="46"/>
      <c r="C241" s="128" t="s">
        <v>62</v>
      </c>
      <c r="D241" s="202" t="s">
        <v>201</v>
      </c>
      <c r="E241" s="171">
        <f>Input!E93</f>
        <v>300</v>
      </c>
      <c r="F241" s="215" t="str">
        <f>Input!D93</f>
        <v>fc</v>
      </c>
      <c r="G241" s="471"/>
      <c r="H241" s="471"/>
      <c r="I241" s="471"/>
      <c r="J241" s="471"/>
      <c r="K241" s="471"/>
      <c r="L241" s="471"/>
      <c r="M241" s="471"/>
      <c r="N241" s="471"/>
      <c r="O241" s="471"/>
      <c r="P241" s="471"/>
      <c r="Q241" s="471"/>
    </row>
    <row r="242" spans="2:16" ht="12.75">
      <c r="B242" s="29"/>
      <c r="C242" s="29"/>
      <c r="D242" s="29"/>
      <c r="E242" s="29"/>
      <c r="F242" s="29"/>
      <c r="G242" s="78"/>
      <c r="H242" s="29"/>
      <c r="I242" s="29"/>
      <c r="J242" s="29"/>
      <c r="K242" s="216"/>
      <c r="L242" s="217"/>
      <c r="M242" s="218"/>
      <c r="N242" s="218"/>
      <c r="O242" s="216"/>
      <c r="P242" s="29"/>
    </row>
    <row r="243" spans="2:16" ht="12.75">
      <c r="B243" s="29"/>
      <c r="C243" s="29"/>
      <c r="D243" s="29"/>
      <c r="E243" s="29"/>
      <c r="F243" s="29"/>
      <c r="G243" s="78"/>
      <c r="H243" s="29"/>
      <c r="I243" s="29"/>
      <c r="J243" s="29"/>
      <c r="K243" s="216"/>
      <c r="L243" s="217"/>
      <c r="M243" s="218"/>
      <c r="N243" s="218"/>
      <c r="O243" s="216"/>
      <c r="P243" s="29"/>
    </row>
    <row r="244" spans="2:17" ht="20.25">
      <c r="B244" s="462" t="s">
        <v>202</v>
      </c>
      <c r="C244" s="462"/>
      <c r="D244" s="462"/>
      <c r="E244" s="462"/>
      <c r="F244" s="462"/>
      <c r="G244" s="462"/>
      <c r="H244" s="462"/>
      <c r="I244" s="462"/>
      <c r="J244" s="462"/>
      <c r="K244" s="462"/>
      <c r="L244" s="462"/>
      <c r="M244" s="462"/>
      <c r="N244" s="462"/>
      <c r="O244" s="462"/>
      <c r="P244" s="462"/>
      <c r="Q244" s="462"/>
    </row>
    <row r="245" spans="2:17" ht="12.75" customHeight="1">
      <c r="B245" s="506" t="s">
        <v>203</v>
      </c>
      <c r="C245" s="506"/>
      <c r="D245" s="9" t="s">
        <v>4</v>
      </c>
      <c r="E245" s="10" t="s">
        <v>5</v>
      </c>
      <c r="F245" s="10" t="s">
        <v>114</v>
      </c>
      <c r="G245" s="114" t="s">
        <v>115</v>
      </c>
      <c r="H245" s="115"/>
      <c r="I245" s="115"/>
      <c r="J245" s="115"/>
      <c r="K245" s="184"/>
      <c r="L245" s="185"/>
      <c r="M245" s="186"/>
      <c r="N245" s="186"/>
      <c r="O245" s="184"/>
      <c r="P245" s="115"/>
      <c r="Q245" s="116"/>
    </row>
    <row r="246" spans="2:17" ht="12.75" customHeight="1">
      <c r="B246" s="151"/>
      <c r="C246" s="18" t="s">
        <v>60</v>
      </c>
      <c r="D246" s="202" t="s">
        <v>204</v>
      </c>
      <c r="E246" s="219">
        <f>Input!E92</f>
        <v>15000</v>
      </c>
      <c r="F246" s="220" t="str">
        <f>Input!D92</f>
        <v>fb</v>
      </c>
      <c r="G246" s="471" t="s">
        <v>205</v>
      </c>
      <c r="H246" s="471"/>
      <c r="I246" s="471"/>
      <c r="J246" s="471"/>
      <c r="K246" s="471"/>
      <c r="L246" s="471"/>
      <c r="M246" s="471"/>
      <c r="N246" s="471"/>
      <c r="O246" s="471"/>
      <c r="P246" s="471"/>
      <c r="Q246" s="471"/>
    </row>
    <row r="247" spans="2:17" ht="29.25" customHeight="1">
      <c r="B247" s="151"/>
      <c r="C247" s="18" t="s">
        <v>206</v>
      </c>
      <c r="D247" s="202" t="str">
        <f>getnextref(D246)</f>
        <v>sb</v>
      </c>
      <c r="E247" s="221">
        <f>(TribunalDate-DismissDate)/365.25</f>
        <v>5.174537987679671</v>
      </c>
      <c r="F247" s="220" t="str">
        <f>TribDateRef&amp;" - "&amp;DismissDateRef</f>
        <v>if - ie</v>
      </c>
      <c r="G247" s="471" t="s">
        <v>140</v>
      </c>
      <c r="H247" s="471"/>
      <c r="I247" s="471"/>
      <c r="J247" s="471"/>
      <c r="K247" s="471"/>
      <c r="L247" s="471"/>
      <c r="M247" s="471"/>
      <c r="N247" s="471"/>
      <c r="O247" s="471"/>
      <c r="P247" s="471"/>
      <c r="Q247" s="471"/>
    </row>
    <row r="248" spans="2:17" ht="30" customHeight="1">
      <c r="B248" s="151"/>
      <c r="C248" s="18" t="s">
        <v>207</v>
      </c>
      <c r="D248" s="202" t="str">
        <f>getnextref(D247)</f>
        <v>sc</v>
      </c>
      <c r="E248" s="222">
        <f>E246*((1+InterestRate)^E247-1)</f>
        <v>7337.972477676524</v>
      </c>
      <c r="F248" s="220" t="str">
        <f>D246&amp;" * [(1 +"&amp;D10&amp;") ^ "&amp;D247&amp;" - 1]"</f>
        <v>sa * [(1 +ib) ^ sb - 1]</v>
      </c>
      <c r="G248" s="471" t="s">
        <v>205</v>
      </c>
      <c r="H248" s="471"/>
      <c r="I248" s="471"/>
      <c r="J248" s="471"/>
      <c r="K248" s="471"/>
      <c r="L248" s="471"/>
      <c r="M248" s="471"/>
      <c r="N248" s="471"/>
      <c r="O248" s="471"/>
      <c r="P248" s="471"/>
      <c r="Q248" s="471"/>
    </row>
    <row r="249" spans="2:17" ht="14.25" customHeight="1">
      <c r="B249" s="46"/>
      <c r="C249" s="128" t="s">
        <v>208</v>
      </c>
      <c r="D249" s="202" t="str">
        <f>getnextref(D248)</f>
        <v>sd</v>
      </c>
      <c r="E249" s="171">
        <f>E246+E248</f>
        <v>22337.972477676525</v>
      </c>
      <c r="F249" s="215" t="str">
        <f>D246&amp;" + "&amp;D248</f>
        <v>sa + sc</v>
      </c>
      <c r="G249" s="471"/>
      <c r="H249" s="471"/>
      <c r="I249" s="471"/>
      <c r="J249" s="471"/>
      <c r="K249" s="471"/>
      <c r="L249" s="471"/>
      <c r="M249" s="471"/>
      <c r="N249" s="471"/>
      <c r="O249" s="471"/>
      <c r="P249" s="471"/>
      <c r="Q249" s="471"/>
    </row>
    <row r="250" spans="2:16" ht="12.75">
      <c r="B250" s="29"/>
      <c r="C250" s="29"/>
      <c r="D250" s="29"/>
      <c r="E250" s="29"/>
      <c r="F250" s="29"/>
      <c r="G250" s="78"/>
      <c r="H250" s="29"/>
      <c r="I250" s="29"/>
      <c r="J250" s="29"/>
      <c r="K250" s="216"/>
      <c r="L250" s="217"/>
      <c r="M250" s="218"/>
      <c r="N250" s="218"/>
      <c r="O250" s="216"/>
      <c r="P250" s="29"/>
    </row>
    <row r="251" spans="2:16" ht="12.75">
      <c r="B251" s="29"/>
      <c r="C251" s="29"/>
      <c r="D251" s="29"/>
      <c r="E251" s="29"/>
      <c r="F251" s="29"/>
      <c r="G251" s="78"/>
      <c r="H251" s="29"/>
      <c r="I251" s="29"/>
      <c r="J251" s="29"/>
      <c r="K251" s="216"/>
      <c r="L251" s="217"/>
      <c r="M251" s="218"/>
      <c r="N251" s="218"/>
      <c r="O251" s="216"/>
      <c r="P251" s="29"/>
    </row>
    <row r="252" spans="2:17" ht="20.25">
      <c r="B252" s="527" t="s">
        <v>209</v>
      </c>
      <c r="C252" s="527"/>
      <c r="D252" s="527"/>
      <c r="E252" s="527"/>
      <c r="F252" s="527"/>
      <c r="G252" s="527"/>
      <c r="H252" s="527"/>
      <c r="I252" s="527"/>
      <c r="J252" s="527"/>
      <c r="K252" s="527"/>
      <c r="L252" s="527"/>
      <c r="M252" s="527"/>
      <c r="N252" s="527"/>
      <c r="O252" s="527"/>
      <c r="P252" s="527"/>
      <c r="Q252" s="527"/>
    </row>
    <row r="253" spans="2:17" ht="16.5" customHeight="1">
      <c r="B253" s="506" t="s">
        <v>210</v>
      </c>
      <c r="C253" s="506"/>
      <c r="D253" s="9" t="s">
        <v>4</v>
      </c>
      <c r="E253" s="10" t="s">
        <v>5</v>
      </c>
      <c r="F253" s="10" t="s">
        <v>114</v>
      </c>
      <c r="G253" s="114" t="s">
        <v>115</v>
      </c>
      <c r="H253" s="115"/>
      <c r="I253" s="115"/>
      <c r="J253" s="115"/>
      <c r="K253" s="184"/>
      <c r="L253" s="185"/>
      <c r="M253" s="186"/>
      <c r="N253" s="186"/>
      <c r="O253" s="184"/>
      <c r="P253" s="115"/>
      <c r="Q253" s="116"/>
    </row>
    <row r="254" spans="2:17" ht="27" customHeight="1">
      <c r="B254" s="11"/>
      <c r="C254" s="34" t="s">
        <v>211</v>
      </c>
      <c r="D254" s="202" t="s">
        <v>212</v>
      </c>
      <c r="E254" s="171">
        <f>Input!E46+Input!E71+Input!E74+Input!E77+Input!E80+Input!E83</f>
        <v>100</v>
      </c>
      <c r="F254" s="215" t="str">
        <f>Input!D46&amp;" + "&amp;Input!D71&amp;" + "&amp;Input!D74&amp;" + "&amp;Input!D77&amp;" + "&amp;Input!D80&amp;" + "&amp;Input!D83</f>
        <v>da + ef + ei + el + eo + er</v>
      </c>
      <c r="G254" s="471"/>
      <c r="H254" s="471"/>
      <c r="I254" s="471"/>
      <c r="J254" s="471"/>
      <c r="K254" s="471"/>
      <c r="L254" s="471"/>
      <c r="M254" s="471"/>
      <c r="N254" s="471"/>
      <c r="O254" s="471"/>
      <c r="P254" s="471"/>
      <c r="Q254" s="471"/>
    </row>
    <row r="255" spans="2:17" ht="12.75" customHeight="1">
      <c r="B255" s="46"/>
      <c r="C255" s="34" t="s">
        <v>485</v>
      </c>
      <c r="D255" s="202" t="str">
        <f>getnextref(D254)</f>
        <v>tb</v>
      </c>
      <c r="E255" s="171">
        <f>Input!E27</f>
        <v>0</v>
      </c>
      <c r="F255" s="215" t="str">
        <f>Input!D27</f>
        <v>bi</v>
      </c>
      <c r="G255" s="471" t="s">
        <v>213</v>
      </c>
      <c r="H255" s="471"/>
      <c r="I255" s="471"/>
      <c r="J255" s="471"/>
      <c r="K255" s="471"/>
      <c r="L255" s="471"/>
      <c r="M255" s="471"/>
      <c r="N255" s="471"/>
      <c r="O255" s="471"/>
      <c r="P255" s="471"/>
      <c r="Q255" s="471"/>
    </row>
    <row r="256" spans="2:16" ht="12.75">
      <c r="B256" s="29"/>
      <c r="C256" s="29"/>
      <c r="D256" s="29"/>
      <c r="E256" s="29"/>
      <c r="F256" s="29"/>
      <c r="G256" s="78"/>
      <c r="H256" s="29"/>
      <c r="I256" s="29"/>
      <c r="J256" s="29"/>
      <c r="K256" s="216"/>
      <c r="L256" s="217"/>
      <c r="M256" s="218"/>
      <c r="N256" s="218"/>
      <c r="O256" s="216"/>
      <c r="P256" s="29"/>
    </row>
    <row r="257" spans="2:16" ht="12.75">
      <c r="B257" s="29"/>
      <c r="C257" s="29"/>
      <c r="D257" s="29"/>
      <c r="E257" s="29"/>
      <c r="F257" s="29"/>
      <c r="G257" s="78"/>
      <c r="H257" s="29"/>
      <c r="I257" s="29"/>
      <c r="J257" s="29"/>
      <c r="K257" s="216"/>
      <c r="L257" s="217"/>
      <c r="M257" s="218"/>
      <c r="N257" s="218"/>
      <c r="O257" s="216"/>
      <c r="P257" s="29"/>
    </row>
    <row r="258" spans="2:17" ht="20.25">
      <c r="B258" s="527" t="s">
        <v>214</v>
      </c>
      <c r="C258" s="527"/>
      <c r="D258" s="527"/>
      <c r="E258" s="527"/>
      <c r="F258" s="527"/>
      <c r="G258" s="527"/>
      <c r="H258" s="527"/>
      <c r="I258" s="527"/>
      <c r="J258" s="527"/>
      <c r="K258" s="527"/>
      <c r="L258" s="527"/>
      <c r="M258" s="527"/>
      <c r="N258" s="527"/>
      <c r="O258" s="527"/>
      <c r="P258" s="527"/>
      <c r="Q258" s="527"/>
    </row>
    <row r="259" spans="2:17" ht="16.5" customHeight="1">
      <c r="B259" s="506" t="s">
        <v>215</v>
      </c>
      <c r="C259" s="506"/>
      <c r="D259" s="9" t="s">
        <v>4</v>
      </c>
      <c r="E259" s="10" t="s">
        <v>5</v>
      </c>
      <c r="F259" s="10" t="s">
        <v>114</v>
      </c>
      <c r="G259" s="114" t="s">
        <v>115</v>
      </c>
      <c r="H259" s="115"/>
      <c r="I259" s="115"/>
      <c r="J259" s="115"/>
      <c r="K259" s="184"/>
      <c r="L259" s="185"/>
      <c r="M259" s="186"/>
      <c r="N259" s="186"/>
      <c r="O259" s="184"/>
      <c r="P259" s="115"/>
      <c r="Q259" s="116"/>
    </row>
    <row r="260" spans="2:17" ht="15" customHeight="1">
      <c r="B260" s="11"/>
      <c r="C260" s="18" t="s">
        <v>216</v>
      </c>
      <c r="D260" s="202" t="s">
        <v>217</v>
      </c>
      <c r="E260" s="152">
        <f>Input!E106</f>
        <v>0</v>
      </c>
      <c r="F260" s="215" t="str">
        <f>Input!D106</f>
        <v>ha</v>
      </c>
      <c r="G260" s="471"/>
      <c r="H260" s="471"/>
      <c r="I260" s="471"/>
      <c r="J260" s="471"/>
      <c r="K260" s="471"/>
      <c r="L260" s="471"/>
      <c r="M260" s="471"/>
      <c r="N260" s="471"/>
      <c r="O260" s="471"/>
      <c r="P260" s="471"/>
      <c r="Q260" s="471"/>
    </row>
    <row r="261" spans="2:17" ht="15" customHeight="1">
      <c r="B261" s="11"/>
      <c r="C261" s="14" t="s">
        <v>218</v>
      </c>
      <c r="D261" s="15" t="str">
        <f aca="true" t="shared" si="12" ref="D261:D266">GETNEXTREF(D260)</f>
        <v>ub</v>
      </c>
      <c r="E261" s="121">
        <f>Input!E108</f>
        <v>65</v>
      </c>
      <c r="F261" s="215" t="str">
        <f>Input!D108</f>
        <v>hb</v>
      </c>
      <c r="G261" s="471" t="s">
        <v>119</v>
      </c>
      <c r="H261" s="471"/>
      <c r="I261" s="471"/>
      <c r="J261" s="471"/>
      <c r="K261" s="471"/>
      <c r="L261" s="471"/>
      <c r="M261" s="471"/>
      <c r="N261" s="471"/>
      <c r="O261" s="471"/>
      <c r="P261" s="471"/>
      <c r="Q261" s="471"/>
    </row>
    <row r="262" spans="2:17" ht="15" customHeight="1">
      <c r="B262" s="11"/>
      <c r="C262" s="14" t="s">
        <v>479</v>
      </c>
      <c r="D262" s="15" t="str">
        <f t="shared" si="12"/>
        <v>uc</v>
      </c>
      <c r="E262" s="190">
        <f>DismissDate</f>
        <v>40243</v>
      </c>
      <c r="F262" s="188" t="str">
        <f>DismissDateRef</f>
        <v>ie</v>
      </c>
      <c r="G262" s="471" t="s">
        <v>480</v>
      </c>
      <c r="H262" s="471"/>
      <c r="I262" s="471"/>
      <c r="J262" s="471"/>
      <c r="K262" s="471"/>
      <c r="L262" s="471"/>
      <c r="M262" s="471"/>
      <c r="N262" s="471"/>
      <c r="O262" s="471"/>
      <c r="P262" s="471"/>
      <c r="Q262" s="471"/>
    </row>
    <row r="263" spans="2:17" ht="15" customHeight="1">
      <c r="B263" s="11"/>
      <c r="C263" s="14" t="s">
        <v>174</v>
      </c>
      <c r="D263" s="15" t="str">
        <f t="shared" si="12"/>
        <v>ud</v>
      </c>
      <c r="E263" s="191">
        <f>VLOOKUP(E262,$O$26:$Q$42,3,TRUE)</f>
        <v>1.0717433456724836</v>
      </c>
      <c r="F263" s="188" t="str">
        <f>"Annuity Factor("&amp;D262&amp;")"</f>
        <v>Annuity Factor(uc)</v>
      </c>
      <c r="G263" s="471" t="s">
        <v>486</v>
      </c>
      <c r="H263" s="471"/>
      <c r="I263" s="471"/>
      <c r="J263" s="471"/>
      <c r="K263" s="471"/>
      <c r="L263" s="471"/>
      <c r="M263" s="471"/>
      <c r="N263" s="471"/>
      <c r="O263" s="471"/>
      <c r="P263" s="471"/>
      <c r="Q263" s="471"/>
    </row>
    <row r="264" spans="2:17" ht="28.5" customHeight="1">
      <c r="B264" s="11"/>
      <c r="C264" s="14" t="s">
        <v>219</v>
      </c>
      <c r="D264" s="15" t="str">
        <f t="shared" si="12"/>
        <v>ue</v>
      </c>
      <c r="E264" s="223">
        <f ca="1">VLOOKUP(E261,INDIRECT("Annuities"&amp;LEFT(Gender,1)&amp;"S"),2,FALSE)/200000*12</f>
        <v>0.04542</v>
      </c>
      <c r="F264" s="134" t="str">
        <f>"Annuity("&amp;D261&amp;", "&amp;Input!D13&amp;", "&amp;"Single life)"</f>
        <v>Annuity(ub, ae, Single life)</v>
      </c>
      <c r="G264" s="468" t="s">
        <v>220</v>
      </c>
      <c r="H264" s="468"/>
      <c r="I264" s="468"/>
      <c r="J264" s="468"/>
      <c r="K264" s="468"/>
      <c r="L264" s="468"/>
      <c r="M264" s="468"/>
      <c r="N264" s="468"/>
      <c r="O264" s="468"/>
      <c r="P264" s="468"/>
      <c r="Q264" s="468"/>
    </row>
    <row r="265" spans="2:17" ht="12.75" customHeight="1">
      <c r="B265" s="11"/>
      <c r="C265" s="18" t="s">
        <v>221</v>
      </c>
      <c r="D265" s="15" t="str">
        <f t="shared" si="12"/>
        <v>uf</v>
      </c>
      <c r="E265" s="224">
        <f>E264*E263</f>
        <v>0.048678582760444206</v>
      </c>
      <c r="F265" s="125" t="str">
        <f>D263&amp;" * "&amp;D264</f>
        <v>ud * ue</v>
      </c>
      <c r="G265" s="468" t="s">
        <v>222</v>
      </c>
      <c r="H265" s="468"/>
      <c r="I265" s="468"/>
      <c r="J265" s="468"/>
      <c r="K265" s="468"/>
      <c r="L265" s="468"/>
      <c r="M265" s="468"/>
      <c r="N265" s="468"/>
      <c r="O265" s="468"/>
      <c r="P265" s="468"/>
      <c r="Q265" s="468"/>
    </row>
    <row r="266" spans="2:17" ht="29.25" customHeight="1">
      <c r="B266" s="11"/>
      <c r="C266" s="225" t="s">
        <v>223</v>
      </c>
      <c r="D266" s="202" t="str">
        <f t="shared" si="12"/>
        <v>ug</v>
      </c>
      <c r="E266" s="171">
        <f>E260/E265</f>
        <v>0</v>
      </c>
      <c r="F266" s="158" t="str">
        <f>D260&amp;" / "&amp;D265</f>
        <v>ua / uf</v>
      </c>
      <c r="G266" s="471" t="s">
        <v>224</v>
      </c>
      <c r="H266" s="471"/>
      <c r="I266" s="471"/>
      <c r="J266" s="471"/>
      <c r="K266" s="471"/>
      <c r="L266" s="471"/>
      <c r="M266" s="471"/>
      <c r="N266" s="471"/>
      <c r="O266" s="471"/>
      <c r="P266" s="471"/>
      <c r="Q266" s="471"/>
    </row>
    <row r="267" spans="2:17" ht="12.75">
      <c r="B267" s="46"/>
      <c r="C267" s="54"/>
      <c r="D267" s="54"/>
      <c r="E267" s="54"/>
      <c r="F267" s="54"/>
      <c r="G267" s="226"/>
      <c r="H267" s="54"/>
      <c r="I267" s="54"/>
      <c r="J267" s="54"/>
      <c r="K267" s="54"/>
      <c r="L267" s="54"/>
      <c r="M267" s="54"/>
      <c r="N267" s="54"/>
      <c r="O267" s="54"/>
      <c r="P267" s="54"/>
      <c r="Q267" s="112"/>
    </row>
    <row r="268" ht="12.75"/>
    <row r="269" ht="12.75"/>
    <row r="270" spans="2:17" ht="20.25">
      <c r="B270" s="527" t="s">
        <v>225</v>
      </c>
      <c r="C270" s="527"/>
      <c r="D270" s="527"/>
      <c r="E270" s="527"/>
      <c r="F270" s="527"/>
      <c r="G270" s="527"/>
      <c r="H270" s="527"/>
      <c r="I270" s="527"/>
      <c r="J270" s="527"/>
      <c r="K270" s="527"/>
      <c r="L270" s="527"/>
      <c r="M270" s="527"/>
      <c r="N270" s="527"/>
      <c r="O270" s="527"/>
      <c r="P270" s="527"/>
      <c r="Q270" s="527"/>
    </row>
    <row r="271" spans="2:17" ht="16.5" customHeight="1">
      <c r="B271" s="506" t="s">
        <v>215</v>
      </c>
      <c r="C271" s="506"/>
      <c r="D271" s="9" t="s">
        <v>4</v>
      </c>
      <c r="E271" s="10" t="s">
        <v>5</v>
      </c>
      <c r="F271" s="10" t="s">
        <v>114</v>
      </c>
      <c r="G271" s="114" t="s">
        <v>115</v>
      </c>
      <c r="H271" s="115"/>
      <c r="I271" s="115"/>
      <c r="J271" s="115"/>
      <c r="K271" s="184"/>
      <c r="L271" s="185"/>
      <c r="M271" s="186"/>
      <c r="N271" s="186"/>
      <c r="O271" s="184"/>
      <c r="P271" s="115"/>
      <c r="Q271" s="116"/>
    </row>
    <row r="272" spans="2:17" ht="15" customHeight="1">
      <c r="B272" s="11"/>
      <c r="C272" s="14" t="s">
        <v>226</v>
      </c>
      <c r="D272" s="15" t="s">
        <v>227</v>
      </c>
      <c r="E272" s="121" t="str">
        <f>IF(Input!E34&lt;&gt;"","Yes","No")</f>
        <v>Yes</v>
      </c>
      <c r="F272" s="215" t="str">
        <f>Input!D34&amp;" contains valid date"</f>
        <v>cb contains valid date</v>
      </c>
      <c r="G272" s="471" t="s">
        <v>228</v>
      </c>
      <c r="H272" s="471"/>
      <c r="I272" s="471"/>
      <c r="J272" s="471"/>
      <c r="K272" s="471"/>
      <c r="L272" s="471"/>
      <c r="M272" s="471"/>
      <c r="N272" s="471"/>
      <c r="O272" s="471"/>
      <c r="P272" s="471"/>
      <c r="Q272" s="471"/>
    </row>
    <row r="273" spans="2:17" ht="45" customHeight="1">
      <c r="B273" s="11"/>
      <c r="C273" s="14" t="s">
        <v>229</v>
      </c>
      <c r="D273" s="15" t="str">
        <f>getnextref(D272)</f>
        <v>vb</v>
      </c>
      <c r="E273" s="121">
        <f>QUOTIENT((DismissDate-Input!E9),365.25)</f>
        <v>52</v>
      </c>
      <c r="F273" s="215" t="str">
        <f>DismissDateRef&amp;" - "&amp;Input!D9</f>
        <v>ie - aa</v>
      </c>
      <c r="G273" s="471" t="s">
        <v>230</v>
      </c>
      <c r="H273" s="471"/>
      <c r="I273" s="471"/>
      <c r="J273" s="471"/>
      <c r="K273" s="471"/>
      <c r="L273" s="471"/>
      <c r="M273" s="471"/>
      <c r="N273" s="471"/>
      <c r="O273" s="471"/>
      <c r="P273" s="471"/>
      <c r="Q273" s="471"/>
    </row>
    <row r="274" spans="2:17" ht="30" customHeight="1">
      <c r="B274" s="11"/>
      <c r="C274" s="14" t="s">
        <v>14</v>
      </c>
      <c r="D274" s="15" t="str">
        <f>getnextref(D273)</f>
        <v>vc</v>
      </c>
      <c r="E274" s="190" t="str">
        <f>IF(AND($E$272="Yes",$E$273&lt;60),Gender,"N/A")</f>
        <v>Male</v>
      </c>
      <c r="F274" s="188" t="str">
        <f>Input!D13</f>
        <v>ae</v>
      </c>
      <c r="G274" s="471" t="s">
        <v>231</v>
      </c>
      <c r="H274" s="471"/>
      <c r="I274" s="471"/>
      <c r="J274" s="471"/>
      <c r="K274" s="471"/>
      <c r="L274" s="471"/>
      <c r="M274" s="471"/>
      <c r="N274" s="471"/>
      <c r="O274" s="471"/>
      <c r="P274" s="471"/>
      <c r="Q274" s="471"/>
    </row>
    <row r="275" spans="2:17" ht="30" customHeight="1">
      <c r="B275" s="11"/>
      <c r="C275" s="14" t="s">
        <v>232</v>
      </c>
      <c r="D275" s="15" t="str">
        <f aca="true" t="shared" si="13" ref="D275:D284">GETNEXTREF(D274)</f>
        <v>vd</v>
      </c>
      <c r="E275" s="135">
        <f>IF(AND($E$272="Yes",$E$273&lt;60),IF(E274="Male",Input!E10,MAX(Input!E10,"06/05/1990")),"N/A")</f>
        <v>30878</v>
      </c>
      <c r="F275" s="188" t="str">
        <f>Input!D10&amp;" or 06/05/1990 for women"</f>
        <v>ab or 06/05/1990 for women</v>
      </c>
      <c r="G275" s="471"/>
      <c r="H275" s="471"/>
      <c r="I275" s="471"/>
      <c r="J275" s="471"/>
      <c r="K275" s="471"/>
      <c r="L275" s="471"/>
      <c r="M275" s="471"/>
      <c r="N275" s="471"/>
      <c r="O275" s="471"/>
      <c r="P275" s="471"/>
      <c r="Q275" s="471"/>
    </row>
    <row r="276" spans="2:17" ht="15" customHeight="1">
      <c r="B276" s="11"/>
      <c r="C276" s="14" t="s">
        <v>487</v>
      </c>
      <c r="D276" s="15" t="str">
        <f t="shared" si="13"/>
        <v>ve</v>
      </c>
      <c r="E276" s="135">
        <f>IF(AND($E$272="Yes",$E$273&lt;60),DATE(YEAR(Input!E9)+63,IF(DAY(Input!E9)&gt;6,MONTH(Input!E9)+1,MONTH(Input!E9)),5),"N/A")</f>
        <v>44109</v>
      </c>
      <c r="F276" s="188" t="str">
        <f>Input!D9&amp;" +63 years"</f>
        <v>aa +63 years</v>
      </c>
      <c r="G276" s="14"/>
      <c r="H276" s="45"/>
      <c r="I276" s="45"/>
      <c r="J276" s="45"/>
      <c r="K276" s="45"/>
      <c r="L276" s="45"/>
      <c r="M276" s="45"/>
      <c r="N276" s="45"/>
      <c r="O276" s="45"/>
      <c r="P276" s="45"/>
      <c r="Q276" s="161"/>
    </row>
    <row r="277" spans="2:17" ht="32.25" customHeight="1">
      <c r="B277" s="11"/>
      <c r="C277" s="14" t="s">
        <v>233</v>
      </c>
      <c r="D277" s="15" t="str">
        <f t="shared" si="13"/>
        <v>vf</v>
      </c>
      <c r="E277" s="191">
        <f>IF(AND($E$272="Yes",$E$273&lt;60),getservicelength(E275,E276),"N/A")</f>
        <v>36.251882272416154</v>
      </c>
      <c r="F277" s="134" t="str">
        <f>"getServiceLength("&amp;D275&amp;", "&amp;D276&amp;")"</f>
        <v>getServiceLength(vd, ve)</v>
      </c>
      <c r="G277" s="468" t="s">
        <v>140</v>
      </c>
      <c r="H277" s="468"/>
      <c r="I277" s="468"/>
      <c r="J277" s="468"/>
      <c r="K277" s="468"/>
      <c r="L277" s="468"/>
      <c r="M277" s="468"/>
      <c r="N277" s="468"/>
      <c r="O277" s="468"/>
      <c r="P277" s="468"/>
      <c r="Q277" s="468"/>
    </row>
    <row r="278" spans="2:17" ht="18" customHeight="1">
      <c r="B278" s="11"/>
      <c r="C278" s="14" t="s">
        <v>234</v>
      </c>
      <c r="D278" s="15" t="str">
        <f t="shared" si="13"/>
        <v>vg</v>
      </c>
      <c r="E278" s="135">
        <f>E276+1</f>
        <v>44110</v>
      </c>
      <c r="F278" s="134" t="str">
        <f>D276&amp;" + 1 day"</f>
        <v>ve + 1 day</v>
      </c>
      <c r="G278" s="53"/>
      <c r="H278" s="227"/>
      <c r="I278" s="227"/>
      <c r="J278" s="227"/>
      <c r="K278" s="227"/>
      <c r="L278" s="227"/>
      <c r="M278" s="227"/>
      <c r="N278" s="227"/>
      <c r="O278" s="227"/>
      <c r="P278" s="227"/>
      <c r="Q278" s="57"/>
    </row>
    <row r="279" spans="2:17" ht="63.75" customHeight="1">
      <c r="B279" s="11"/>
      <c r="C279" s="14" t="s">
        <v>488</v>
      </c>
      <c r="D279" s="15" t="str">
        <f t="shared" si="13"/>
        <v>vh</v>
      </c>
      <c r="E279" s="228">
        <f>IF(AND($E$272="Yes",$E$273&lt;60),VLOOKUP(MONTH(E278),$B$287:$R$299,MATCH(YEAR(E278),$B$287:$R$287,0),FALSE),"N/A")</f>
        <v>150.3672019156737</v>
      </c>
      <c r="F279" s="134" t="s">
        <v>235</v>
      </c>
      <c r="G279" s="53"/>
      <c r="H279" s="227"/>
      <c r="I279" s="227"/>
      <c r="J279" s="227"/>
      <c r="K279" s="227"/>
      <c r="L279" s="227"/>
      <c r="M279" s="227"/>
      <c r="N279" s="227"/>
      <c r="O279" s="227"/>
      <c r="P279" s="227"/>
      <c r="Q279" s="57"/>
    </row>
    <row r="280" spans="2:17" ht="15.75" customHeight="1">
      <c r="B280" s="11"/>
      <c r="C280" s="18" t="s">
        <v>236</v>
      </c>
      <c r="D280" s="15" t="str">
        <f t="shared" si="13"/>
        <v>vi</v>
      </c>
      <c r="E280" s="228">
        <f>IF(AND($E$272="Yes",$E$273&lt;60),E277*E279,"N/A")</f>
        <v>5451.094101479632</v>
      </c>
      <c r="F280" s="125" t="str">
        <f>D277&amp;" * "&amp;D279</f>
        <v>vf * vh</v>
      </c>
      <c r="G280" s="468" t="s">
        <v>489</v>
      </c>
      <c r="H280" s="468"/>
      <c r="I280" s="468"/>
      <c r="J280" s="468"/>
      <c r="K280" s="468"/>
      <c r="L280" s="468"/>
      <c r="M280" s="468"/>
      <c r="N280" s="468"/>
      <c r="O280" s="468"/>
      <c r="P280" s="468"/>
      <c r="Q280" s="468"/>
    </row>
    <row r="281" spans="2:17" ht="15.75" customHeight="1">
      <c r="B281" s="11"/>
      <c r="C281" s="14" t="s">
        <v>237</v>
      </c>
      <c r="D281" s="15" t="str">
        <f t="shared" si="13"/>
        <v>vj</v>
      </c>
      <c r="E281" s="228">
        <f>IF(AND($E$272="Yes",$E$273&lt;60,ISNUMBER(E280)),E280/12,"N/A")</f>
        <v>454.2578417899693</v>
      </c>
      <c r="F281" s="158" t="str">
        <f>D280&amp;" / 12"</f>
        <v>vi / 12</v>
      </c>
      <c r="G281" s="468" t="s">
        <v>489</v>
      </c>
      <c r="H281" s="468"/>
      <c r="I281" s="468"/>
      <c r="J281" s="468"/>
      <c r="K281" s="468"/>
      <c r="L281" s="468"/>
      <c r="M281" s="468"/>
      <c r="N281" s="468"/>
      <c r="O281" s="468"/>
      <c r="P281" s="468"/>
      <c r="Q281" s="468"/>
    </row>
    <row r="282" spans="2:17" ht="15.75" customHeight="1">
      <c r="B282" s="11"/>
      <c r="C282" s="14" t="s">
        <v>238</v>
      </c>
      <c r="D282" s="15" t="str">
        <f t="shared" si="13"/>
        <v>vk</v>
      </c>
      <c r="E282" s="135">
        <f>IF(AND($E$272="Yes",$E$273&lt;60),EDATE(E278,24),"N/A")</f>
        <v>44840</v>
      </c>
      <c r="F282" s="158" t="str">
        <f>D278&amp;" + 24 months"</f>
        <v>vg + 24 months</v>
      </c>
      <c r="G282" s="53"/>
      <c r="H282" s="227"/>
      <c r="I282" s="227"/>
      <c r="J282" s="227"/>
      <c r="K282" s="227"/>
      <c r="L282" s="227"/>
      <c r="M282" s="227"/>
      <c r="N282" s="227"/>
      <c r="O282" s="227"/>
      <c r="P282" s="227"/>
      <c r="Q282" s="57"/>
    </row>
    <row r="283" spans="2:17" ht="33" customHeight="1">
      <c r="B283" s="11"/>
      <c r="C283" s="14" t="s">
        <v>239</v>
      </c>
      <c r="D283" s="15" t="str">
        <f>getnextref(D282)</f>
        <v>vl</v>
      </c>
      <c r="E283" s="229">
        <f>IF(AND($E$272="Yes",$E$273&lt;60),GETDURATION(E278,E282-1,PVdate,Discount,Input!E26),"N/A")</f>
        <v>20.98304359088645</v>
      </c>
      <c r="F283" s="158" t="str">
        <f>"Duration("&amp;D278&amp;", "&amp;D282&amp;" - 1, "&amp;PVdateRef&amp;", "&amp;D9&amp;", "&amp;Input!D26&amp;")"</f>
        <v>Duration(vg, vk - 1, ii, ia, bh)</v>
      </c>
      <c r="G283" s="53" t="s">
        <v>141</v>
      </c>
      <c r="H283" s="227"/>
      <c r="I283" s="227"/>
      <c r="J283" s="227"/>
      <c r="K283" s="227"/>
      <c r="L283" s="227"/>
      <c r="M283" s="227"/>
      <c r="N283" s="227"/>
      <c r="O283" s="227"/>
      <c r="P283" s="227"/>
      <c r="Q283" s="57"/>
    </row>
    <row r="284" spans="2:17" ht="45" customHeight="1">
      <c r="B284" s="230"/>
      <c r="C284" s="231" t="s">
        <v>240</v>
      </c>
      <c r="D284" s="15" t="str">
        <f t="shared" si="13"/>
        <v>vm</v>
      </c>
      <c r="E284" s="232">
        <f>IF(AND($E$272="Yes",$E$273&lt;60,ISNUMBER(E280)),-E281*E283,"N/A")</f>
        <v>-9531.712095780926</v>
      </c>
      <c r="F284" s="233" t="str">
        <f>"- "&amp;D281&amp;" * "&amp;D283</f>
        <v>- vj * vl</v>
      </c>
      <c r="G284" s="533" t="s">
        <v>241</v>
      </c>
      <c r="H284" s="533"/>
      <c r="I284" s="533"/>
      <c r="J284" s="533"/>
      <c r="K284" s="533"/>
      <c r="L284" s="533"/>
      <c r="M284" s="533"/>
      <c r="N284" s="533"/>
      <c r="O284" s="533"/>
      <c r="P284" s="533"/>
      <c r="Q284" s="533"/>
    </row>
    <row r="285" spans="2:17" ht="15.75" customHeight="1">
      <c r="B285" s="11"/>
      <c r="C285" s="170"/>
      <c r="D285" s="234"/>
      <c r="E285" s="235"/>
      <c r="F285" s="236"/>
      <c r="G285" s="237"/>
      <c r="H285" s="237"/>
      <c r="I285" s="237"/>
      <c r="J285" s="237"/>
      <c r="K285" s="237"/>
      <c r="L285" s="237"/>
      <c r="M285" s="237"/>
      <c r="N285" s="237"/>
      <c r="O285" s="237"/>
      <c r="P285" s="237"/>
      <c r="Q285" s="237"/>
    </row>
    <row r="286" spans="2:17" ht="15.75" customHeight="1">
      <c r="B286" s="528" t="s">
        <v>490</v>
      </c>
      <c r="C286" s="528"/>
      <c r="D286" s="528"/>
      <c r="E286" s="528"/>
      <c r="F286" s="528"/>
      <c r="G286" s="528"/>
      <c r="H286" s="528"/>
      <c r="I286" s="528"/>
      <c r="J286" s="528"/>
      <c r="K286" s="528"/>
      <c r="L286" s="528"/>
      <c r="M286" s="528"/>
      <c r="N286" s="528"/>
      <c r="O286" s="528"/>
      <c r="P286" s="528"/>
      <c r="Q286" s="528"/>
    </row>
    <row r="287" spans="2:17" ht="15.75" customHeight="1">
      <c r="B287" s="238" t="s">
        <v>92</v>
      </c>
      <c r="C287" s="239">
        <v>2009</v>
      </c>
      <c r="D287" s="240">
        <f aca="true" t="shared" si="14" ref="D287:Q287">C287+1</f>
        <v>2010</v>
      </c>
      <c r="E287" s="240">
        <f t="shared" si="14"/>
        <v>2011</v>
      </c>
      <c r="F287" s="240">
        <f t="shared" si="14"/>
        <v>2012</v>
      </c>
      <c r="G287" s="240">
        <f t="shared" si="14"/>
        <v>2013</v>
      </c>
      <c r="H287" s="240">
        <f t="shared" si="14"/>
        <v>2014</v>
      </c>
      <c r="I287" s="240">
        <f t="shared" si="14"/>
        <v>2015</v>
      </c>
      <c r="J287" s="240">
        <f t="shared" si="14"/>
        <v>2016</v>
      </c>
      <c r="K287" s="240">
        <f t="shared" si="14"/>
        <v>2017</v>
      </c>
      <c r="L287" s="240">
        <f t="shared" si="14"/>
        <v>2018</v>
      </c>
      <c r="M287" s="240">
        <f t="shared" si="14"/>
        <v>2019</v>
      </c>
      <c r="N287" s="240">
        <f t="shared" si="14"/>
        <v>2020</v>
      </c>
      <c r="O287" s="240">
        <f t="shared" si="14"/>
        <v>2021</v>
      </c>
      <c r="P287" s="240">
        <f t="shared" si="14"/>
        <v>2022</v>
      </c>
      <c r="Q287" s="241">
        <f t="shared" si="14"/>
        <v>2023</v>
      </c>
    </row>
    <row r="288" spans="2:17" ht="15.75" customHeight="1">
      <c r="B288" s="242">
        <v>1</v>
      </c>
      <c r="C288" s="243"/>
      <c r="D288" s="244">
        <v>97.97</v>
      </c>
      <c r="E288" s="245">
        <v>100.93</v>
      </c>
      <c r="F288" s="244">
        <v>105.07</v>
      </c>
      <c r="G288" s="244">
        <v>110.37</v>
      </c>
      <c r="H288" s="246">
        <f aca="true" t="shared" si="15" ref="H288:Q288">G299*$E288/$D299</f>
        <v>115.49067817692031</v>
      </c>
      <c r="I288" s="246">
        <f t="shared" si="15"/>
        <v>120.10158816074409</v>
      </c>
      <c r="J288" s="246">
        <f t="shared" si="15"/>
        <v>124.8965865161537</v>
      </c>
      <c r="K288" s="246">
        <f t="shared" si="15"/>
        <v>129.88302288317064</v>
      </c>
      <c r="L288" s="246">
        <f t="shared" si="15"/>
        <v>135.0685403326725</v>
      </c>
      <c r="M288" s="246">
        <f t="shared" si="15"/>
        <v>140.4610870814792</v>
      </c>
      <c r="N288" s="246">
        <f t="shared" si="15"/>
        <v>146.0689286751583</v>
      </c>
      <c r="O288" s="246">
        <f t="shared" si="15"/>
        <v>151.9006606572234</v>
      </c>
      <c r="P288" s="246">
        <f t="shared" si="15"/>
        <v>157.9652217441441</v>
      </c>
      <c r="Q288" s="247">
        <f t="shared" si="15"/>
        <v>164.27190752636142</v>
      </c>
    </row>
    <row r="289" spans="2:17" ht="15.75" customHeight="1">
      <c r="B289" s="242">
        <f aca="true" t="shared" si="16" ref="B289:B299">B288+1</f>
        <v>2</v>
      </c>
      <c r="C289" s="243"/>
      <c r="D289" s="244">
        <v>98.33</v>
      </c>
      <c r="E289" s="245">
        <v>101.12</v>
      </c>
      <c r="F289" s="244">
        <v>105.43</v>
      </c>
      <c r="G289" s="244">
        <v>110.9</v>
      </c>
      <c r="H289" s="246">
        <f aca="true" t="shared" si="17" ref="H289:H299">H288*$E289/$E288</f>
        <v>115.70808854899614</v>
      </c>
      <c r="I289" s="246">
        <f aca="true" t="shared" si="18" ref="I289:I299">I288*$E289/$E288</f>
        <v>120.32767853774341</v>
      </c>
      <c r="J289" s="246">
        <f aca="true" t="shared" si="19" ref="J289:J299">J288*$E289/$E288</f>
        <v>125.13170344311368</v>
      </c>
      <c r="K289" s="246">
        <f aca="true" t="shared" si="20" ref="K289:K299">K288*$E289/$E288</f>
        <v>130.12752674077296</v>
      </c>
      <c r="L289" s="246">
        <f aca="true" t="shared" si="21" ref="L289:L299">L288*$E289/$E288</f>
        <v>135.32280588962493</v>
      </c>
      <c r="M289" s="246">
        <f aca="true" t="shared" si="22" ref="M289:M299">M288*$E289/$E288</f>
        <v>140.72550406895053</v>
      </c>
      <c r="N289" s="246">
        <f aca="true" t="shared" si="23" ref="N289:N299">N288*$E289/$E288</f>
        <v>146.3439023841475</v>
      </c>
      <c r="O289" s="246">
        <f aca="true" t="shared" si="24" ref="O289:O299">O288*$E289/$E288</f>
        <v>152.18661255977835</v>
      </c>
      <c r="P289" s="246">
        <f aca="true" t="shared" si="25" ref="P289:P299">P288*$E289/$E288</f>
        <v>158.26259013938224</v>
      </c>
      <c r="Q289" s="247">
        <f aca="true" t="shared" si="26" ref="Q289:Q299">Q288*$E289/$E288</f>
        <v>164.58114821228244</v>
      </c>
    </row>
    <row r="290" spans="2:17" ht="15.75" customHeight="1">
      <c r="B290" s="242">
        <f t="shared" si="16"/>
        <v>3</v>
      </c>
      <c r="C290" s="243"/>
      <c r="D290" s="244">
        <v>98.7</v>
      </c>
      <c r="E290" s="245">
        <v>101.32</v>
      </c>
      <c r="F290" s="244">
        <v>105.88</v>
      </c>
      <c r="G290" s="244">
        <v>111.32</v>
      </c>
      <c r="H290" s="246">
        <f t="shared" si="17"/>
        <v>115.93694157223386</v>
      </c>
      <c r="I290" s="246">
        <f t="shared" si="18"/>
        <v>120.565668408269</v>
      </c>
      <c r="J290" s="246">
        <f t="shared" si="19"/>
        <v>125.37919494517678</v>
      </c>
      <c r="K290" s="246">
        <f t="shared" si="20"/>
        <v>130.3848992224596</v>
      </c>
      <c r="L290" s="246">
        <f t="shared" si="21"/>
        <v>135.59045384431167</v>
      </c>
      <c r="M290" s="246">
        <f t="shared" si="22"/>
        <v>141.00383773997297</v>
      </c>
      <c r="N290" s="246">
        <f t="shared" si="23"/>
        <v>146.6333483936098</v>
      </c>
      <c r="O290" s="246">
        <f t="shared" si="24"/>
        <v>152.48761456246777</v>
      </c>
      <c r="P290" s="246">
        <f t="shared" si="25"/>
        <v>158.57560950279083</v>
      </c>
      <c r="Q290" s="247">
        <f t="shared" si="26"/>
        <v>164.90666472377822</v>
      </c>
    </row>
    <row r="291" spans="2:17" ht="15.75" customHeight="1">
      <c r="B291" s="242">
        <f t="shared" si="16"/>
        <v>4</v>
      </c>
      <c r="C291" s="243"/>
      <c r="D291" s="244">
        <v>99.06</v>
      </c>
      <c r="E291" s="245">
        <v>101.56</v>
      </c>
      <c r="F291" s="244">
        <v>106.24</v>
      </c>
      <c r="G291" s="244">
        <v>111.75</v>
      </c>
      <c r="H291" s="246">
        <f t="shared" si="17"/>
        <v>116.21156520011914</v>
      </c>
      <c r="I291" s="246">
        <f t="shared" si="18"/>
        <v>120.85125625289973</v>
      </c>
      <c r="J291" s="246">
        <f t="shared" si="19"/>
        <v>125.67618474765253</v>
      </c>
      <c r="K291" s="246">
        <f t="shared" si="20"/>
        <v>130.6937462004836</v>
      </c>
      <c r="L291" s="246">
        <f t="shared" si="21"/>
        <v>135.9116313899358</v>
      </c>
      <c r="M291" s="246">
        <f t="shared" si="22"/>
        <v>141.33783814519992</v>
      </c>
      <c r="N291" s="246">
        <f t="shared" si="23"/>
        <v>146.98068360496458</v>
      </c>
      <c r="O291" s="246">
        <f t="shared" si="24"/>
        <v>152.8488169656951</v>
      </c>
      <c r="P291" s="246">
        <f t="shared" si="25"/>
        <v>158.95123273888115</v>
      </c>
      <c r="Q291" s="247">
        <f t="shared" si="26"/>
        <v>165.2972845375732</v>
      </c>
    </row>
    <row r="292" spans="2:17" ht="15.75" customHeight="1">
      <c r="B292" s="242">
        <f t="shared" si="16"/>
        <v>5</v>
      </c>
      <c r="C292" s="244">
        <v>94.78</v>
      </c>
      <c r="D292" s="244">
        <v>99.25</v>
      </c>
      <c r="E292" s="245">
        <v>101.92</v>
      </c>
      <c r="F292" s="244">
        <v>106.66</v>
      </c>
      <c r="G292" s="246">
        <f aca="true" t="shared" si="27" ref="G292:G299">G291*$E292/$E291</f>
        <v>112.1461205198897</v>
      </c>
      <c r="H292" s="246">
        <f t="shared" si="17"/>
        <v>116.62350064194705</v>
      </c>
      <c r="I292" s="246">
        <f t="shared" si="18"/>
        <v>121.2796380198458</v>
      </c>
      <c r="J292" s="246">
        <f t="shared" si="19"/>
        <v>126.12166945136615</v>
      </c>
      <c r="K292" s="246">
        <f t="shared" si="20"/>
        <v>131.15701666751957</v>
      </c>
      <c r="L292" s="246">
        <f t="shared" si="21"/>
        <v>136.39339770837196</v>
      </c>
      <c r="M292" s="246">
        <f t="shared" si="22"/>
        <v>141.83883875304033</v>
      </c>
      <c r="N292" s="246">
        <f t="shared" si="23"/>
        <v>147.50168642199674</v>
      </c>
      <c r="O292" s="246">
        <f t="shared" si="24"/>
        <v>153.3906205705361</v>
      </c>
      <c r="P292" s="246">
        <f t="shared" si="25"/>
        <v>159.5146675930166</v>
      </c>
      <c r="Q292" s="247">
        <f t="shared" si="26"/>
        <v>165.8832142582657</v>
      </c>
    </row>
    <row r="293" spans="2:17" ht="15.75" customHeight="1">
      <c r="B293" s="242">
        <f t="shared" si="16"/>
        <v>6</v>
      </c>
      <c r="C293" s="244">
        <v>95.15</v>
      </c>
      <c r="D293" s="244">
        <v>99.44</v>
      </c>
      <c r="E293" s="245">
        <v>102.28</v>
      </c>
      <c r="F293" s="244">
        <v>107.19</v>
      </c>
      <c r="G293" s="246">
        <f t="shared" si="27"/>
        <v>112.54224103977943</v>
      </c>
      <c r="H293" s="246">
        <f t="shared" si="17"/>
        <v>117.03543608377495</v>
      </c>
      <c r="I293" s="246">
        <f t="shared" si="18"/>
        <v>121.7080197867919</v>
      </c>
      <c r="J293" s="246">
        <f t="shared" si="19"/>
        <v>126.56715415507976</v>
      </c>
      <c r="K293" s="246">
        <f t="shared" si="20"/>
        <v>131.62028713455555</v>
      </c>
      <c r="L293" s="246">
        <f t="shared" si="21"/>
        <v>136.87516402680814</v>
      </c>
      <c r="M293" s="246">
        <f t="shared" si="22"/>
        <v>142.33983936088075</v>
      </c>
      <c r="N293" s="246">
        <f t="shared" si="23"/>
        <v>148.02268923902892</v>
      </c>
      <c r="O293" s="246">
        <f t="shared" si="24"/>
        <v>153.93242417537707</v>
      </c>
      <c r="P293" s="246">
        <f t="shared" si="25"/>
        <v>160.07810244715208</v>
      </c>
      <c r="Q293" s="247">
        <f t="shared" si="26"/>
        <v>166.46914397895816</v>
      </c>
    </row>
    <row r="294" spans="2:17" ht="15.75" customHeight="1">
      <c r="B294" s="242">
        <f t="shared" si="16"/>
        <v>7</v>
      </c>
      <c r="C294" s="244">
        <v>95.51</v>
      </c>
      <c r="D294" s="244">
        <v>99.68</v>
      </c>
      <c r="E294" s="245">
        <v>102.73</v>
      </c>
      <c r="F294" s="244">
        <v>107.61</v>
      </c>
      <c r="G294" s="246">
        <f t="shared" si="27"/>
        <v>113.03739168964158</v>
      </c>
      <c r="H294" s="246">
        <f t="shared" si="17"/>
        <v>117.55035538605985</v>
      </c>
      <c r="I294" s="246">
        <f t="shared" si="18"/>
        <v>122.2434969954745</v>
      </c>
      <c r="J294" s="246">
        <f t="shared" si="19"/>
        <v>127.12401003472179</v>
      </c>
      <c r="K294" s="246">
        <f t="shared" si="20"/>
        <v>132.19937521835053</v>
      </c>
      <c r="L294" s="246">
        <f t="shared" si="21"/>
        <v>137.47737192485334</v>
      </c>
      <c r="M294" s="246">
        <f t="shared" si="22"/>
        <v>142.96609012068126</v>
      </c>
      <c r="N294" s="246">
        <f t="shared" si="23"/>
        <v>148.67394276031914</v>
      </c>
      <c r="O294" s="246">
        <f t="shared" si="24"/>
        <v>154.6096786814283</v>
      </c>
      <c r="P294" s="246">
        <f t="shared" si="25"/>
        <v>160.78239601482142</v>
      </c>
      <c r="Q294" s="247">
        <f t="shared" si="26"/>
        <v>167.20155612982373</v>
      </c>
    </row>
    <row r="295" spans="2:17" ht="15.75" customHeight="1">
      <c r="B295" s="242">
        <f t="shared" si="16"/>
        <v>8</v>
      </c>
      <c r="C295" s="244">
        <v>95.57</v>
      </c>
      <c r="D295" s="244">
        <v>99.88</v>
      </c>
      <c r="E295" s="245">
        <v>103.09</v>
      </c>
      <c r="F295" s="244">
        <v>108.04</v>
      </c>
      <c r="G295" s="246">
        <f t="shared" si="27"/>
        <v>113.4335122095313</v>
      </c>
      <c r="H295" s="246">
        <f t="shared" si="17"/>
        <v>117.96229082788777</v>
      </c>
      <c r="I295" s="246">
        <f t="shared" si="18"/>
        <v>122.67187876242059</v>
      </c>
      <c r="J295" s="246">
        <f t="shared" si="19"/>
        <v>127.5694947384354</v>
      </c>
      <c r="K295" s="246">
        <f t="shared" si="20"/>
        <v>132.6626456853865</v>
      </c>
      <c r="L295" s="246">
        <f t="shared" si="21"/>
        <v>137.95913824328952</v>
      </c>
      <c r="M295" s="246">
        <f t="shared" si="22"/>
        <v>143.46709072852167</v>
      </c>
      <c r="N295" s="246">
        <f t="shared" si="23"/>
        <v>149.1949455773513</v>
      </c>
      <c r="O295" s="246">
        <f t="shared" si="24"/>
        <v>155.1514822862693</v>
      </c>
      <c r="P295" s="246">
        <f t="shared" si="25"/>
        <v>161.34583086895688</v>
      </c>
      <c r="Q295" s="247">
        <f t="shared" si="26"/>
        <v>167.7874858505162</v>
      </c>
    </row>
    <row r="296" spans="2:17" ht="15.75" customHeight="1">
      <c r="B296" s="242">
        <f t="shared" si="16"/>
        <v>9</v>
      </c>
      <c r="C296" s="244">
        <v>96.33</v>
      </c>
      <c r="D296" s="244">
        <v>100.07</v>
      </c>
      <c r="E296" s="245">
        <v>103.54</v>
      </c>
      <c r="F296" s="244">
        <v>108.57</v>
      </c>
      <c r="G296" s="246">
        <f t="shared" si="27"/>
        <v>113.92866285939344</v>
      </c>
      <c r="H296" s="246">
        <f t="shared" si="17"/>
        <v>118.47721013017267</v>
      </c>
      <c r="I296" s="246">
        <f t="shared" si="18"/>
        <v>123.2073559711032</v>
      </c>
      <c r="J296" s="246">
        <f t="shared" si="19"/>
        <v>128.12635061807742</v>
      </c>
      <c r="K296" s="246">
        <f t="shared" si="20"/>
        <v>133.24173376918148</v>
      </c>
      <c r="L296" s="246">
        <f t="shared" si="21"/>
        <v>138.56134614133472</v>
      </c>
      <c r="M296" s="246">
        <f t="shared" si="22"/>
        <v>144.09334148832218</v>
      </c>
      <c r="N296" s="246">
        <f t="shared" si="23"/>
        <v>149.8461990986415</v>
      </c>
      <c r="O296" s="246">
        <f t="shared" si="24"/>
        <v>155.82873679232054</v>
      </c>
      <c r="P296" s="246">
        <f t="shared" si="25"/>
        <v>162.05012443662622</v>
      </c>
      <c r="Q296" s="247">
        <f t="shared" si="26"/>
        <v>168.51989800138176</v>
      </c>
    </row>
    <row r="297" spans="2:17" ht="15.75" customHeight="1">
      <c r="B297" s="242">
        <f t="shared" si="16"/>
        <v>10</v>
      </c>
      <c r="C297" s="244">
        <v>96.79</v>
      </c>
      <c r="D297" s="244">
        <v>100.31</v>
      </c>
      <c r="E297" s="245">
        <v>103.9</v>
      </c>
      <c r="F297" s="244">
        <v>108.99</v>
      </c>
      <c r="G297" s="246">
        <f t="shared" si="27"/>
        <v>114.32478337928316</v>
      </c>
      <c r="H297" s="246">
        <f t="shared" si="17"/>
        <v>118.88914557200057</v>
      </c>
      <c r="I297" s="246">
        <f t="shared" si="18"/>
        <v>123.63573773804927</v>
      </c>
      <c r="J297" s="246">
        <f t="shared" si="19"/>
        <v>128.57183532179104</v>
      </c>
      <c r="K297" s="246">
        <f t="shared" si="20"/>
        <v>133.70500423621746</v>
      </c>
      <c r="L297" s="246">
        <f t="shared" si="21"/>
        <v>139.0431124597709</v>
      </c>
      <c r="M297" s="246">
        <f t="shared" si="22"/>
        <v>144.5943420961626</v>
      </c>
      <c r="N297" s="246">
        <f t="shared" si="23"/>
        <v>150.3672019156737</v>
      </c>
      <c r="O297" s="246">
        <f t="shared" si="24"/>
        <v>156.37054039716153</v>
      </c>
      <c r="P297" s="246">
        <f t="shared" si="25"/>
        <v>162.61355929076166</v>
      </c>
      <c r="Q297" s="247">
        <f t="shared" si="26"/>
        <v>169.10582772207422</v>
      </c>
    </row>
    <row r="298" spans="2:17" ht="15.75" customHeight="1">
      <c r="B298" s="242">
        <f t="shared" si="16"/>
        <v>11</v>
      </c>
      <c r="C298" s="244">
        <v>97.15</v>
      </c>
      <c r="D298" s="244">
        <v>100.5</v>
      </c>
      <c r="E298" s="245">
        <v>104.26</v>
      </c>
      <c r="F298" s="244">
        <v>109.52</v>
      </c>
      <c r="G298" s="246">
        <f t="shared" si="27"/>
        <v>114.72090389917288</v>
      </c>
      <c r="H298" s="246">
        <f t="shared" si="17"/>
        <v>119.30108101382848</v>
      </c>
      <c r="I298" s="246">
        <f t="shared" si="18"/>
        <v>124.06411950499535</v>
      </c>
      <c r="J298" s="246">
        <f t="shared" si="19"/>
        <v>129.01732002550466</v>
      </c>
      <c r="K298" s="246">
        <f t="shared" si="20"/>
        <v>134.16827470325345</v>
      </c>
      <c r="L298" s="246">
        <f t="shared" si="21"/>
        <v>139.52487877820707</v>
      </c>
      <c r="M298" s="246">
        <f t="shared" si="22"/>
        <v>145.095342704003</v>
      </c>
      <c r="N298" s="246">
        <f t="shared" si="23"/>
        <v>150.88820473270587</v>
      </c>
      <c r="O298" s="246">
        <f t="shared" si="24"/>
        <v>156.91234400200253</v>
      </c>
      <c r="P298" s="246">
        <f t="shared" si="25"/>
        <v>163.17699414489712</v>
      </c>
      <c r="Q298" s="247">
        <f t="shared" si="26"/>
        <v>169.6917574427667</v>
      </c>
    </row>
    <row r="299" spans="2:17" ht="15.75" customHeight="1">
      <c r="B299" s="248">
        <f t="shared" si="16"/>
        <v>12</v>
      </c>
      <c r="C299" s="249">
        <v>97.51</v>
      </c>
      <c r="D299" s="249">
        <v>100.69</v>
      </c>
      <c r="E299" s="250">
        <v>104.71</v>
      </c>
      <c r="F299" s="249">
        <v>109.95</v>
      </c>
      <c r="G299" s="251">
        <f t="shared" si="27"/>
        <v>115.21605454903502</v>
      </c>
      <c r="H299" s="251">
        <f t="shared" si="17"/>
        <v>119.81600031611336</v>
      </c>
      <c r="I299" s="251">
        <f t="shared" si="18"/>
        <v>124.59959671367794</v>
      </c>
      <c r="J299" s="251">
        <f t="shared" si="19"/>
        <v>129.57417590514666</v>
      </c>
      <c r="K299" s="251">
        <f t="shared" si="20"/>
        <v>134.7473627870484</v>
      </c>
      <c r="L299" s="251">
        <f t="shared" si="21"/>
        <v>140.12708667625225</v>
      </c>
      <c r="M299" s="251">
        <f t="shared" si="22"/>
        <v>145.72159346380352</v>
      </c>
      <c r="N299" s="251">
        <f t="shared" si="23"/>
        <v>151.53945825399606</v>
      </c>
      <c r="O299" s="251">
        <f t="shared" si="24"/>
        <v>157.58959850805377</v>
      </c>
      <c r="P299" s="251">
        <f t="shared" si="25"/>
        <v>163.88128771256643</v>
      </c>
      <c r="Q299" s="252">
        <f t="shared" si="26"/>
        <v>170.42416959363223</v>
      </c>
    </row>
    <row r="301" spans="8:9" ht="12.75">
      <c r="H301" s="5"/>
      <c r="I301" s="5"/>
    </row>
    <row r="302" ht="12.75">
      <c r="F302" s="5"/>
    </row>
    <row r="307" ht="12.75">
      <c r="D307" s="253"/>
    </row>
  </sheetData>
  <sheetProtection/>
  <mergeCells count="168">
    <mergeCell ref="O44:Q48"/>
    <mergeCell ref="G280:Q280"/>
    <mergeCell ref="G281:Q281"/>
    <mergeCell ref="G284:Q284"/>
    <mergeCell ref="G262:Q262"/>
    <mergeCell ref="G263:Q263"/>
    <mergeCell ref="G264:Q264"/>
    <mergeCell ref="G265:Q265"/>
    <mergeCell ref="G153:Q153"/>
    <mergeCell ref="G266:Q266"/>
    <mergeCell ref="B286:Q286"/>
    <mergeCell ref="B271:C271"/>
    <mergeCell ref="G272:Q272"/>
    <mergeCell ref="G273:Q273"/>
    <mergeCell ref="G274:Q274"/>
    <mergeCell ref="G275:Q275"/>
    <mergeCell ref="G277:Q277"/>
    <mergeCell ref="B270:Q270"/>
    <mergeCell ref="G254:Q254"/>
    <mergeCell ref="G255:Q255"/>
    <mergeCell ref="B258:Q258"/>
    <mergeCell ref="B259:C259"/>
    <mergeCell ref="G260:Q260"/>
    <mergeCell ref="G261:Q261"/>
    <mergeCell ref="G246:Q246"/>
    <mergeCell ref="G247:Q247"/>
    <mergeCell ref="G248:Q248"/>
    <mergeCell ref="G249:Q249"/>
    <mergeCell ref="B252:Q252"/>
    <mergeCell ref="B253:C253"/>
    <mergeCell ref="G236:Q236"/>
    <mergeCell ref="B239:Q239"/>
    <mergeCell ref="B240:C240"/>
    <mergeCell ref="G241:Q241"/>
    <mergeCell ref="B244:Q244"/>
    <mergeCell ref="B245:C245"/>
    <mergeCell ref="G230:Q230"/>
    <mergeCell ref="G231:Q231"/>
    <mergeCell ref="G232:Q232"/>
    <mergeCell ref="G233:Q233"/>
    <mergeCell ref="G234:Q234"/>
    <mergeCell ref="G235:Q235"/>
    <mergeCell ref="G224:Q224"/>
    <mergeCell ref="G225:Q225"/>
    <mergeCell ref="G226:Q226"/>
    <mergeCell ref="G227:Q227"/>
    <mergeCell ref="G228:Q228"/>
    <mergeCell ref="G229:Q229"/>
    <mergeCell ref="G218:Q218"/>
    <mergeCell ref="G219:Q219"/>
    <mergeCell ref="G220:Q220"/>
    <mergeCell ref="G221:Q221"/>
    <mergeCell ref="G222:Q222"/>
    <mergeCell ref="G223:Q223"/>
    <mergeCell ref="G212:Q212"/>
    <mergeCell ref="G213:Q213"/>
    <mergeCell ref="G214:Q214"/>
    <mergeCell ref="G215:Q215"/>
    <mergeCell ref="G216:Q216"/>
    <mergeCell ref="G217:Q217"/>
    <mergeCell ref="G203:Q203"/>
    <mergeCell ref="G204:Q204"/>
    <mergeCell ref="G205:Q205"/>
    <mergeCell ref="B209:Q209"/>
    <mergeCell ref="B210:C210"/>
    <mergeCell ref="G211:Q211"/>
    <mergeCell ref="G197:Q197"/>
    <mergeCell ref="G198:Q198"/>
    <mergeCell ref="G199:Q199"/>
    <mergeCell ref="G200:Q200"/>
    <mergeCell ref="G201:Q201"/>
    <mergeCell ref="G202:Q202"/>
    <mergeCell ref="G190:Q190"/>
    <mergeCell ref="G191:Q191"/>
    <mergeCell ref="G193:Q193"/>
    <mergeCell ref="G194:Q194"/>
    <mergeCell ref="G195:Q195"/>
    <mergeCell ref="G196:Q196"/>
    <mergeCell ref="B184:Q184"/>
    <mergeCell ref="B185:C185"/>
    <mergeCell ref="G186:Q186"/>
    <mergeCell ref="G187:Q187"/>
    <mergeCell ref="G188:Q188"/>
    <mergeCell ref="G189:Q189"/>
    <mergeCell ref="G175:Q175"/>
    <mergeCell ref="G176:Q176"/>
    <mergeCell ref="G177:Q177"/>
    <mergeCell ref="G178:Q178"/>
    <mergeCell ref="G179:Q179"/>
    <mergeCell ref="G180:Q180"/>
    <mergeCell ref="G169:Q169"/>
    <mergeCell ref="G170:Q170"/>
    <mergeCell ref="G171:Q171"/>
    <mergeCell ref="G172:Q172"/>
    <mergeCell ref="G173:Q173"/>
    <mergeCell ref="G174:Q174"/>
    <mergeCell ref="G159:Q159"/>
    <mergeCell ref="G160:Q160"/>
    <mergeCell ref="B164:Q164"/>
    <mergeCell ref="B165:C165"/>
    <mergeCell ref="G166:Q166"/>
    <mergeCell ref="G168:Q168"/>
    <mergeCell ref="G152:Q152"/>
    <mergeCell ref="G154:Q154"/>
    <mergeCell ref="G155:Q155"/>
    <mergeCell ref="G156:Q156"/>
    <mergeCell ref="G157:Q157"/>
    <mergeCell ref="G158:Q158"/>
    <mergeCell ref="G146:Q146"/>
    <mergeCell ref="G147:Q147"/>
    <mergeCell ref="G148:Q148"/>
    <mergeCell ref="G149:Q149"/>
    <mergeCell ref="G150:Q150"/>
    <mergeCell ref="G151:Q151"/>
    <mergeCell ref="G137:Q137"/>
    <mergeCell ref="G138:Q138"/>
    <mergeCell ref="G139:Q139"/>
    <mergeCell ref="G140:Q140"/>
    <mergeCell ref="B144:Q144"/>
    <mergeCell ref="B145:C145"/>
    <mergeCell ref="G128:Q128"/>
    <mergeCell ref="G129:Q129"/>
    <mergeCell ref="B133:Q133"/>
    <mergeCell ref="B134:C134"/>
    <mergeCell ref="G135:Q135"/>
    <mergeCell ref="G136:Q136"/>
    <mergeCell ref="G122:Q122"/>
    <mergeCell ref="G123:Q123"/>
    <mergeCell ref="G124:Q124"/>
    <mergeCell ref="G125:Q125"/>
    <mergeCell ref="G126:Q126"/>
    <mergeCell ref="G127:Q127"/>
    <mergeCell ref="B116:Q116"/>
    <mergeCell ref="B117:C117"/>
    <mergeCell ref="G118:Q118"/>
    <mergeCell ref="G119:Q119"/>
    <mergeCell ref="G120:Q120"/>
    <mergeCell ref="G121:Q121"/>
    <mergeCell ref="G75:Q76"/>
    <mergeCell ref="G77:Q77"/>
    <mergeCell ref="G78:Q78"/>
    <mergeCell ref="G79:Q79"/>
    <mergeCell ref="G80:Q80"/>
    <mergeCell ref="G81:Q81"/>
    <mergeCell ref="G69:Q69"/>
    <mergeCell ref="G70:Q70"/>
    <mergeCell ref="G71:Q71"/>
    <mergeCell ref="G72:Q72"/>
    <mergeCell ref="G73:Q73"/>
    <mergeCell ref="G74:Q74"/>
    <mergeCell ref="B22:Q22"/>
    <mergeCell ref="D58:F58"/>
    <mergeCell ref="B65:Q65"/>
    <mergeCell ref="G67:Q67"/>
    <mergeCell ref="G68:Q68"/>
    <mergeCell ref="B3:Q3"/>
    <mergeCell ref="B6:Q6"/>
    <mergeCell ref="F7:Q7"/>
    <mergeCell ref="F9:Q9"/>
    <mergeCell ref="F10:Q10"/>
    <mergeCell ref="F17:Q17"/>
    <mergeCell ref="F11:Q11"/>
    <mergeCell ref="F12:Q12"/>
    <mergeCell ref="F13:Q13"/>
    <mergeCell ref="F14:Q14"/>
    <mergeCell ref="F8:Q8"/>
    <mergeCell ref="F15:Q15"/>
    <mergeCell ref="F16:Q16"/>
  </mergeCells>
  <hyperlinks>
    <hyperlink ref="O43" r:id="rId1" display="http://www.williamburrows.com/charts/chart100k.aspx"/>
    <hyperlink ref="D48" r:id="rId2" display="http://www.moneymadeclear.org.uk/tables/"/>
    <hyperlink ref="D58" r:id="rId3" display="http://www.williamburrows.com/charts/chart100k.aspx"/>
    <hyperlink ref="G75" r:id="rId4" display="http://www.theemploymentlawsolicitors.co.uk/unfairdismissalclaims.php"/>
  </hyperlinks>
  <printOptions horizontalCentered="1" verticalCentered="1"/>
  <pageMargins left="0.3541666666666667" right="0.3541666666666667" top="0.39375" bottom="0.39375" header="0.5118055555555555" footer="0.5118055555555555"/>
  <pageSetup fitToHeight="1" fitToWidth="1" horizontalDpi="300" verticalDpi="300" orientation="landscape" paperSize="9" r:id="rId8"/>
  <drawing r:id="rId7"/>
  <legacyDrawing r:id="rId6"/>
</worksheet>
</file>

<file path=xl/worksheets/sheet3.xml><?xml version="1.0" encoding="utf-8"?>
<worksheet xmlns="http://schemas.openxmlformats.org/spreadsheetml/2006/main" xmlns:r="http://schemas.openxmlformats.org/officeDocument/2006/relationships">
  <sheetPr codeName="Sheet6">
    <pageSetUpPr fitToPage="1"/>
  </sheetPr>
  <dimension ref="B3:Q81"/>
  <sheetViews>
    <sheetView showGridLines="0" zoomScale="80" zoomScaleNormal="80" zoomScalePageLayoutView="0" workbookViewId="0" topLeftCell="A10">
      <selection activeCell="E28" sqref="E28"/>
    </sheetView>
  </sheetViews>
  <sheetFormatPr defaultColWidth="9.140625" defaultRowHeight="12.75"/>
  <cols>
    <col min="1" max="1" width="3.28125" style="0" customWidth="1"/>
    <col min="2" max="2" width="13.140625" style="0" customWidth="1"/>
    <col min="3" max="3" width="56.7109375" style="0" customWidth="1"/>
    <col min="4" max="4" width="10.28125" style="0" customWidth="1"/>
    <col min="5" max="5" width="21.00390625" style="0" customWidth="1"/>
    <col min="6" max="6" width="19.00390625" style="0" customWidth="1"/>
    <col min="7" max="7" width="9.8515625" style="0" customWidth="1"/>
    <col min="8" max="8" width="5.28125" style="0" customWidth="1"/>
    <col min="9" max="9" width="8.8515625" style="0" customWidth="1"/>
    <col min="12" max="12" width="4.140625" style="0" customWidth="1"/>
    <col min="13" max="13" width="11.00390625" style="0" customWidth="1"/>
    <col min="14" max="14" width="8.7109375" style="0" customWidth="1"/>
    <col min="15" max="15" width="8.00390625" style="0" customWidth="1"/>
    <col min="16" max="17" width="8.28125" style="0" customWidth="1"/>
  </cols>
  <sheetData>
    <row r="3" spans="2:17" s="4" customFormat="1" ht="25.5">
      <c r="B3" s="461" t="s">
        <v>77</v>
      </c>
      <c r="C3" s="461"/>
      <c r="D3" s="461"/>
      <c r="E3" s="461"/>
      <c r="F3" s="461"/>
      <c r="G3" s="461"/>
      <c r="H3" s="461"/>
      <c r="I3" s="461"/>
      <c r="J3" s="461"/>
      <c r="K3" s="461"/>
      <c r="L3" s="461"/>
      <c r="M3" s="461"/>
      <c r="N3" s="461"/>
      <c r="O3" s="461"/>
      <c r="P3" s="461"/>
      <c r="Q3" s="461"/>
    </row>
    <row r="6" spans="2:17" s="4" customFormat="1" ht="20.25">
      <c r="B6" s="462" t="s">
        <v>242</v>
      </c>
      <c r="C6" s="462"/>
      <c r="D6" s="462"/>
      <c r="E6" s="462"/>
      <c r="F6" s="462"/>
      <c r="G6" s="462"/>
      <c r="H6" s="462"/>
      <c r="I6" s="462"/>
      <c r="J6" s="462"/>
      <c r="K6" s="462"/>
      <c r="L6" s="462"/>
      <c r="M6" s="462"/>
      <c r="N6" s="462"/>
      <c r="O6" s="462"/>
      <c r="P6" s="462"/>
      <c r="Q6" s="462"/>
    </row>
    <row r="7" spans="2:17" s="4" customFormat="1" ht="12.75" customHeight="1">
      <c r="B7" s="506" t="s">
        <v>243</v>
      </c>
      <c r="C7" s="506"/>
      <c r="D7" s="9" t="s">
        <v>4</v>
      </c>
      <c r="E7" s="10" t="s">
        <v>5</v>
      </c>
      <c r="F7" s="10" t="s">
        <v>114</v>
      </c>
      <c r="G7" s="114" t="s">
        <v>115</v>
      </c>
      <c r="H7" s="115"/>
      <c r="I7" s="115"/>
      <c r="J7" s="115"/>
      <c r="K7" s="184"/>
      <c r="L7" s="185"/>
      <c r="M7" s="186"/>
      <c r="N7" s="186"/>
      <c r="O7" s="184"/>
      <c r="P7" s="115"/>
      <c r="Q7" s="116"/>
    </row>
    <row r="8" spans="2:17" s="4" customFormat="1" ht="12.75" customHeight="1">
      <c r="B8" s="11"/>
      <c r="C8" s="14" t="s">
        <v>113</v>
      </c>
      <c r="D8" s="15" t="s">
        <v>244</v>
      </c>
      <c r="E8" s="153">
        <f>Losses!E81</f>
        <v>9690</v>
      </c>
      <c r="F8" s="156" t="str">
        <f>Losses!D81</f>
        <v>ko</v>
      </c>
      <c r="G8" s="471" t="s">
        <v>113</v>
      </c>
      <c r="H8" s="471"/>
      <c r="I8" s="471"/>
      <c r="J8" s="471"/>
      <c r="K8" s="471"/>
      <c r="L8" s="471"/>
      <c r="M8" s="471"/>
      <c r="N8" s="471"/>
      <c r="O8" s="471"/>
      <c r="P8" s="471"/>
      <c r="Q8" s="471"/>
    </row>
    <row r="9" spans="2:17" s="4" customFormat="1" ht="27.75" customHeight="1">
      <c r="B9" s="11"/>
      <c r="C9" s="14" t="s">
        <v>245</v>
      </c>
      <c r="D9" s="15" t="str">
        <f>GETNEXTREF(D8)</f>
        <v>wb</v>
      </c>
      <c r="E9" s="153" t="e">
        <f>-Losses!E129-Losses!E160</f>
        <v>#NAME?</v>
      </c>
      <c r="F9" s="156" t="str">
        <f>"- ("&amp;Losses!D129&amp;" + "&amp;Losses!D160&amp;")"</f>
        <v>- (ll + no)</v>
      </c>
      <c r="G9" s="471" t="s">
        <v>246</v>
      </c>
      <c r="H9" s="471"/>
      <c r="I9" s="471"/>
      <c r="J9" s="471"/>
      <c r="K9" s="471"/>
      <c r="L9" s="471"/>
      <c r="M9" s="471"/>
      <c r="N9" s="471"/>
      <c r="O9" s="471"/>
      <c r="P9" s="471"/>
      <c r="Q9" s="471"/>
    </row>
    <row r="10" spans="2:17" s="4" customFormat="1" ht="27" customHeight="1">
      <c r="B10" s="11"/>
      <c r="C10" s="14" t="s">
        <v>247</v>
      </c>
      <c r="D10" s="15" t="str">
        <f>getnextref(D9)</f>
        <v>wc</v>
      </c>
      <c r="E10" s="153" t="e">
        <f>-Losses!E180</f>
        <v>#NAME?</v>
      </c>
      <c r="F10" s="156" t="str">
        <f>"-"&amp;Losses!D180</f>
        <v>-oo</v>
      </c>
      <c r="G10" s="471" t="s">
        <v>246</v>
      </c>
      <c r="H10" s="471"/>
      <c r="I10" s="471"/>
      <c r="J10" s="471"/>
      <c r="K10" s="471"/>
      <c r="L10" s="471"/>
      <c r="M10" s="471"/>
      <c r="N10" s="471"/>
      <c r="O10" s="471"/>
      <c r="P10" s="471"/>
      <c r="Q10" s="471"/>
    </row>
    <row r="11" spans="2:17" s="4" customFormat="1" ht="15" customHeight="1">
      <c r="B11" s="11"/>
      <c r="C11" s="14" t="s">
        <v>248</v>
      </c>
      <c r="D11" s="15" t="str">
        <f>GETNEXTREF(D10)</f>
        <v>wd</v>
      </c>
      <c r="E11" s="153">
        <f>-Losses!E202-IF(ISNUMBER(Losses!E284),Losses!E284,0)</f>
        <v>391230.56387181283</v>
      </c>
      <c r="F11" s="156" t="str">
        <f>"-"&amp;Losses!D202&amp;" - "&amp;Losses!D284</f>
        <v>-pq - vm</v>
      </c>
      <c r="G11" s="471" t="s">
        <v>249</v>
      </c>
      <c r="H11" s="471"/>
      <c r="I11" s="471"/>
      <c r="J11" s="471"/>
      <c r="K11" s="471"/>
      <c r="L11" s="471"/>
      <c r="M11" s="471"/>
      <c r="N11" s="471"/>
      <c r="O11" s="471"/>
      <c r="P11" s="471"/>
      <c r="Q11" s="471"/>
    </row>
    <row r="12" spans="2:17" s="4" customFormat="1" ht="15.75" customHeight="1">
      <c r="B12" s="11"/>
      <c r="C12" s="14" t="s">
        <v>250</v>
      </c>
      <c r="D12" s="15" t="str">
        <f>GETNEXTREF(D11)</f>
        <v>we</v>
      </c>
      <c r="E12" s="153">
        <f>Losses!E241</f>
        <v>300</v>
      </c>
      <c r="F12" s="156" t="str">
        <f>Losses!D241</f>
        <v>ra</v>
      </c>
      <c r="G12" s="471" t="s">
        <v>246</v>
      </c>
      <c r="H12" s="471"/>
      <c r="I12" s="471"/>
      <c r="J12" s="471"/>
      <c r="K12" s="471"/>
      <c r="L12" s="471"/>
      <c r="M12" s="471"/>
      <c r="N12" s="471"/>
      <c r="O12" s="471"/>
      <c r="P12" s="471"/>
      <c r="Q12" s="471"/>
    </row>
    <row r="13" spans="2:17" s="4" customFormat="1" ht="15" customHeight="1">
      <c r="B13" s="11"/>
      <c r="C13" s="18" t="s">
        <v>251</v>
      </c>
      <c r="D13" s="15" t="str">
        <f>GETNEXTREF(D12)</f>
        <v>wf</v>
      </c>
      <c r="E13" s="153">
        <f>Losses!E254</f>
        <v>100</v>
      </c>
      <c r="F13" s="156" t="str">
        <f>Losses!D254</f>
        <v>ta</v>
      </c>
      <c r="G13" s="471" t="s">
        <v>246</v>
      </c>
      <c r="H13" s="471"/>
      <c r="I13" s="471"/>
      <c r="J13" s="471"/>
      <c r="K13" s="471"/>
      <c r="L13" s="471"/>
      <c r="M13" s="471"/>
      <c r="N13" s="471"/>
      <c r="O13" s="471"/>
      <c r="P13" s="471"/>
      <c r="Q13" s="471"/>
    </row>
    <row r="14" spans="2:17" s="4" customFormat="1" ht="15" customHeight="1">
      <c r="B14" s="11"/>
      <c r="C14" s="18" t="s">
        <v>252</v>
      </c>
      <c r="D14" s="15" t="str">
        <f>GETNEXTREF(D13)</f>
        <v>wg</v>
      </c>
      <c r="E14" s="153">
        <f>Losses!E255</f>
        <v>0</v>
      </c>
      <c r="F14" s="156" t="str">
        <f>Losses!D255</f>
        <v>tb</v>
      </c>
      <c r="G14" s="471" t="s">
        <v>246</v>
      </c>
      <c r="H14" s="471"/>
      <c r="I14" s="471"/>
      <c r="J14" s="471"/>
      <c r="K14" s="471"/>
      <c r="L14" s="471"/>
      <c r="M14" s="471"/>
      <c r="N14" s="471"/>
      <c r="O14" s="471"/>
      <c r="P14" s="471"/>
      <c r="Q14" s="471"/>
    </row>
    <row r="15" spans="2:17" s="4" customFormat="1" ht="15" customHeight="1">
      <c r="B15" s="11"/>
      <c r="C15" s="14" t="s">
        <v>253</v>
      </c>
      <c r="D15" s="15" t="str">
        <f>getnextref(D14)</f>
        <v>wh</v>
      </c>
      <c r="E15" s="153">
        <f>Losses!E266</f>
        <v>0</v>
      </c>
      <c r="F15" s="156" t="str">
        <f>Losses!D266</f>
        <v>ug</v>
      </c>
      <c r="G15" s="471" t="s">
        <v>246</v>
      </c>
      <c r="H15" s="471"/>
      <c r="I15" s="471"/>
      <c r="J15" s="471"/>
      <c r="K15" s="471"/>
      <c r="L15" s="471"/>
      <c r="M15" s="471"/>
      <c r="N15" s="471"/>
      <c r="O15" s="471"/>
      <c r="P15" s="471"/>
      <c r="Q15" s="471"/>
    </row>
    <row r="16" spans="2:17" s="4" customFormat="1" ht="15" customHeight="1">
      <c r="B16" s="11"/>
      <c r="C16" s="14" t="s">
        <v>254</v>
      </c>
      <c r="D16" s="15" t="str">
        <f>getnextref(D15)</f>
        <v>wi</v>
      </c>
      <c r="E16" s="153">
        <f>-Losses!E236</f>
        <v>0</v>
      </c>
      <c r="F16" s="156" t="str">
        <f>"-"&amp;Losses!D236</f>
        <v>-qz</v>
      </c>
      <c r="G16" s="471" t="s">
        <v>255</v>
      </c>
      <c r="H16" s="471"/>
      <c r="I16" s="471"/>
      <c r="J16" s="471"/>
      <c r="K16" s="471"/>
      <c r="L16" s="471"/>
      <c r="M16" s="471"/>
      <c r="N16" s="471"/>
      <c r="O16" s="471"/>
      <c r="P16" s="471"/>
      <c r="Q16" s="471"/>
    </row>
    <row r="17" spans="2:17" s="4" customFormat="1" ht="52.5" customHeight="1">
      <c r="B17" s="11"/>
      <c r="C17" s="131" t="s">
        <v>256</v>
      </c>
      <c r="D17" s="15" t="str">
        <f>getnextref(D16)</f>
        <v>wj</v>
      </c>
      <c r="E17" s="254" t="e">
        <f>E8+MAX(MIN(SUM(E9:E16),StatCap),0)</f>
        <v>#NAME?</v>
      </c>
      <c r="F17" s="255" t="str">
        <f>D8&amp;" + Max(Min("&amp;D9&amp;" + "&amp;D10&amp;" + "&amp;D11&amp;" + "&amp;D12&amp;" + "&amp;D13&amp;" + "&amp;D14&amp;" + "&amp;D15&amp;" + "&amp;D16&amp;", "&amp;StatCapRef&amp;"), 0)"</f>
        <v>wa + Max(Min(wb + wc + wd + we + wf + wg + wh + wi, ic), 0)</v>
      </c>
      <c r="G17" s="471" t="s">
        <v>257</v>
      </c>
      <c r="H17" s="471"/>
      <c r="I17" s="471"/>
      <c r="J17" s="471"/>
      <c r="K17" s="471"/>
      <c r="L17" s="471"/>
      <c r="M17" s="471"/>
      <c r="N17" s="471"/>
      <c r="O17" s="471"/>
      <c r="P17" s="471"/>
      <c r="Q17" s="471"/>
    </row>
    <row r="18" spans="2:17" s="4" customFormat="1" ht="12.75">
      <c r="B18" s="46"/>
      <c r="C18" s="54"/>
      <c r="D18" s="54"/>
      <c r="E18" s="54"/>
      <c r="F18" s="54"/>
      <c r="G18" s="256"/>
      <c r="H18" s="54"/>
      <c r="I18" s="54"/>
      <c r="J18" s="54"/>
      <c r="K18" s="257"/>
      <c r="L18" s="258"/>
      <c r="M18" s="259"/>
      <c r="N18" s="259"/>
      <c r="O18" s="257"/>
      <c r="P18" s="54"/>
      <c r="Q18" s="112"/>
    </row>
    <row r="19" spans="2:17" s="4" customFormat="1" ht="12.75">
      <c r="B19" s="29"/>
      <c r="C19" s="29"/>
      <c r="D19" s="29"/>
      <c r="E19" s="29"/>
      <c r="F19" s="29"/>
      <c r="G19" s="260"/>
      <c r="H19" s="29"/>
      <c r="I19" s="29"/>
      <c r="J19" s="29"/>
      <c r="K19" s="216"/>
      <c r="L19" s="217"/>
      <c r="M19" s="218"/>
      <c r="N19" s="218"/>
      <c r="O19" s="216"/>
      <c r="P19" s="29"/>
      <c r="Q19" s="29"/>
    </row>
    <row r="20" spans="2:17" s="4" customFormat="1" ht="12.75">
      <c r="B20" s="29"/>
      <c r="C20" s="29"/>
      <c r="D20" s="29"/>
      <c r="E20" s="29"/>
      <c r="F20" s="29"/>
      <c r="G20" s="260"/>
      <c r="H20" s="29"/>
      <c r="I20" s="29"/>
      <c r="J20" s="29"/>
      <c r="K20" s="216"/>
      <c r="L20" s="217"/>
      <c r="M20" s="218"/>
      <c r="N20" s="218"/>
      <c r="O20" s="216"/>
      <c r="P20" s="29"/>
      <c r="Q20" s="29"/>
    </row>
    <row r="21" spans="2:17" s="4" customFormat="1" ht="20.25">
      <c r="B21" s="462" t="s">
        <v>258</v>
      </c>
      <c r="C21" s="462"/>
      <c r="D21" s="462"/>
      <c r="E21" s="462"/>
      <c r="F21" s="462"/>
      <c r="G21" s="462"/>
      <c r="H21" s="462"/>
      <c r="I21" s="462"/>
      <c r="J21" s="462"/>
      <c r="K21" s="462"/>
      <c r="L21" s="462"/>
      <c r="M21" s="462"/>
      <c r="N21" s="462"/>
      <c r="O21" s="462"/>
      <c r="P21" s="462"/>
      <c r="Q21" s="462"/>
    </row>
    <row r="22" spans="2:17" s="4" customFormat="1" ht="12.75" customHeight="1">
      <c r="B22" s="506" t="s">
        <v>243</v>
      </c>
      <c r="C22" s="506"/>
      <c r="D22" s="9" t="s">
        <v>4</v>
      </c>
      <c r="E22" s="10" t="s">
        <v>5</v>
      </c>
      <c r="F22" s="10" t="s">
        <v>114</v>
      </c>
      <c r="G22" s="114" t="s">
        <v>115</v>
      </c>
      <c r="H22" s="115"/>
      <c r="I22" s="115"/>
      <c r="J22" s="115"/>
      <c r="K22" s="184"/>
      <c r="L22" s="185"/>
      <c r="M22" s="186"/>
      <c r="N22" s="186"/>
      <c r="O22" s="184"/>
      <c r="P22" s="115"/>
      <c r="Q22" s="116"/>
    </row>
    <row r="23" spans="2:17" s="4" customFormat="1" ht="27.75" customHeight="1">
      <c r="B23" s="11"/>
      <c r="C23" s="14" t="s">
        <v>245</v>
      </c>
      <c r="D23" s="202" t="s">
        <v>259</v>
      </c>
      <c r="E23" s="153" t="e">
        <f>-Losses!E129-Losses!E160</f>
        <v>#NAME?</v>
      </c>
      <c r="F23" s="215" t="str">
        <f>"- ("&amp;Losses!D129&amp;" + "&amp;Losses!D160&amp;")"</f>
        <v>- (ll + no)</v>
      </c>
      <c r="G23" s="471" t="s">
        <v>246</v>
      </c>
      <c r="H23" s="471"/>
      <c r="I23" s="471"/>
      <c r="J23" s="471"/>
      <c r="K23" s="471"/>
      <c r="L23" s="471"/>
      <c r="M23" s="471"/>
      <c r="N23" s="471"/>
      <c r="O23" s="471"/>
      <c r="P23" s="471"/>
      <c r="Q23" s="471"/>
    </row>
    <row r="24" spans="2:17" s="4" customFormat="1" ht="27" customHeight="1">
      <c r="B24" s="11"/>
      <c r="C24" s="14" t="s">
        <v>247</v>
      </c>
      <c r="D24" s="202" t="str">
        <f aca="true" t="shared" si="0" ref="D24:D29">GETNEXTREF(D23)</f>
        <v>xb</v>
      </c>
      <c r="E24" s="153" t="e">
        <f>-Losses!E180</f>
        <v>#NAME?</v>
      </c>
      <c r="F24" s="215" t="str">
        <f>"-"&amp;Losses!D180</f>
        <v>-oo</v>
      </c>
      <c r="G24" s="471" t="s">
        <v>246</v>
      </c>
      <c r="H24" s="471"/>
      <c r="I24" s="471"/>
      <c r="J24" s="471"/>
      <c r="K24" s="471"/>
      <c r="L24" s="471"/>
      <c r="M24" s="471"/>
      <c r="N24" s="471"/>
      <c r="O24" s="471"/>
      <c r="P24" s="471"/>
      <c r="Q24" s="471"/>
    </row>
    <row r="25" spans="2:17" s="4" customFormat="1" ht="18" customHeight="1">
      <c r="B25" s="11"/>
      <c r="C25" s="14" t="s">
        <v>248</v>
      </c>
      <c r="D25" s="202" t="str">
        <f t="shared" si="0"/>
        <v>xc</v>
      </c>
      <c r="E25" s="153">
        <f>-Losses!E205-IF(ISNUMBER(Losses!E284),Losses!E284,0)</f>
        <v>577956.941811363</v>
      </c>
      <c r="F25" s="215" t="str">
        <f>"-"&amp;Losses!D205&amp;" - "&amp;Losses!D284</f>
        <v>-pt - vm</v>
      </c>
      <c r="G25" s="471" t="s">
        <v>260</v>
      </c>
      <c r="H25" s="471"/>
      <c r="I25" s="471"/>
      <c r="J25" s="471"/>
      <c r="K25" s="471"/>
      <c r="L25" s="471"/>
      <c r="M25" s="471"/>
      <c r="N25" s="471"/>
      <c r="O25" s="471"/>
      <c r="P25" s="471"/>
      <c r="Q25" s="471"/>
    </row>
    <row r="26" spans="2:17" s="4" customFormat="1" ht="15.75" customHeight="1">
      <c r="B26" s="11"/>
      <c r="C26" s="14" t="s">
        <v>250</v>
      </c>
      <c r="D26" s="202" t="str">
        <f t="shared" si="0"/>
        <v>xd</v>
      </c>
      <c r="E26" s="153">
        <f>Losses!E241</f>
        <v>300</v>
      </c>
      <c r="F26" s="215" t="str">
        <f>Losses!D241</f>
        <v>ra</v>
      </c>
      <c r="G26" s="471" t="s">
        <v>246</v>
      </c>
      <c r="H26" s="471"/>
      <c r="I26" s="471"/>
      <c r="J26" s="471"/>
      <c r="K26" s="471"/>
      <c r="L26" s="471"/>
      <c r="M26" s="471"/>
      <c r="N26" s="471"/>
      <c r="O26" s="471"/>
      <c r="P26" s="471"/>
      <c r="Q26" s="471"/>
    </row>
    <row r="27" spans="2:17" s="4" customFormat="1" ht="15.75" customHeight="1">
      <c r="B27" s="11"/>
      <c r="C27" s="14" t="s">
        <v>261</v>
      </c>
      <c r="D27" s="202" t="str">
        <f t="shared" si="0"/>
        <v>xe</v>
      </c>
      <c r="E27" s="153">
        <f>Losses!E249</f>
        <v>22337.972477676525</v>
      </c>
      <c r="F27" s="215" t="str">
        <f>Losses!D249</f>
        <v>sd</v>
      </c>
      <c r="G27" s="471" t="s">
        <v>262</v>
      </c>
      <c r="H27" s="471"/>
      <c r="I27" s="471"/>
      <c r="J27" s="471"/>
      <c r="K27" s="471"/>
      <c r="L27" s="471"/>
      <c r="M27" s="471"/>
      <c r="N27" s="471"/>
      <c r="O27" s="471"/>
      <c r="P27" s="471"/>
      <c r="Q27" s="471"/>
    </row>
    <row r="28" spans="2:17" s="4" customFormat="1" ht="15" customHeight="1">
      <c r="B28" s="11"/>
      <c r="C28" s="18" t="s">
        <v>251</v>
      </c>
      <c r="D28" s="202" t="str">
        <f t="shared" si="0"/>
        <v>xf</v>
      </c>
      <c r="E28" s="153">
        <f>Losses!E254</f>
        <v>100</v>
      </c>
      <c r="F28" s="215" t="str">
        <f>Losses!D254</f>
        <v>ta</v>
      </c>
      <c r="G28" s="471" t="s">
        <v>246</v>
      </c>
      <c r="H28" s="471"/>
      <c r="I28" s="471"/>
      <c r="J28" s="471"/>
      <c r="K28" s="471"/>
      <c r="L28" s="471"/>
      <c r="M28" s="471"/>
      <c r="N28" s="471"/>
      <c r="O28" s="471"/>
      <c r="P28" s="471"/>
      <c r="Q28" s="471"/>
    </row>
    <row r="29" spans="2:17" s="4" customFormat="1" ht="15" customHeight="1">
      <c r="B29" s="11"/>
      <c r="C29" s="18" t="s">
        <v>252</v>
      </c>
      <c r="D29" s="202" t="str">
        <f t="shared" si="0"/>
        <v>xg</v>
      </c>
      <c r="E29" s="153">
        <f>Losses!E255</f>
        <v>0</v>
      </c>
      <c r="F29" s="215" t="str">
        <f>Losses!D255</f>
        <v>tb</v>
      </c>
      <c r="G29" s="471" t="s">
        <v>246</v>
      </c>
      <c r="H29" s="471"/>
      <c r="I29" s="471"/>
      <c r="J29" s="471"/>
      <c r="K29" s="471"/>
      <c r="L29" s="471"/>
      <c r="M29" s="471"/>
      <c r="N29" s="471"/>
      <c r="O29" s="471"/>
      <c r="P29" s="471"/>
      <c r="Q29" s="471"/>
    </row>
    <row r="30" spans="2:17" s="4" customFormat="1" ht="15" customHeight="1">
      <c r="B30" s="11"/>
      <c r="C30" s="14" t="s">
        <v>253</v>
      </c>
      <c r="D30" s="15" t="str">
        <f>getnextref(D29)</f>
        <v>xh</v>
      </c>
      <c r="E30" s="153">
        <f>Losses!E266</f>
        <v>0</v>
      </c>
      <c r="F30" s="156" t="str">
        <f>Losses!D266</f>
        <v>ug</v>
      </c>
      <c r="G30" s="471" t="s">
        <v>246</v>
      </c>
      <c r="H30" s="471"/>
      <c r="I30" s="471"/>
      <c r="J30" s="471"/>
      <c r="K30" s="471"/>
      <c r="L30" s="471"/>
      <c r="M30" s="471"/>
      <c r="N30" s="471"/>
      <c r="O30" s="471"/>
      <c r="P30" s="471"/>
      <c r="Q30" s="471"/>
    </row>
    <row r="31" spans="2:17" s="4" customFormat="1" ht="15" customHeight="1">
      <c r="B31" s="11"/>
      <c r="C31" s="14" t="s">
        <v>254</v>
      </c>
      <c r="D31" s="15" t="str">
        <f>getnextref(D30)</f>
        <v>xi</v>
      </c>
      <c r="E31" s="153">
        <f>-Losses!E236</f>
        <v>0</v>
      </c>
      <c r="F31" s="153" t="str">
        <f>"-"&amp;Losses!D236</f>
        <v>-qz</v>
      </c>
      <c r="G31" s="471" t="s">
        <v>255</v>
      </c>
      <c r="H31" s="471"/>
      <c r="I31" s="471"/>
      <c r="J31" s="471"/>
      <c r="K31" s="471"/>
      <c r="L31" s="471"/>
      <c r="M31" s="471"/>
      <c r="N31" s="471"/>
      <c r="O31" s="471"/>
      <c r="P31" s="471"/>
      <c r="Q31" s="471"/>
    </row>
    <row r="32" spans="2:17" s="4" customFormat="1" ht="43.5" customHeight="1">
      <c r="B32" s="11"/>
      <c r="C32" s="131" t="s">
        <v>263</v>
      </c>
      <c r="D32" s="15" t="str">
        <f>getnextref(D31)</f>
        <v>xj</v>
      </c>
      <c r="E32" s="254" t="e">
        <f>MAX(SUM(E23:E31),0)</f>
        <v>#NAME?</v>
      </c>
      <c r="F32" s="261" t="str">
        <f>"Max("&amp;D23&amp;" + "&amp;D24&amp;" + "&amp;D25&amp;" + "&amp;D26&amp;" + "&amp;D27&amp;" + "&amp;D28&amp;" + "&amp;D29&amp;" + "&amp;D30&amp;" + "&amp;D31&amp;", 0)"</f>
        <v>Max(xa + xb + xc + xd + xe + xf + xg + xh + xi, 0)</v>
      </c>
      <c r="G32" s="471" t="s">
        <v>264</v>
      </c>
      <c r="H32" s="471"/>
      <c r="I32" s="471"/>
      <c r="J32" s="471"/>
      <c r="K32" s="471"/>
      <c r="L32" s="471"/>
      <c r="M32" s="471"/>
      <c r="N32" s="471"/>
      <c r="O32" s="471"/>
      <c r="P32" s="471"/>
      <c r="Q32" s="471"/>
    </row>
    <row r="33" spans="2:17" s="4" customFormat="1" ht="12.75">
      <c r="B33" s="46"/>
      <c r="C33" s="54"/>
      <c r="D33" s="54"/>
      <c r="E33" s="54"/>
      <c r="F33" s="54"/>
      <c r="G33" s="256"/>
      <c r="H33" s="54"/>
      <c r="I33" s="54"/>
      <c r="J33" s="54"/>
      <c r="K33" s="257"/>
      <c r="L33" s="258"/>
      <c r="M33" s="259"/>
      <c r="N33" s="259"/>
      <c r="O33" s="257"/>
      <c r="P33" s="54"/>
      <c r="Q33" s="112"/>
    </row>
    <row r="34" spans="2:17" s="4" customFormat="1" ht="12.75">
      <c r="B34" s="29"/>
      <c r="C34" s="29"/>
      <c r="D34" s="29"/>
      <c r="E34" s="29"/>
      <c r="F34" s="29"/>
      <c r="G34" s="260"/>
      <c r="H34" s="29"/>
      <c r="I34" s="29"/>
      <c r="J34" s="29"/>
      <c r="K34" s="216"/>
      <c r="L34" s="217"/>
      <c r="M34" s="218"/>
      <c r="N34" s="218"/>
      <c r="O34" s="216"/>
      <c r="P34" s="29"/>
      <c r="Q34" s="29"/>
    </row>
    <row r="35" spans="2:17" s="4" customFormat="1" ht="12.75">
      <c r="B35" s="29"/>
      <c r="C35" s="29"/>
      <c r="D35" s="29"/>
      <c r="E35" s="29"/>
      <c r="F35" s="29"/>
      <c r="G35" s="260"/>
      <c r="H35" s="29"/>
      <c r="I35" s="29"/>
      <c r="J35" s="29"/>
      <c r="K35" s="216"/>
      <c r="L35" s="217"/>
      <c r="M35" s="218"/>
      <c r="N35" s="218"/>
      <c r="O35" s="216"/>
      <c r="P35" s="29"/>
      <c r="Q35" s="29"/>
    </row>
    <row r="36" spans="2:17" s="4" customFormat="1" ht="20.25">
      <c r="B36" s="462" t="s">
        <v>265</v>
      </c>
      <c r="C36" s="462"/>
      <c r="D36" s="462"/>
      <c r="E36" s="462"/>
      <c r="F36" s="462"/>
      <c r="G36" s="462"/>
      <c r="H36" s="462"/>
      <c r="I36" s="462"/>
      <c r="J36" s="462"/>
      <c r="K36" s="462"/>
      <c r="L36" s="462"/>
      <c r="M36" s="462"/>
      <c r="N36" s="462"/>
      <c r="O36" s="462"/>
      <c r="P36" s="462"/>
      <c r="Q36" s="462"/>
    </row>
    <row r="37" spans="2:17" s="4" customFormat="1" ht="12.75" customHeight="1">
      <c r="B37" s="506" t="s">
        <v>243</v>
      </c>
      <c r="C37" s="506"/>
      <c r="D37" s="9" t="s">
        <v>4</v>
      </c>
      <c r="E37" s="10" t="s">
        <v>5</v>
      </c>
      <c r="F37" s="10" t="s">
        <v>114</v>
      </c>
      <c r="G37" s="114" t="s">
        <v>115</v>
      </c>
      <c r="H37" s="115"/>
      <c r="I37" s="115"/>
      <c r="J37" s="115"/>
      <c r="K37" s="184"/>
      <c r="L37" s="185"/>
      <c r="M37" s="186"/>
      <c r="N37" s="186"/>
      <c r="O37" s="184"/>
      <c r="P37" s="115"/>
      <c r="Q37" s="116"/>
    </row>
    <row r="38" spans="2:17" s="4" customFormat="1" ht="12.75" customHeight="1">
      <c r="B38" s="11"/>
      <c r="C38" s="14" t="s">
        <v>113</v>
      </c>
      <c r="D38" s="202" t="s">
        <v>266</v>
      </c>
      <c r="E38" s="153">
        <f>E8</f>
        <v>9690</v>
      </c>
      <c r="F38" s="153" t="str">
        <f>F8</f>
        <v>ko</v>
      </c>
      <c r="G38" s="471" t="s">
        <v>113</v>
      </c>
      <c r="H38" s="471"/>
      <c r="I38" s="471"/>
      <c r="J38" s="471"/>
      <c r="K38" s="471"/>
      <c r="L38" s="471"/>
      <c r="M38" s="471"/>
      <c r="N38" s="471"/>
      <c r="O38" s="471"/>
      <c r="P38" s="471"/>
      <c r="Q38" s="471"/>
    </row>
    <row r="39" spans="2:17" s="4" customFormat="1" ht="12.75" customHeight="1">
      <c r="B39" s="11"/>
      <c r="C39" s="14" t="s">
        <v>245</v>
      </c>
      <c r="D39" s="202" t="str">
        <f aca="true" t="shared" si="1" ref="D39:D48">GETNEXTREF(D38)</f>
        <v>yb</v>
      </c>
      <c r="E39" s="153" t="e">
        <f aca="true" t="shared" si="2" ref="E39:F46">E23</f>
        <v>#NAME?</v>
      </c>
      <c r="F39" s="153" t="str">
        <f t="shared" si="2"/>
        <v>- (ll + no)</v>
      </c>
      <c r="G39" s="471" t="s">
        <v>246</v>
      </c>
      <c r="H39" s="471"/>
      <c r="I39" s="471"/>
      <c r="J39" s="471"/>
      <c r="K39" s="471"/>
      <c r="L39" s="471"/>
      <c r="M39" s="471"/>
      <c r="N39" s="471"/>
      <c r="O39" s="471"/>
      <c r="P39" s="471"/>
      <c r="Q39" s="471"/>
    </row>
    <row r="40" spans="2:17" s="4" customFormat="1" ht="12.75" customHeight="1">
      <c r="B40" s="11"/>
      <c r="C40" s="14" t="s">
        <v>247</v>
      </c>
      <c r="D40" s="202" t="str">
        <f t="shared" si="1"/>
        <v>yc</v>
      </c>
      <c r="E40" s="153" t="e">
        <f t="shared" si="2"/>
        <v>#NAME?</v>
      </c>
      <c r="F40" s="153" t="str">
        <f t="shared" si="2"/>
        <v>-oo</v>
      </c>
      <c r="G40" s="471" t="s">
        <v>246</v>
      </c>
      <c r="H40" s="471"/>
      <c r="I40" s="471"/>
      <c r="J40" s="471"/>
      <c r="K40" s="471"/>
      <c r="L40" s="471"/>
      <c r="M40" s="471"/>
      <c r="N40" s="471"/>
      <c r="O40" s="471"/>
      <c r="P40" s="471"/>
      <c r="Q40" s="471"/>
    </row>
    <row r="41" spans="2:17" s="4" customFormat="1" ht="22.5" customHeight="1">
      <c r="B41" s="11"/>
      <c r="C41" s="14" t="s">
        <v>248</v>
      </c>
      <c r="D41" s="202" t="str">
        <f t="shared" si="1"/>
        <v>yd</v>
      </c>
      <c r="E41" s="153">
        <f t="shared" si="2"/>
        <v>577956.941811363</v>
      </c>
      <c r="F41" s="153" t="str">
        <f t="shared" si="2"/>
        <v>-pt - vm</v>
      </c>
      <c r="G41" s="471" t="s">
        <v>260</v>
      </c>
      <c r="H41" s="471"/>
      <c r="I41" s="471"/>
      <c r="J41" s="471"/>
      <c r="K41" s="471"/>
      <c r="L41" s="471"/>
      <c r="M41" s="471"/>
      <c r="N41" s="471"/>
      <c r="O41" s="471"/>
      <c r="P41" s="471"/>
      <c r="Q41" s="471"/>
    </row>
    <row r="42" spans="2:17" s="4" customFormat="1" ht="12.75" customHeight="1">
      <c r="B42" s="11"/>
      <c r="C42" s="14" t="s">
        <v>250</v>
      </c>
      <c r="D42" s="202" t="str">
        <f t="shared" si="1"/>
        <v>ye</v>
      </c>
      <c r="E42" s="153">
        <f t="shared" si="2"/>
        <v>300</v>
      </c>
      <c r="F42" s="153" t="str">
        <f t="shared" si="2"/>
        <v>ra</v>
      </c>
      <c r="G42" s="471" t="s">
        <v>246</v>
      </c>
      <c r="H42" s="471"/>
      <c r="I42" s="471"/>
      <c r="J42" s="471"/>
      <c r="K42" s="471"/>
      <c r="L42" s="471"/>
      <c r="M42" s="471"/>
      <c r="N42" s="471"/>
      <c r="O42" s="471"/>
      <c r="P42" s="471"/>
      <c r="Q42" s="471"/>
    </row>
    <row r="43" spans="2:17" s="4" customFormat="1" ht="12.75" customHeight="1">
      <c r="B43" s="11"/>
      <c r="C43" s="14" t="s">
        <v>261</v>
      </c>
      <c r="D43" s="202" t="str">
        <f t="shared" si="1"/>
        <v>yf</v>
      </c>
      <c r="E43" s="153">
        <f t="shared" si="2"/>
        <v>22337.972477676525</v>
      </c>
      <c r="F43" s="153" t="str">
        <f t="shared" si="2"/>
        <v>sd</v>
      </c>
      <c r="G43" s="471" t="s">
        <v>262</v>
      </c>
      <c r="H43" s="471"/>
      <c r="I43" s="471"/>
      <c r="J43" s="471"/>
      <c r="K43" s="471"/>
      <c r="L43" s="471"/>
      <c r="M43" s="471"/>
      <c r="N43" s="471"/>
      <c r="O43" s="471"/>
      <c r="P43" s="471"/>
      <c r="Q43" s="471"/>
    </row>
    <row r="44" spans="2:17" s="4" customFormat="1" ht="12.75" customHeight="1">
      <c r="B44" s="11"/>
      <c r="C44" s="18" t="s">
        <v>251</v>
      </c>
      <c r="D44" s="202" t="str">
        <f t="shared" si="1"/>
        <v>yg</v>
      </c>
      <c r="E44" s="153">
        <f t="shared" si="2"/>
        <v>100</v>
      </c>
      <c r="F44" s="153" t="str">
        <f t="shared" si="2"/>
        <v>ta</v>
      </c>
      <c r="G44" s="471" t="s">
        <v>246</v>
      </c>
      <c r="H44" s="471"/>
      <c r="I44" s="471"/>
      <c r="J44" s="471"/>
      <c r="K44" s="471"/>
      <c r="L44" s="471"/>
      <c r="M44" s="471"/>
      <c r="N44" s="471"/>
      <c r="O44" s="471"/>
      <c r="P44" s="471"/>
      <c r="Q44" s="471"/>
    </row>
    <row r="45" spans="2:17" s="4" customFormat="1" ht="12.75" customHeight="1">
      <c r="B45" s="11"/>
      <c r="C45" s="18" t="s">
        <v>252</v>
      </c>
      <c r="D45" s="202" t="str">
        <f t="shared" si="1"/>
        <v>yh</v>
      </c>
      <c r="E45" s="153">
        <f t="shared" si="2"/>
        <v>0</v>
      </c>
      <c r="F45" s="153" t="str">
        <f t="shared" si="2"/>
        <v>tb</v>
      </c>
      <c r="G45" s="471" t="s">
        <v>246</v>
      </c>
      <c r="H45" s="471"/>
      <c r="I45" s="471"/>
      <c r="J45" s="471"/>
      <c r="K45" s="471"/>
      <c r="L45" s="471"/>
      <c r="M45" s="471"/>
      <c r="N45" s="471"/>
      <c r="O45" s="471"/>
      <c r="P45" s="471"/>
      <c r="Q45" s="471"/>
    </row>
    <row r="46" spans="2:17" s="4" customFormat="1" ht="12.75" customHeight="1">
      <c r="B46" s="11"/>
      <c r="C46" s="14" t="s">
        <v>253</v>
      </c>
      <c r="D46" s="15" t="str">
        <f t="shared" si="1"/>
        <v>yi</v>
      </c>
      <c r="E46" s="153">
        <f t="shared" si="2"/>
        <v>0</v>
      </c>
      <c r="F46" s="153" t="str">
        <f t="shared" si="2"/>
        <v>ug</v>
      </c>
      <c r="G46" s="471" t="s">
        <v>246</v>
      </c>
      <c r="H46" s="471"/>
      <c r="I46" s="471"/>
      <c r="J46" s="471"/>
      <c r="K46" s="471"/>
      <c r="L46" s="471"/>
      <c r="M46" s="471"/>
      <c r="N46" s="471"/>
      <c r="O46" s="471"/>
      <c r="P46" s="471"/>
      <c r="Q46" s="471"/>
    </row>
    <row r="47" spans="2:17" s="4" customFormat="1" ht="12.75" customHeight="1">
      <c r="B47" s="11"/>
      <c r="C47" s="14" t="s">
        <v>254</v>
      </c>
      <c r="D47" s="15" t="str">
        <f t="shared" si="1"/>
        <v>yj</v>
      </c>
      <c r="E47" s="153">
        <f>-Losses!E236</f>
        <v>0</v>
      </c>
      <c r="F47" s="153" t="str">
        <f>"-"&amp;Losses!D236</f>
        <v>-qz</v>
      </c>
      <c r="G47" s="471" t="s">
        <v>255</v>
      </c>
      <c r="H47" s="471"/>
      <c r="I47" s="471"/>
      <c r="J47" s="471"/>
      <c r="K47" s="471"/>
      <c r="L47" s="471"/>
      <c r="M47" s="471"/>
      <c r="N47" s="471"/>
      <c r="O47" s="471"/>
      <c r="P47" s="471"/>
      <c r="Q47" s="471"/>
    </row>
    <row r="48" spans="2:17" s="4" customFormat="1" ht="45.75" customHeight="1">
      <c r="B48" s="11"/>
      <c r="C48" s="131" t="s">
        <v>263</v>
      </c>
      <c r="D48" s="15" t="str">
        <f t="shared" si="1"/>
        <v>yk</v>
      </c>
      <c r="E48" s="262" t="e">
        <f>E38+MAX(SUM(E39:E47),0)</f>
        <v>#NAME?</v>
      </c>
      <c r="F48" s="263" t="str">
        <f>D38&amp;" + "&amp;"Max("&amp;D39&amp;" + "&amp;D40&amp;" + "&amp;D41&amp;" + "&amp;D42&amp;" + "&amp;D43&amp;" + "&amp;D44&amp;" + "&amp;D45&amp;" + "&amp;D46&amp;" + "&amp;D47&amp;", 0)"</f>
        <v>ya + Max(yb + yc + yd + ye + yf + yg + yh + yi + yj, 0)</v>
      </c>
      <c r="G48" s="471" t="s">
        <v>267</v>
      </c>
      <c r="H48" s="471"/>
      <c r="I48" s="471"/>
      <c r="J48" s="471"/>
      <c r="K48" s="471"/>
      <c r="L48" s="471"/>
      <c r="M48" s="471"/>
      <c r="N48" s="471"/>
      <c r="O48" s="471"/>
      <c r="P48" s="471"/>
      <c r="Q48" s="471"/>
    </row>
    <row r="49" spans="2:17" s="4" customFormat="1" ht="12.75">
      <c r="B49" s="46"/>
      <c r="C49" s="54"/>
      <c r="D49" s="54"/>
      <c r="E49" s="54"/>
      <c r="F49" s="54"/>
      <c r="G49" s="256"/>
      <c r="H49" s="54"/>
      <c r="I49" s="54"/>
      <c r="J49" s="54"/>
      <c r="K49" s="257"/>
      <c r="L49" s="258"/>
      <c r="M49" s="259"/>
      <c r="N49" s="259"/>
      <c r="O49" s="257"/>
      <c r="P49" s="54"/>
      <c r="Q49" s="112"/>
    </row>
    <row r="50" spans="2:17" s="4" customFormat="1" ht="12.75">
      <c r="B50" s="29"/>
      <c r="C50" s="29"/>
      <c r="D50" s="29"/>
      <c r="E50" s="29"/>
      <c r="F50" s="29"/>
      <c r="G50" s="260"/>
      <c r="H50" s="29"/>
      <c r="I50" s="29"/>
      <c r="J50" s="29"/>
      <c r="K50" s="216"/>
      <c r="L50" s="217"/>
      <c r="M50" s="218"/>
      <c r="N50" s="218"/>
      <c r="O50" s="216"/>
      <c r="P50" s="29"/>
      <c r="Q50" s="29"/>
    </row>
    <row r="51" spans="7:15" s="4" customFormat="1" ht="12.75">
      <c r="G51" s="5"/>
      <c r="K51" s="264"/>
      <c r="L51" s="265"/>
      <c r="M51" s="253"/>
      <c r="N51" s="253"/>
      <c r="O51" s="264"/>
    </row>
    <row r="52" spans="2:17" s="4" customFormat="1" ht="20.25">
      <c r="B52" s="462" t="s">
        <v>268</v>
      </c>
      <c r="C52" s="462"/>
      <c r="D52" s="462"/>
      <c r="E52" s="462"/>
      <c r="F52" s="462"/>
      <c r="G52" s="462"/>
      <c r="H52" s="462"/>
      <c r="I52" s="462"/>
      <c r="J52" s="462"/>
      <c r="K52" s="462"/>
      <c r="L52" s="462"/>
      <c r="M52" s="462"/>
      <c r="N52" s="462"/>
      <c r="O52" s="462"/>
      <c r="P52" s="462"/>
      <c r="Q52" s="462"/>
    </row>
    <row r="53" spans="2:17" s="4" customFormat="1" ht="12.75" customHeight="1">
      <c r="B53" s="534" t="s">
        <v>269</v>
      </c>
      <c r="C53" s="534"/>
      <c r="D53" s="9" t="s">
        <v>4</v>
      </c>
      <c r="E53" s="10" t="s">
        <v>5</v>
      </c>
      <c r="F53" s="10" t="s">
        <v>114</v>
      </c>
      <c r="G53" s="114" t="s">
        <v>115</v>
      </c>
      <c r="H53" s="76"/>
      <c r="I53" s="76"/>
      <c r="J53" s="76"/>
      <c r="K53" s="76"/>
      <c r="L53" s="76"/>
      <c r="M53" s="76"/>
      <c r="N53" s="76"/>
      <c r="O53" s="76"/>
      <c r="P53" s="76"/>
      <c r="Q53" s="77"/>
    </row>
    <row r="54" spans="2:17" s="4" customFormat="1" ht="12.75">
      <c r="B54" s="11"/>
      <c r="C54" s="18" t="s">
        <v>7</v>
      </c>
      <c r="D54" s="535" t="str">
        <f>Input!D8</f>
        <v>Joseph Cornelius Bloggs</v>
      </c>
      <c r="E54" s="535"/>
      <c r="F54" s="535"/>
      <c r="G54" s="465"/>
      <c r="H54" s="465"/>
      <c r="I54" s="465"/>
      <c r="J54" s="465"/>
      <c r="K54" s="465"/>
      <c r="L54" s="465"/>
      <c r="M54" s="465"/>
      <c r="N54" s="465"/>
      <c r="O54" s="465"/>
      <c r="P54" s="465"/>
      <c r="Q54" s="465"/>
    </row>
    <row r="55" spans="2:17" s="4" customFormat="1" ht="12.75">
      <c r="B55" s="11"/>
      <c r="C55" s="18" t="s">
        <v>9</v>
      </c>
      <c r="D55" s="15" t="s">
        <v>270</v>
      </c>
      <c r="E55" s="135">
        <f>Input!E9</f>
        <v>21081</v>
      </c>
      <c r="F55" s="266" t="str">
        <f>Input!D9</f>
        <v>aa</v>
      </c>
      <c r="G55" s="536"/>
      <c r="H55" s="536"/>
      <c r="I55" s="536"/>
      <c r="J55" s="536"/>
      <c r="K55" s="536"/>
      <c r="L55" s="536"/>
      <c r="M55" s="536"/>
      <c r="N55" s="536"/>
      <c r="O55" s="536"/>
      <c r="P55" s="536"/>
      <c r="Q55" s="536"/>
    </row>
    <row r="56" spans="2:17" s="4" customFormat="1" ht="12.75">
      <c r="B56" s="11"/>
      <c r="C56" s="18" t="s">
        <v>375</v>
      </c>
      <c r="D56" s="15" t="str">
        <f aca="true" t="shared" si="3" ref="D56:D76">GETNEXTREF(D55)</f>
        <v>zb</v>
      </c>
      <c r="E56" s="135">
        <f>Input!E10</f>
        <v>30878</v>
      </c>
      <c r="F56" s="266" t="str">
        <f>Input!D10</f>
        <v>ab</v>
      </c>
      <c r="G56" s="471"/>
      <c r="H56" s="471"/>
      <c r="I56" s="471"/>
      <c r="J56" s="471"/>
      <c r="K56" s="471"/>
      <c r="L56" s="471"/>
      <c r="M56" s="471"/>
      <c r="N56" s="471"/>
      <c r="O56" s="471"/>
      <c r="P56" s="471"/>
      <c r="Q56" s="471"/>
    </row>
    <row r="57" spans="2:17" s="4" customFormat="1" ht="12.75">
      <c r="B57" s="11"/>
      <c r="C57" s="18" t="s">
        <v>491</v>
      </c>
      <c r="D57" s="15" t="str">
        <f t="shared" si="3"/>
        <v>zc</v>
      </c>
      <c r="E57" s="189" t="str">
        <f>QUOTIENT((E56-$E$55),365.25)&amp;"y "&amp;MOD(INT((E56-$E$55)/365.25*12),12)&amp;"m"</f>
        <v>26y 9m</v>
      </c>
      <c r="F57" s="15" t="str">
        <f>D56&amp;" - "&amp;D55</f>
        <v>zb - za</v>
      </c>
      <c r="G57" s="471"/>
      <c r="H57" s="471"/>
      <c r="I57" s="471"/>
      <c r="J57" s="471"/>
      <c r="K57" s="471"/>
      <c r="L57" s="471"/>
      <c r="M57" s="471"/>
      <c r="N57" s="471"/>
      <c r="O57" s="471"/>
      <c r="P57" s="471"/>
      <c r="Q57" s="471"/>
    </row>
    <row r="58" spans="2:17" s="4" customFormat="1" ht="12.75">
      <c r="B58" s="11"/>
      <c r="C58" s="18" t="s">
        <v>12</v>
      </c>
      <c r="D58" s="15" t="str">
        <f t="shared" si="3"/>
        <v>zd</v>
      </c>
      <c r="E58" s="135">
        <f>Input!E11</f>
        <v>40243</v>
      </c>
      <c r="F58" s="266" t="str">
        <f>Input!D11</f>
        <v>ac</v>
      </c>
      <c r="G58" s="471"/>
      <c r="H58" s="471"/>
      <c r="I58" s="471"/>
      <c r="J58" s="471"/>
      <c r="K58" s="471"/>
      <c r="L58" s="471"/>
      <c r="M58" s="471"/>
      <c r="N58" s="471"/>
      <c r="O58" s="471"/>
      <c r="P58" s="471"/>
      <c r="Q58" s="471"/>
    </row>
    <row r="59" spans="2:17" s="4" customFormat="1" ht="12.75">
      <c r="B59" s="11"/>
      <c r="C59" s="18" t="s">
        <v>271</v>
      </c>
      <c r="D59" s="15" t="str">
        <f t="shared" si="3"/>
        <v>ze</v>
      </c>
      <c r="E59" s="189" t="str">
        <f>QUOTIENT((E58-$E$55),365.25)&amp;"y "&amp;MOD(INT((E58-$E$55)/365.25*12),12)&amp;"m"</f>
        <v>52y 5m</v>
      </c>
      <c r="F59" s="15" t="str">
        <f>D58&amp;" - "&amp;D55</f>
        <v>zd - za</v>
      </c>
      <c r="G59" s="471"/>
      <c r="H59" s="471"/>
      <c r="I59" s="471"/>
      <c r="J59" s="471"/>
      <c r="K59" s="471"/>
      <c r="L59" s="471"/>
      <c r="M59" s="471"/>
      <c r="N59" s="471"/>
      <c r="O59" s="471"/>
      <c r="P59" s="471"/>
      <c r="Q59" s="471"/>
    </row>
    <row r="60" spans="2:17" s="4" customFormat="1" ht="12.75">
      <c r="B60" s="11"/>
      <c r="C60" s="18" t="s">
        <v>13</v>
      </c>
      <c r="D60" s="15" t="str">
        <f t="shared" si="3"/>
        <v>zf</v>
      </c>
      <c r="E60" s="135">
        <f>Input!E12</f>
        <v>44110</v>
      </c>
      <c r="F60" s="266" t="str">
        <f>Input!D12</f>
        <v>ad</v>
      </c>
      <c r="G60" s="471"/>
      <c r="H60" s="471"/>
      <c r="I60" s="471"/>
      <c r="J60" s="471"/>
      <c r="K60" s="471"/>
      <c r="L60" s="471"/>
      <c r="M60" s="471"/>
      <c r="N60" s="471"/>
      <c r="O60" s="471"/>
      <c r="P60" s="471"/>
      <c r="Q60" s="471"/>
    </row>
    <row r="61" spans="2:17" s="4" customFormat="1" ht="12.75">
      <c r="B61" s="11"/>
      <c r="C61" s="18" t="s">
        <v>272</v>
      </c>
      <c r="D61" s="15" t="str">
        <f t="shared" si="3"/>
        <v>zg</v>
      </c>
      <c r="E61" s="189" t="str">
        <f>QUOTIENT((E60-$E$55),365.25)&amp;"y "&amp;MOD(INT((E60-$E$55)/365.25*12),12)&amp;"m"</f>
        <v>63y 0m</v>
      </c>
      <c r="F61" s="15" t="str">
        <f>D60&amp;" - "&amp;D55</f>
        <v>zf - za</v>
      </c>
      <c r="G61" s="471"/>
      <c r="H61" s="471"/>
      <c r="I61" s="471"/>
      <c r="J61" s="471"/>
      <c r="K61" s="471"/>
      <c r="L61" s="471"/>
      <c r="M61" s="471"/>
      <c r="N61" s="471"/>
      <c r="O61" s="471"/>
      <c r="P61" s="471"/>
      <c r="Q61" s="471"/>
    </row>
    <row r="62" spans="2:17" s="4" customFormat="1" ht="12.75">
      <c r="B62" s="11"/>
      <c r="C62" s="18" t="s">
        <v>273</v>
      </c>
      <c r="D62" s="15" t="str">
        <f t="shared" si="3"/>
        <v>zh</v>
      </c>
      <c r="E62" s="189" t="str">
        <f>QUOTIENT((E58-$E$56),365.25)&amp;"y "&amp;MOD(INT((E58-$E$56)/365.25*12),12)&amp;"m"</f>
        <v>25y 7m</v>
      </c>
      <c r="F62" s="15" t="str">
        <f>D58&amp;" - "&amp;D56</f>
        <v>zd - zb</v>
      </c>
      <c r="G62" s="471"/>
      <c r="H62" s="471"/>
      <c r="I62" s="471"/>
      <c r="J62" s="471"/>
      <c r="K62" s="471"/>
      <c r="L62" s="471"/>
      <c r="M62" s="471"/>
      <c r="N62" s="471"/>
      <c r="O62" s="471"/>
      <c r="P62" s="471"/>
      <c r="Q62" s="471"/>
    </row>
    <row r="63" spans="2:17" s="4" customFormat="1" ht="12.75">
      <c r="B63" s="11"/>
      <c r="C63" s="18" t="s">
        <v>274</v>
      </c>
      <c r="D63" s="15" t="str">
        <f t="shared" si="3"/>
        <v>zi</v>
      </c>
      <c r="E63" s="189" t="str">
        <f>QUOTIENT((E60-$E$56),365.25)&amp;"y "&amp;MOD(INT((E60-$E$56)/365.25*12),12)&amp;"m"</f>
        <v>36y 2m</v>
      </c>
      <c r="F63" s="15" t="str">
        <f>D60&amp;" - "&amp;D56</f>
        <v>zf - zb</v>
      </c>
      <c r="G63" s="471"/>
      <c r="H63" s="471"/>
      <c r="I63" s="471"/>
      <c r="J63" s="471"/>
      <c r="K63" s="471"/>
      <c r="L63" s="471"/>
      <c r="M63" s="471"/>
      <c r="N63" s="471"/>
      <c r="O63" s="471"/>
      <c r="P63" s="471"/>
      <c r="Q63" s="471"/>
    </row>
    <row r="64" spans="2:17" s="4" customFormat="1" ht="12.75">
      <c r="B64" s="11"/>
      <c r="C64" s="18" t="s">
        <v>275</v>
      </c>
      <c r="D64" s="15" t="str">
        <f t="shared" si="3"/>
        <v>zj</v>
      </c>
      <c r="E64" s="189" t="str">
        <f>QUOTIENT((E60-$E$58),365.25)&amp;"y "&amp;MOD(INT((E60-$E$58)/365.25*12),12)&amp;"m"</f>
        <v>10y 7m</v>
      </c>
      <c r="F64" s="15" t="str">
        <f>D60&amp;" - "&amp;D58</f>
        <v>zf - zd</v>
      </c>
      <c r="G64" s="471"/>
      <c r="H64" s="471"/>
      <c r="I64" s="471"/>
      <c r="J64" s="471"/>
      <c r="K64" s="471"/>
      <c r="L64" s="471"/>
      <c r="M64" s="471"/>
      <c r="N64" s="471"/>
      <c r="O64" s="471"/>
      <c r="P64" s="471"/>
      <c r="Q64" s="471"/>
    </row>
    <row r="65" spans="2:17" s="4" customFormat="1" ht="40.5" customHeight="1">
      <c r="B65" s="11"/>
      <c r="C65" s="18" t="s">
        <v>492</v>
      </c>
      <c r="D65" s="15" t="str">
        <f t="shared" si="3"/>
        <v>zk</v>
      </c>
      <c r="E65" s="122">
        <f>Losses!E67</f>
        <v>60039.96</v>
      </c>
      <c r="F65" s="123" t="str">
        <f>Losses!D67</f>
        <v>ka</v>
      </c>
      <c r="G65" s="471"/>
      <c r="H65" s="471"/>
      <c r="I65" s="471"/>
      <c r="J65" s="471"/>
      <c r="K65" s="471"/>
      <c r="L65" s="471"/>
      <c r="M65" s="471"/>
      <c r="N65" s="471"/>
      <c r="O65" s="471"/>
      <c r="P65" s="471"/>
      <c r="Q65" s="471"/>
    </row>
    <row r="66" spans="2:17" s="4" customFormat="1" ht="28.5" customHeight="1">
      <c r="B66" s="11"/>
      <c r="C66" s="18" t="s">
        <v>493</v>
      </c>
      <c r="D66" s="15" t="str">
        <f t="shared" si="3"/>
        <v>zl</v>
      </c>
      <c r="E66" s="122">
        <f>Input!E36</f>
        <v>19902.36</v>
      </c>
      <c r="F66" s="123" t="str">
        <f>Input!D36</f>
        <v>cd</v>
      </c>
      <c r="G66" s="471"/>
      <c r="H66" s="471"/>
      <c r="I66" s="471"/>
      <c r="J66" s="471"/>
      <c r="K66" s="471"/>
      <c r="L66" s="471"/>
      <c r="M66" s="471"/>
      <c r="N66" s="471"/>
      <c r="O66" s="471"/>
      <c r="P66" s="471"/>
      <c r="Q66" s="471"/>
    </row>
    <row r="67" spans="2:17" s="4" customFormat="1" ht="27.75" customHeight="1">
      <c r="B67" s="11"/>
      <c r="C67" s="18" t="s">
        <v>494</v>
      </c>
      <c r="D67" s="15" t="str">
        <f t="shared" si="3"/>
        <v>zm</v>
      </c>
      <c r="E67" s="122">
        <f>Input!E37</f>
        <v>14926.77</v>
      </c>
      <c r="F67" s="123" t="str">
        <f>Input!D37</f>
        <v>ce</v>
      </c>
      <c r="G67" s="471"/>
      <c r="H67" s="471"/>
      <c r="I67" s="471"/>
      <c r="J67" s="471"/>
      <c r="K67" s="471"/>
      <c r="L67" s="471"/>
      <c r="M67" s="471"/>
      <c r="N67" s="471"/>
      <c r="O67" s="471"/>
      <c r="P67" s="471"/>
      <c r="Q67" s="471"/>
    </row>
    <row r="68" spans="2:17" s="4" customFormat="1" ht="28.5" customHeight="1">
      <c r="B68" s="11"/>
      <c r="C68" s="18" t="s">
        <v>495</v>
      </c>
      <c r="D68" s="15" t="str">
        <f t="shared" si="3"/>
        <v>zn</v>
      </c>
      <c r="E68" s="122">
        <f>Input!E35</f>
        <v>34464</v>
      </c>
      <c r="F68" s="123" t="str">
        <f>Input!D35</f>
        <v>cc</v>
      </c>
      <c r="G68" s="471"/>
      <c r="H68" s="471"/>
      <c r="I68" s="471"/>
      <c r="J68" s="471"/>
      <c r="K68" s="471"/>
      <c r="L68" s="471"/>
      <c r="M68" s="471"/>
      <c r="N68" s="471"/>
      <c r="O68" s="471"/>
      <c r="P68" s="471"/>
      <c r="Q68" s="471"/>
    </row>
    <row r="69" spans="2:17" s="4" customFormat="1" ht="54" customHeight="1">
      <c r="B69" s="11"/>
      <c r="C69" s="18" t="s">
        <v>276</v>
      </c>
      <c r="D69" s="15" t="str">
        <f t="shared" si="3"/>
        <v>zo</v>
      </c>
      <c r="E69" s="122">
        <f>Input!E49+Input!E51+Input!E52+Input!E53+Input!E54+Input!E55+Input!E57+Input!E58-Input!E50-Input!E56</f>
        <v>35820</v>
      </c>
      <c r="F69" s="123" t="str">
        <f>Input!D49&amp;" + "&amp;Input!D51&amp;" + "&amp;Input!D52&amp;" + "&amp;Input!D53&amp;" + "&amp;Input!D54&amp;" + "&amp;Input!D55&amp;" + "&amp;Input!D57&amp;" + "&amp;Input!D58&amp;" - "&amp;Input!D50&amp;" - "&amp;Input!D56</f>
        <v>dd + df + dg + dh + di + dj + dl + dm - de - dk</v>
      </c>
      <c r="G69" s="471"/>
      <c r="H69" s="471"/>
      <c r="I69" s="471"/>
      <c r="J69" s="471"/>
      <c r="K69" s="471"/>
      <c r="L69" s="471"/>
      <c r="M69" s="471"/>
      <c r="N69" s="471"/>
      <c r="O69" s="471"/>
      <c r="P69" s="471"/>
      <c r="Q69" s="471"/>
    </row>
    <row r="70" spans="2:17" s="4" customFormat="1" ht="15" customHeight="1">
      <c r="B70" s="11"/>
      <c r="C70" s="18" t="s">
        <v>277</v>
      </c>
      <c r="D70" s="15" t="str">
        <f t="shared" si="3"/>
        <v>zp</v>
      </c>
      <c r="E70" s="135">
        <f>IF(ISNUMBER(Input!E47),Input!E47,"N/A")</f>
        <v>40274</v>
      </c>
      <c r="F70" s="123" t="str">
        <f>Input!D47</f>
        <v>db</v>
      </c>
      <c r="G70" s="471" t="s">
        <v>278</v>
      </c>
      <c r="H70" s="471"/>
      <c r="I70" s="471"/>
      <c r="J70" s="471"/>
      <c r="K70" s="471"/>
      <c r="L70" s="471"/>
      <c r="M70" s="471"/>
      <c r="N70" s="471"/>
      <c r="O70" s="471"/>
      <c r="P70" s="471"/>
      <c r="Q70" s="471"/>
    </row>
    <row r="71" spans="2:17" s="4" customFormat="1" ht="27.75" customHeight="1">
      <c r="B71" s="11"/>
      <c r="C71" s="18" t="s">
        <v>279</v>
      </c>
      <c r="D71" s="15" t="str">
        <f t="shared" si="3"/>
        <v>zq</v>
      </c>
      <c r="E71" s="267">
        <f>Input!E48</f>
        <v>0.6</v>
      </c>
      <c r="F71" s="123" t="str">
        <f>Input!D48</f>
        <v>dc</v>
      </c>
      <c r="G71" s="471"/>
      <c r="H71" s="471"/>
      <c r="I71" s="471"/>
      <c r="J71" s="471"/>
      <c r="K71" s="471"/>
      <c r="L71" s="471"/>
      <c r="M71" s="471"/>
      <c r="N71" s="471"/>
      <c r="O71" s="471"/>
      <c r="P71" s="471"/>
      <c r="Q71" s="471"/>
    </row>
    <row r="72" spans="2:17" s="4" customFormat="1" ht="15" customHeight="1">
      <c r="B72" s="11"/>
      <c r="C72" s="18" t="s">
        <v>280</v>
      </c>
      <c r="D72" s="15" t="str">
        <f t="shared" si="3"/>
        <v>zr</v>
      </c>
      <c r="E72" s="124">
        <f>E69*E71</f>
        <v>21492</v>
      </c>
      <c r="F72" s="123" t="str">
        <f>D69&amp;" * "&amp;D71</f>
        <v>zo * zq</v>
      </c>
      <c r="G72" s="471"/>
      <c r="H72" s="471"/>
      <c r="I72" s="471"/>
      <c r="J72" s="471"/>
      <c r="K72" s="471"/>
      <c r="L72" s="471"/>
      <c r="M72" s="471"/>
      <c r="N72" s="471"/>
      <c r="O72" s="471"/>
      <c r="P72" s="471"/>
      <c r="Q72" s="471"/>
    </row>
    <row r="73" spans="2:17" s="4" customFormat="1" ht="15" customHeight="1">
      <c r="B73" s="11"/>
      <c r="C73" s="18" t="s">
        <v>281</v>
      </c>
      <c r="D73" s="15" t="str">
        <f t="shared" si="3"/>
        <v>zs</v>
      </c>
      <c r="E73" s="124">
        <f>Losses!E236</f>
        <v>0</v>
      </c>
      <c r="F73" s="124" t="str">
        <f>Losses!D236</f>
        <v>qz</v>
      </c>
      <c r="G73" s="471"/>
      <c r="H73" s="471"/>
      <c r="I73" s="471"/>
      <c r="J73" s="471"/>
      <c r="K73" s="471"/>
      <c r="L73" s="471"/>
      <c r="M73" s="471"/>
      <c r="N73" s="471"/>
      <c r="O73" s="471"/>
      <c r="P73" s="471"/>
      <c r="Q73" s="471"/>
    </row>
    <row r="74" spans="2:17" s="4" customFormat="1" ht="15" customHeight="1">
      <c r="B74" s="11"/>
      <c r="C74" s="18" t="s">
        <v>282</v>
      </c>
      <c r="D74" s="15" t="str">
        <f t="shared" si="3"/>
        <v>zt</v>
      </c>
      <c r="E74" s="124">
        <f>Losses!E201</f>
        <v>0</v>
      </c>
      <c r="F74" s="124" t="str">
        <f>Losses!D201</f>
        <v>pp</v>
      </c>
      <c r="G74" s="14"/>
      <c r="H74" s="45"/>
      <c r="I74" s="45"/>
      <c r="J74" s="45"/>
      <c r="K74" s="45"/>
      <c r="L74" s="45"/>
      <c r="M74" s="45"/>
      <c r="N74" s="45"/>
      <c r="O74" s="45"/>
      <c r="P74" s="45"/>
      <c r="Q74" s="161"/>
    </row>
    <row r="75" spans="2:17" s="4" customFormat="1" ht="15" customHeight="1">
      <c r="B75" s="11"/>
      <c r="C75" s="18" t="s">
        <v>283</v>
      </c>
      <c r="D75" s="15" t="str">
        <f t="shared" si="3"/>
        <v>zu</v>
      </c>
      <c r="E75" s="124">
        <f>Losses!E254</f>
        <v>100</v>
      </c>
      <c r="F75" s="124" t="str">
        <f>Losses!D254</f>
        <v>ta</v>
      </c>
      <c r="G75" s="14"/>
      <c r="H75" s="45"/>
      <c r="I75" s="45"/>
      <c r="J75" s="45"/>
      <c r="K75" s="45"/>
      <c r="L75" s="45"/>
      <c r="M75" s="45"/>
      <c r="N75" s="45"/>
      <c r="O75" s="45"/>
      <c r="P75" s="45"/>
      <c r="Q75" s="161"/>
    </row>
    <row r="76" spans="2:17" s="268" customFormat="1" ht="14.25" customHeight="1">
      <c r="B76" s="269"/>
      <c r="C76" s="18" t="s">
        <v>284</v>
      </c>
      <c r="D76" s="15" t="str">
        <f t="shared" si="3"/>
        <v>zv</v>
      </c>
      <c r="E76" s="153" t="e">
        <f>E32</f>
        <v>#NAME?</v>
      </c>
      <c r="F76" s="156" t="str">
        <f>D32</f>
        <v>xj</v>
      </c>
      <c r="G76" s="508"/>
      <c r="H76" s="508"/>
      <c r="I76" s="508"/>
      <c r="J76" s="508"/>
      <c r="K76" s="508"/>
      <c r="L76" s="508"/>
      <c r="M76" s="508"/>
      <c r="N76" s="508"/>
      <c r="O76" s="508"/>
      <c r="P76" s="508"/>
      <c r="Q76" s="508"/>
    </row>
    <row r="77" spans="2:17" s="268" customFormat="1" ht="12.75">
      <c r="B77" s="269"/>
      <c r="C77" s="26"/>
      <c r="D77" s="180"/>
      <c r="E77" s="270"/>
      <c r="F77" s="271"/>
      <c r="G77" s="131"/>
      <c r="H77" s="131"/>
      <c r="I77" s="131"/>
      <c r="J77" s="131"/>
      <c r="K77" s="131"/>
      <c r="L77" s="131"/>
      <c r="M77" s="131"/>
      <c r="N77" s="131"/>
      <c r="O77" s="131"/>
      <c r="P77" s="131"/>
      <c r="Q77" s="272"/>
    </row>
    <row r="78" spans="2:17" s="268" customFormat="1" ht="43.5" customHeight="1">
      <c r="B78" s="269"/>
      <c r="C78" s="273" t="s">
        <v>285</v>
      </c>
      <c r="D78" s="274" t="str">
        <f>getnextref(D76)</f>
        <v>zw</v>
      </c>
      <c r="E78" s="275" t="e">
        <f>I78+M78</f>
        <v>#NAME?</v>
      </c>
      <c r="F78" s="172" t="str">
        <f>D8&amp;" + Min("&amp;D9&amp;" + "&amp;D10&amp;" + "&amp;D11&amp;" + "&amp;D12&amp;" + "&amp;D13&amp;" + "&amp;D14&amp;" + "&amp;D15&amp;", "&amp;StatCapRef&amp;")"</f>
        <v>wa + Min(wb + wc + wd + we + wf + wg + wh, ic)</v>
      </c>
      <c r="G78" s="537" t="s">
        <v>286</v>
      </c>
      <c r="H78" s="537"/>
      <c r="I78" s="276">
        <f>E8</f>
        <v>9690</v>
      </c>
      <c r="J78" s="537" t="s">
        <v>287</v>
      </c>
      <c r="K78" s="537"/>
      <c r="L78" s="537"/>
      <c r="M78" s="277" t="e">
        <f>MAX(MIN(SUM(E9:E16),StatCap),0)</f>
        <v>#NAME?</v>
      </c>
      <c r="N78" s="538" t="s">
        <v>356</v>
      </c>
      <c r="O78" s="538"/>
      <c r="P78" s="538"/>
      <c r="Q78" s="538"/>
    </row>
    <row r="79" spans="2:17" s="268" customFormat="1" ht="40.5" customHeight="1">
      <c r="B79" s="269"/>
      <c r="C79" s="278" t="s">
        <v>288</v>
      </c>
      <c r="D79" s="274" t="str">
        <f>getnextref(D78)</f>
        <v>zx</v>
      </c>
      <c r="E79" s="279" t="e">
        <f>I79+M79</f>
        <v>#NAME?</v>
      </c>
      <c r="F79" s="172" t="str">
        <f>"Max("&amp;D23&amp;" + "&amp;D24&amp;" + "&amp;D25&amp;" + "&amp;D26&amp;" + "&amp;D27&amp;" + "&amp;D28&amp;" + "&amp;D29&amp;" + "&amp;D30&amp;" + "&amp;D31&amp;", 0)"</f>
        <v>Max(xa + xb + xc + xd + xe + xf + xg + xh + xi, 0)</v>
      </c>
      <c r="G79" s="537" t="s">
        <v>286</v>
      </c>
      <c r="H79" s="537"/>
      <c r="I79" s="276">
        <v>0</v>
      </c>
      <c r="J79" s="537" t="s">
        <v>287</v>
      </c>
      <c r="K79" s="537"/>
      <c r="L79" s="537"/>
      <c r="M79" s="276" t="e">
        <f>MAX(SUM(E23:E31),0)</f>
        <v>#NAME?</v>
      </c>
      <c r="N79" s="538"/>
      <c r="O79" s="538"/>
      <c r="P79" s="538"/>
      <c r="Q79" s="538"/>
    </row>
    <row r="80" spans="2:17" s="268" customFormat="1" ht="40.5" customHeight="1">
      <c r="B80" s="269"/>
      <c r="C80" s="280" t="s">
        <v>289</v>
      </c>
      <c r="D80" s="274" t="str">
        <f>getnextref(D79)</f>
        <v>zy</v>
      </c>
      <c r="E80" s="281" t="e">
        <f>I80+M80</f>
        <v>#NAME?</v>
      </c>
      <c r="F80" s="175" t="str">
        <f>D38&amp;" + "&amp;"Max("&amp;D39&amp;" + "&amp;D40&amp;" + "&amp;D41&amp;" + "&amp;D42&amp;" + "&amp;D43&amp;" + "&amp;D44&amp;" + "&amp;D45&amp;" + "&amp;D46&amp;" + "&amp;D47&amp;", 0)"</f>
        <v>ya + Max(yb + yc + yd + ye + yf + yg + yh + yi + yj, 0)</v>
      </c>
      <c r="G80" s="537" t="s">
        <v>286</v>
      </c>
      <c r="H80" s="537"/>
      <c r="I80" s="282">
        <f>E8</f>
        <v>9690</v>
      </c>
      <c r="J80" s="537" t="s">
        <v>287</v>
      </c>
      <c r="K80" s="537"/>
      <c r="L80" s="537"/>
      <c r="M80" s="276" t="e">
        <f>MAX(SUM(E39:E47),0)</f>
        <v>#NAME?</v>
      </c>
      <c r="N80" s="538"/>
      <c r="O80" s="538"/>
      <c r="P80" s="538"/>
      <c r="Q80" s="538"/>
    </row>
    <row r="81" spans="2:17" s="4" customFormat="1" ht="12.75">
      <c r="B81" s="283"/>
      <c r="C81" s="47"/>
      <c r="D81" s="47"/>
      <c r="E81" s="24"/>
      <c r="F81" s="24"/>
      <c r="G81" s="284"/>
      <c r="H81" s="24"/>
      <c r="I81" s="24"/>
      <c r="J81" s="24"/>
      <c r="K81" s="24"/>
      <c r="L81" s="24"/>
      <c r="M81" s="24"/>
      <c r="N81" s="24"/>
      <c r="O81" s="24"/>
      <c r="P81" s="24"/>
      <c r="Q81" s="25"/>
    </row>
  </sheetData>
  <sheetProtection/>
  <mergeCells count="69">
    <mergeCell ref="G73:Q73"/>
    <mergeCell ref="G76:Q76"/>
    <mergeCell ref="G78:H78"/>
    <mergeCell ref="J78:L78"/>
    <mergeCell ref="N78:Q80"/>
    <mergeCell ref="G79:H79"/>
    <mergeCell ref="J79:L79"/>
    <mergeCell ref="G80:H80"/>
    <mergeCell ref="J80:L80"/>
    <mergeCell ref="G67:Q67"/>
    <mergeCell ref="G68:Q68"/>
    <mergeCell ref="G69:Q69"/>
    <mergeCell ref="G70:Q70"/>
    <mergeCell ref="G71:Q71"/>
    <mergeCell ref="G72:Q72"/>
    <mergeCell ref="G61:Q61"/>
    <mergeCell ref="G62:Q62"/>
    <mergeCell ref="G63:Q63"/>
    <mergeCell ref="G64:Q64"/>
    <mergeCell ref="G65:Q65"/>
    <mergeCell ref="G66:Q66"/>
    <mergeCell ref="G55:Q55"/>
    <mergeCell ref="G56:Q56"/>
    <mergeCell ref="G57:Q57"/>
    <mergeCell ref="G58:Q58"/>
    <mergeCell ref="G59:Q59"/>
    <mergeCell ref="G60:Q60"/>
    <mergeCell ref="G47:Q47"/>
    <mergeCell ref="G48:Q48"/>
    <mergeCell ref="B52:Q52"/>
    <mergeCell ref="B53:C53"/>
    <mergeCell ref="D54:F54"/>
    <mergeCell ref="G54:Q54"/>
    <mergeCell ref="G41:Q41"/>
    <mergeCell ref="G42:Q42"/>
    <mergeCell ref="G43:Q43"/>
    <mergeCell ref="G44:Q44"/>
    <mergeCell ref="G45:Q45"/>
    <mergeCell ref="G46:Q46"/>
    <mergeCell ref="G32:Q32"/>
    <mergeCell ref="B36:Q36"/>
    <mergeCell ref="B37:C37"/>
    <mergeCell ref="G38:Q38"/>
    <mergeCell ref="G39:Q39"/>
    <mergeCell ref="G40:Q40"/>
    <mergeCell ref="G26:Q26"/>
    <mergeCell ref="G27:Q27"/>
    <mergeCell ref="G28:Q28"/>
    <mergeCell ref="G29:Q29"/>
    <mergeCell ref="G30:Q30"/>
    <mergeCell ref="G31:Q31"/>
    <mergeCell ref="G17:Q17"/>
    <mergeCell ref="B21:Q21"/>
    <mergeCell ref="B22:C22"/>
    <mergeCell ref="G23:Q23"/>
    <mergeCell ref="G24:Q24"/>
    <mergeCell ref="G25:Q25"/>
    <mergeCell ref="G11:Q11"/>
    <mergeCell ref="G12:Q12"/>
    <mergeCell ref="G13:Q13"/>
    <mergeCell ref="G14:Q14"/>
    <mergeCell ref="G15:Q15"/>
    <mergeCell ref="G16:Q16"/>
    <mergeCell ref="B3:Q3"/>
    <mergeCell ref="B6:Q6"/>
    <mergeCell ref="B7:C7"/>
    <mergeCell ref="G8:Q8"/>
    <mergeCell ref="G9:Q9"/>
    <mergeCell ref="G10:Q10"/>
  </mergeCells>
  <printOptions horizontalCentered="1" verticalCentered="1"/>
  <pageMargins left="0.3541666666666667" right="0.3541666666666667" top="0.39375" bottom="0.39375" header="0.5118055555555555" footer="0.5118055555555555"/>
  <pageSetup fitToHeight="1" fitToWidth="1" horizontalDpi="300" verticalDpi="300" orientation="landscape" paperSize="9"/>
  <ignoredErrors>
    <ignoredError sqref="D10" formula="1"/>
  </ignoredErrors>
</worksheet>
</file>

<file path=xl/worksheets/sheet4.xml><?xml version="1.0" encoding="utf-8"?>
<worksheet xmlns="http://schemas.openxmlformats.org/spreadsheetml/2006/main" xmlns:r="http://schemas.openxmlformats.org/officeDocument/2006/relationships">
  <sheetPr codeName="Sheet8"/>
  <dimension ref="B3:BA136"/>
  <sheetViews>
    <sheetView showGridLines="0" zoomScale="80" zoomScaleNormal="80" zoomScalePageLayoutView="0" workbookViewId="0" topLeftCell="A67">
      <selection activeCell="A1" sqref="A1"/>
    </sheetView>
  </sheetViews>
  <sheetFormatPr defaultColWidth="9.140625" defaultRowHeight="12.75"/>
  <cols>
    <col min="1" max="1" width="3.28125" style="285" customWidth="1"/>
    <col min="2" max="2" width="11.28125" style="285" customWidth="1"/>
    <col min="3" max="3" width="13.00390625" style="285" customWidth="1"/>
    <col min="4" max="4" width="13.28125" style="285" customWidth="1"/>
    <col min="5" max="5" width="19.28125" style="285" customWidth="1"/>
    <col min="6" max="6" width="9.140625" style="285" customWidth="1"/>
    <col min="7" max="7" width="13.140625" style="285" customWidth="1"/>
    <col min="8" max="8" width="9.140625" style="285" customWidth="1"/>
    <col min="9" max="9" width="13.28125" style="285" customWidth="1"/>
    <col min="10" max="45" width="9.140625" style="285" customWidth="1"/>
    <col min="46" max="47" width="12.140625" style="285" customWidth="1"/>
    <col min="48" max="48" width="9.140625" style="285" customWidth="1"/>
    <col min="49" max="49" width="13.00390625" style="285" customWidth="1"/>
    <col min="50" max="16384" width="9.140625" style="285" customWidth="1"/>
  </cols>
  <sheetData>
    <row r="3" spans="2:17" s="4" customFormat="1" ht="25.5">
      <c r="B3" s="461" t="s">
        <v>77</v>
      </c>
      <c r="C3" s="461"/>
      <c r="D3" s="461"/>
      <c r="E3" s="461"/>
      <c r="F3" s="461"/>
      <c r="G3" s="461"/>
      <c r="H3" s="461"/>
      <c r="I3" s="461"/>
      <c r="J3" s="461"/>
      <c r="K3" s="461"/>
      <c r="L3" s="461"/>
      <c r="M3" s="461"/>
      <c r="N3" s="461"/>
      <c r="O3" s="461"/>
      <c r="P3" s="461"/>
      <c r="Q3" s="461"/>
    </row>
    <row r="5" spans="3:5" ht="38.25">
      <c r="C5" s="286" t="s">
        <v>496</v>
      </c>
      <c r="E5" s="287">
        <f>Input!E99</f>
        <v>0.03</v>
      </c>
    </row>
    <row r="8" spans="3:5" ht="12.75">
      <c r="C8" s="288" t="s">
        <v>290</v>
      </c>
      <c r="E8" s="289">
        <v>4</v>
      </c>
    </row>
    <row r="9" spans="3:5" ht="12.75">
      <c r="C9" s="288" t="s">
        <v>291</v>
      </c>
      <c r="E9" s="289">
        <v>35</v>
      </c>
    </row>
    <row r="11" spans="2:5" ht="12.75">
      <c r="B11" s="288"/>
      <c r="C11" s="290" t="s">
        <v>292</v>
      </c>
      <c r="D11" s="290" t="s">
        <v>292</v>
      </c>
      <c r="E11" s="290" t="s">
        <v>292</v>
      </c>
    </row>
    <row r="12" spans="2:5" ht="12.75">
      <c r="B12" s="288"/>
      <c r="C12" s="291">
        <f>AVERAGE(C15:C60)</f>
        <v>0.030000000000000023</v>
      </c>
      <c r="D12" s="291">
        <f>AVERAGE(D15:D60)</f>
        <v>0.01974432346977181</v>
      </c>
      <c r="E12" s="291">
        <f>AVERAGE(E15:E60)</f>
        <v>0.03000000000000003</v>
      </c>
    </row>
    <row r="13" spans="2:5" ht="12" customHeight="1">
      <c r="B13" s="288"/>
      <c r="C13" s="292"/>
      <c r="D13" s="292"/>
      <c r="E13" s="292"/>
    </row>
    <row r="14" spans="2:5" ht="12.75">
      <c r="B14" s="293" t="s">
        <v>90</v>
      </c>
      <c r="C14" s="293" t="s">
        <v>293</v>
      </c>
      <c r="D14" s="293" t="s">
        <v>294</v>
      </c>
      <c r="E14" s="290" t="s">
        <v>295</v>
      </c>
    </row>
    <row r="15" spans="2:5" ht="12.75">
      <c r="B15" s="285">
        <v>20</v>
      </c>
      <c r="C15" s="287">
        <f aca="true" t="shared" si="0" ref="C15:C60">$E$5</f>
        <v>0.03</v>
      </c>
      <c r="D15" s="291">
        <f aca="true" t="shared" si="1" ref="D15:D60">WEIBULL(B15,$E$8,$E$9,FALSE)</f>
        <v>0.01916780357003138</v>
      </c>
      <c r="E15" s="291">
        <f aca="true" t="shared" si="2" ref="E15:E60">D15/$D$12*$C$12</f>
        <v>0.029124021797014638</v>
      </c>
    </row>
    <row r="16" spans="2:5" ht="12.75">
      <c r="B16" s="285">
        <f aca="true" t="shared" si="3" ref="B16:B60">B15+1</f>
        <v>21</v>
      </c>
      <c r="C16" s="287">
        <f t="shared" si="0"/>
        <v>0.03</v>
      </c>
      <c r="D16" s="291">
        <f t="shared" si="1"/>
        <v>0.02168508522280976</v>
      </c>
      <c r="E16" s="291">
        <f t="shared" si="2"/>
        <v>0.03294884008967322</v>
      </c>
    </row>
    <row r="17" spans="2:5" ht="12.75">
      <c r="B17" s="285">
        <f t="shared" si="3"/>
        <v>22</v>
      </c>
      <c r="C17" s="287">
        <f t="shared" si="0"/>
        <v>0.03</v>
      </c>
      <c r="D17" s="291">
        <f t="shared" si="1"/>
        <v>0.024280635303514417</v>
      </c>
      <c r="E17" s="291">
        <f t="shared" si="2"/>
        <v>0.036892581314352406</v>
      </c>
    </row>
    <row r="18" spans="2:5" ht="12.75">
      <c r="B18" s="285">
        <f t="shared" si="3"/>
        <v>23</v>
      </c>
      <c r="C18" s="287">
        <f t="shared" si="0"/>
        <v>0.03</v>
      </c>
      <c r="D18" s="291">
        <f t="shared" si="1"/>
        <v>0.02691428203816603</v>
      </c>
      <c r="E18" s="291">
        <f t="shared" si="2"/>
        <v>0.04089420751139635</v>
      </c>
    </row>
    <row r="19" spans="2:5" ht="12.75">
      <c r="B19" s="285">
        <f t="shared" si="3"/>
        <v>24</v>
      </c>
      <c r="C19" s="287">
        <f t="shared" si="0"/>
        <v>0.03</v>
      </c>
      <c r="D19" s="291">
        <f t="shared" si="1"/>
        <v>0.02953946030029693</v>
      </c>
      <c r="E19" s="291">
        <f t="shared" si="2"/>
        <v>0.04488296650759594</v>
      </c>
    </row>
    <row r="20" spans="2:5" ht="12.75">
      <c r="B20" s="285">
        <f t="shared" si="3"/>
        <v>25</v>
      </c>
      <c r="C20" s="287">
        <f t="shared" si="0"/>
        <v>0.03</v>
      </c>
      <c r="D20" s="291">
        <f t="shared" si="1"/>
        <v>0.032103872575295025</v>
      </c>
      <c r="E20" s="291">
        <f t="shared" si="2"/>
        <v>0.04877939620131145</v>
      </c>
    </row>
    <row r="21" spans="2:5" ht="12.75">
      <c r="B21" s="285">
        <f t="shared" si="3"/>
        <v>26</v>
      </c>
      <c r="C21" s="287">
        <f t="shared" si="0"/>
        <v>0.03</v>
      </c>
      <c r="D21" s="291">
        <f t="shared" si="1"/>
        <v>0.03455054161825228</v>
      </c>
      <c r="E21" s="291">
        <f t="shared" si="2"/>
        <v>0.052496923996127605</v>
      </c>
    </row>
    <row r="22" spans="2:5" ht="12.75">
      <c r="B22" s="285">
        <f t="shared" si="3"/>
        <v>27</v>
      </c>
      <c r="C22" s="287">
        <f t="shared" si="0"/>
        <v>0.03</v>
      </c>
      <c r="D22" s="291">
        <f t="shared" si="1"/>
        <v>0.0368192775018032</v>
      </c>
      <c r="E22" s="291">
        <f t="shared" si="2"/>
        <v>0.05594409586862703</v>
      </c>
    </row>
    <row r="23" spans="2:5" ht="12.75">
      <c r="B23" s="285">
        <f t="shared" si="3"/>
        <v>28</v>
      </c>
      <c r="C23" s="287">
        <f t="shared" si="0"/>
        <v>0.03</v>
      </c>
      <c r="D23" s="291">
        <f t="shared" si="1"/>
        <v>0.03884855666602998</v>
      </c>
      <c r="E23" s="291">
        <f t="shared" si="2"/>
        <v>0.05902743144201384</v>
      </c>
    </row>
    <row r="24" spans="2:5" ht="12.75">
      <c r="B24" s="285">
        <f t="shared" si="3"/>
        <v>29</v>
      </c>
      <c r="C24" s="287">
        <f t="shared" si="0"/>
        <v>0.03</v>
      </c>
      <c r="D24" s="291">
        <f t="shared" si="1"/>
        <v>0.04057777904258092</v>
      </c>
      <c r="E24" s="291">
        <f t="shared" si="2"/>
        <v>0.061654853514790886</v>
      </c>
    </row>
    <row r="25" spans="2:5" ht="12.75">
      <c r="B25" s="285">
        <f t="shared" si="3"/>
        <v>30</v>
      </c>
      <c r="C25" s="287">
        <f t="shared" si="0"/>
        <v>0.03</v>
      </c>
      <c r="D25" s="291">
        <f t="shared" si="1"/>
        <v>0.04194983272498834</v>
      </c>
      <c r="E25" s="291">
        <f t="shared" si="2"/>
        <v>0.06373958488253008</v>
      </c>
    </row>
    <row r="26" spans="2:5" ht="12.75">
      <c r="B26" s="285">
        <f t="shared" si="3"/>
        <v>31</v>
      </c>
      <c r="C26" s="287">
        <f t="shared" si="0"/>
        <v>0.03</v>
      </c>
      <c r="D26" s="291">
        <f t="shared" si="1"/>
        <v>0.04291385643904386</v>
      </c>
      <c r="E26" s="291">
        <f t="shared" si="2"/>
        <v>0.0652043457018077</v>
      </c>
    </row>
    <row r="27" spans="2:5" ht="12.75">
      <c r="B27" s="285">
        <f t="shared" si="3"/>
        <v>32</v>
      </c>
      <c r="C27" s="287">
        <f t="shared" si="0"/>
        <v>0.03</v>
      </c>
      <c r="D27" s="291">
        <f t="shared" si="1"/>
        <v>0.043428051736066724</v>
      </c>
      <c r="E27" s="291">
        <f t="shared" si="2"/>
        <v>0.06598562640429939</v>
      </c>
    </row>
    <row r="28" spans="2:5" ht="12.75">
      <c r="B28" s="285">
        <f t="shared" si="3"/>
        <v>33</v>
      </c>
      <c r="C28" s="287">
        <f t="shared" si="0"/>
        <v>0.03</v>
      </c>
      <c r="D28" s="291">
        <f t="shared" si="1"/>
        <v>0.04346236381080113</v>
      </c>
      <c r="E28" s="291">
        <f t="shared" si="2"/>
        <v>0.06603776099597625</v>
      </c>
    </row>
    <row r="29" spans="2:5" ht="12.75">
      <c r="B29" s="285">
        <f t="shared" si="3"/>
        <v>34</v>
      </c>
      <c r="C29" s="287">
        <f t="shared" si="0"/>
        <v>0.03</v>
      </c>
      <c r="D29" s="291">
        <f t="shared" si="1"/>
        <v>0.04300082713329295</v>
      </c>
      <c r="E29" s="291">
        <f t="shared" si="2"/>
        <v>0.06533649106659914</v>
      </c>
    </row>
    <row r="30" spans="2:5" ht="12.75">
      <c r="B30" s="285">
        <f t="shared" si="3"/>
        <v>35</v>
      </c>
      <c r="C30" s="287">
        <f t="shared" si="0"/>
        <v>0.03</v>
      </c>
      <c r="D30" s="291">
        <f t="shared" si="1"/>
        <v>0.04204336470530772</v>
      </c>
      <c r="E30" s="291">
        <f t="shared" si="2"/>
        <v>0.06388169962319858</v>
      </c>
    </row>
    <row r="31" spans="2:53" ht="12.75">
      <c r="B31" s="285">
        <f t="shared" si="3"/>
        <v>36</v>
      </c>
      <c r="C31" s="287">
        <f t="shared" si="0"/>
        <v>0.03</v>
      </c>
      <c r="D31" s="291">
        <f t="shared" si="1"/>
        <v>0.04060684202504474</v>
      </c>
      <c r="E31" s="291">
        <f t="shared" si="2"/>
        <v>0.06169901250941277</v>
      </c>
      <c r="G31" s="294" t="s">
        <v>497</v>
      </c>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39"/>
      <c r="AY31" s="539"/>
      <c r="AZ31" s="539"/>
      <c r="BA31" s="539"/>
    </row>
    <row r="32" spans="2:53" ht="12.75">
      <c r="B32" s="285">
        <f t="shared" si="3"/>
        <v>37</v>
      </c>
      <c r="C32" s="287">
        <f t="shared" si="0"/>
        <v>0.03</v>
      </c>
      <c r="D32" s="291">
        <f t="shared" si="1"/>
        <v>0.038725211538166826</v>
      </c>
      <c r="E32" s="291">
        <f t="shared" si="2"/>
        <v>0.05884001788785688</v>
      </c>
      <c r="G32" s="295" t="s">
        <v>90</v>
      </c>
      <c r="H32" s="296">
        <v>20</v>
      </c>
      <c r="I32" s="297">
        <f aca="true" t="shared" si="4" ref="I32:BA32">H32+1</f>
        <v>21</v>
      </c>
      <c r="J32" s="297">
        <f t="shared" si="4"/>
        <v>22</v>
      </c>
      <c r="K32" s="297">
        <f t="shared" si="4"/>
        <v>23</v>
      </c>
      <c r="L32" s="297">
        <f t="shared" si="4"/>
        <v>24</v>
      </c>
      <c r="M32" s="297">
        <f t="shared" si="4"/>
        <v>25</v>
      </c>
      <c r="N32" s="297">
        <f t="shared" si="4"/>
        <v>26</v>
      </c>
      <c r="O32" s="297">
        <f t="shared" si="4"/>
        <v>27</v>
      </c>
      <c r="P32" s="297">
        <f t="shared" si="4"/>
        <v>28</v>
      </c>
      <c r="Q32" s="297">
        <f t="shared" si="4"/>
        <v>29</v>
      </c>
      <c r="R32" s="297">
        <f t="shared" si="4"/>
        <v>30</v>
      </c>
      <c r="S32" s="297">
        <f t="shared" si="4"/>
        <v>31</v>
      </c>
      <c r="T32" s="297">
        <f t="shared" si="4"/>
        <v>32</v>
      </c>
      <c r="U32" s="297">
        <f t="shared" si="4"/>
        <v>33</v>
      </c>
      <c r="V32" s="297">
        <f t="shared" si="4"/>
        <v>34</v>
      </c>
      <c r="W32" s="297">
        <f t="shared" si="4"/>
        <v>35</v>
      </c>
      <c r="X32" s="297">
        <f t="shared" si="4"/>
        <v>36</v>
      </c>
      <c r="Y32" s="297">
        <f t="shared" si="4"/>
        <v>37</v>
      </c>
      <c r="Z32" s="297">
        <f t="shared" si="4"/>
        <v>38</v>
      </c>
      <c r="AA32" s="297">
        <f t="shared" si="4"/>
        <v>39</v>
      </c>
      <c r="AB32" s="297">
        <f t="shared" si="4"/>
        <v>40</v>
      </c>
      <c r="AC32" s="297">
        <f t="shared" si="4"/>
        <v>41</v>
      </c>
      <c r="AD32" s="297">
        <f t="shared" si="4"/>
        <v>42</v>
      </c>
      <c r="AE32" s="297">
        <f t="shared" si="4"/>
        <v>43</v>
      </c>
      <c r="AF32" s="297">
        <f t="shared" si="4"/>
        <v>44</v>
      </c>
      <c r="AG32" s="297">
        <f t="shared" si="4"/>
        <v>45</v>
      </c>
      <c r="AH32" s="297">
        <f t="shared" si="4"/>
        <v>46</v>
      </c>
      <c r="AI32" s="297">
        <f t="shared" si="4"/>
        <v>47</v>
      </c>
      <c r="AJ32" s="297">
        <f t="shared" si="4"/>
        <v>48</v>
      </c>
      <c r="AK32" s="297">
        <f t="shared" si="4"/>
        <v>49</v>
      </c>
      <c r="AL32" s="298">
        <f t="shared" si="4"/>
        <v>50</v>
      </c>
      <c r="AM32" s="299">
        <f t="shared" si="4"/>
        <v>51</v>
      </c>
      <c r="AN32" s="299">
        <f t="shared" si="4"/>
        <v>52</v>
      </c>
      <c r="AO32" s="299">
        <f t="shared" si="4"/>
        <v>53</v>
      </c>
      <c r="AP32" s="299">
        <f t="shared" si="4"/>
        <v>54</v>
      </c>
      <c r="AQ32" s="299">
        <f t="shared" si="4"/>
        <v>55</v>
      </c>
      <c r="AR32" s="299">
        <f t="shared" si="4"/>
        <v>56</v>
      </c>
      <c r="AS32" s="299">
        <f t="shared" si="4"/>
        <v>57</v>
      </c>
      <c r="AT32" s="299">
        <f t="shared" si="4"/>
        <v>58</v>
      </c>
      <c r="AU32" s="299">
        <f t="shared" si="4"/>
        <v>59</v>
      </c>
      <c r="AV32" s="299">
        <f t="shared" si="4"/>
        <v>60</v>
      </c>
      <c r="AW32" s="299">
        <f t="shared" si="4"/>
        <v>61</v>
      </c>
      <c r="AX32" s="299">
        <f t="shared" si="4"/>
        <v>62</v>
      </c>
      <c r="AY32" s="299">
        <f t="shared" si="4"/>
        <v>63</v>
      </c>
      <c r="AZ32" s="299">
        <f t="shared" si="4"/>
        <v>64</v>
      </c>
      <c r="BA32" s="300">
        <f t="shared" si="4"/>
        <v>65</v>
      </c>
    </row>
    <row r="33" spans="2:53" ht="15" customHeight="1">
      <c r="B33" s="285">
        <f t="shared" si="3"/>
        <v>38</v>
      </c>
      <c r="C33" s="287">
        <f t="shared" si="0"/>
        <v>0.03</v>
      </c>
      <c r="D33" s="291">
        <f t="shared" si="1"/>
        <v>0.03644864085630677</v>
      </c>
      <c r="E33" s="291">
        <f t="shared" si="2"/>
        <v>0.055380941634352254</v>
      </c>
      <c r="G33" s="301" t="s">
        <v>296</v>
      </c>
      <c r="H33" s="302">
        <f aca="true" t="shared" si="5" ref="H33:BA33">VLOOKUP(H32,$B$15:$E$60,4,FALSE)</f>
        <v>0.029124021797014638</v>
      </c>
      <c r="I33" s="302">
        <f t="shared" si="5"/>
        <v>0.03294884008967322</v>
      </c>
      <c r="J33" s="302">
        <f t="shared" si="5"/>
        <v>0.036892581314352406</v>
      </c>
      <c r="K33" s="302">
        <f t="shared" si="5"/>
        <v>0.04089420751139635</v>
      </c>
      <c r="L33" s="302">
        <f t="shared" si="5"/>
        <v>0.04488296650759594</v>
      </c>
      <c r="M33" s="302">
        <f t="shared" si="5"/>
        <v>0.04877939620131145</v>
      </c>
      <c r="N33" s="302">
        <f t="shared" si="5"/>
        <v>0.052496923996127605</v>
      </c>
      <c r="O33" s="302">
        <f t="shared" si="5"/>
        <v>0.05594409586862703</v>
      </c>
      <c r="P33" s="302">
        <f t="shared" si="5"/>
        <v>0.05902743144201384</v>
      </c>
      <c r="Q33" s="302">
        <f t="shared" si="5"/>
        <v>0.061654853514790886</v>
      </c>
      <c r="R33" s="302">
        <f t="shared" si="5"/>
        <v>0.06373958488253008</v>
      </c>
      <c r="S33" s="302">
        <f t="shared" si="5"/>
        <v>0.0652043457018077</v>
      </c>
      <c r="T33" s="302">
        <f t="shared" si="5"/>
        <v>0.06598562640429939</v>
      </c>
      <c r="U33" s="302">
        <f t="shared" si="5"/>
        <v>0.06603776099597625</v>
      </c>
      <c r="V33" s="302">
        <f t="shared" si="5"/>
        <v>0.06533649106659914</v>
      </c>
      <c r="W33" s="302">
        <f t="shared" si="5"/>
        <v>0.06388169962319858</v>
      </c>
      <c r="X33" s="302">
        <f t="shared" si="5"/>
        <v>0.06169901250941277</v>
      </c>
      <c r="Y33" s="302">
        <f t="shared" si="5"/>
        <v>0.05884001788785688</v>
      </c>
      <c r="Z33" s="302">
        <f t="shared" si="5"/>
        <v>0.055380941634352254</v>
      </c>
      <c r="AA33" s="302">
        <f t="shared" si="5"/>
        <v>0.05141973448979412</v>
      </c>
      <c r="AB33" s="302">
        <f t="shared" si="5"/>
        <v>0.0470716663180658</v>
      </c>
      <c r="AC33" s="302">
        <f t="shared" si="5"/>
        <v>0.04246366992913754</v>
      </c>
      <c r="AD33" s="302">
        <f t="shared" si="5"/>
        <v>0.03772781420965467</v>
      </c>
      <c r="AE33" s="302">
        <f t="shared" si="5"/>
        <v>0.03299439494381889</v>
      </c>
      <c r="AF33" s="302">
        <f t="shared" si="5"/>
        <v>0.02838519437094856</v>
      </c>
      <c r="AG33" s="302">
        <f t="shared" si="5"/>
        <v>0.024007464490378223</v>
      </c>
      <c r="AH33" s="302">
        <f t="shared" si="5"/>
        <v>0.019949129086968883</v>
      </c>
      <c r="AI33" s="302">
        <f t="shared" si="5"/>
        <v>0.016275579364424662</v>
      </c>
      <c r="AJ33" s="302">
        <f t="shared" si="5"/>
        <v>0.013028271456709662</v>
      </c>
      <c r="AK33" s="302">
        <f t="shared" si="5"/>
        <v>0.01022514251118729</v>
      </c>
      <c r="AL33" s="303">
        <f t="shared" si="5"/>
        <v>0.007862671881225688</v>
      </c>
      <c r="AM33" s="304">
        <f t="shared" si="5"/>
        <v>0.005919251961243405</v>
      </c>
      <c r="AN33" s="304">
        <f t="shared" si="5"/>
        <v>0.0043594216202131565</v>
      </c>
      <c r="AO33" s="304">
        <f t="shared" si="5"/>
        <v>0.003138467760384326</v>
      </c>
      <c r="AP33" s="304">
        <f t="shared" si="5"/>
        <v>0.00220691996173256</v>
      </c>
      <c r="AQ33" s="304">
        <f t="shared" si="5"/>
        <v>0.0015145409892683781</v>
      </c>
      <c r="AR33" s="304">
        <f t="shared" si="5"/>
        <v>0.001013534591669444</v>
      </c>
      <c r="AS33" s="304">
        <f t="shared" si="5"/>
        <v>0.0006608288158383577</v>
      </c>
      <c r="AT33" s="304">
        <f t="shared" si="5"/>
        <v>0.00041942492668432655</v>
      </c>
      <c r="AU33" s="304">
        <f t="shared" si="5"/>
        <v>0.0002589099248686076</v>
      </c>
      <c r="AV33" s="304">
        <f t="shared" si="5"/>
        <v>0.00015530271484521033</v>
      </c>
      <c r="AW33" s="304">
        <f t="shared" si="5"/>
        <v>9.04366327584531E-05</v>
      </c>
      <c r="AX33" s="304">
        <f t="shared" si="5"/>
        <v>5.107827912216644E-05</v>
      </c>
      <c r="AY33" s="304">
        <f t="shared" si="5"/>
        <v>2.79536617899071E-05</v>
      </c>
      <c r="AZ33" s="304">
        <f t="shared" si="5"/>
        <v>1.4809087375468489E-05</v>
      </c>
      <c r="BA33" s="305">
        <f t="shared" si="5"/>
        <v>7.587070957226616E-06</v>
      </c>
    </row>
    <row r="34" spans="2:53" ht="12.75">
      <c r="B34" s="285">
        <f t="shared" si="3"/>
        <v>39</v>
      </c>
      <c r="C34" s="287">
        <f t="shared" si="0"/>
        <v>0.03</v>
      </c>
      <c r="D34" s="291">
        <f t="shared" si="1"/>
        <v>0.03384159568320921</v>
      </c>
      <c r="E34" s="291">
        <f t="shared" si="2"/>
        <v>0.05141973448979412</v>
      </c>
      <c r="G34" s="301" t="s">
        <v>297</v>
      </c>
      <c r="H34" s="306" t="s">
        <v>298</v>
      </c>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8"/>
    </row>
    <row r="35" spans="2:53" ht="12.75">
      <c r="B35" s="285">
        <f t="shared" si="3"/>
        <v>40</v>
      </c>
      <c r="C35" s="287">
        <f t="shared" si="0"/>
        <v>0.03</v>
      </c>
      <c r="D35" s="291">
        <f t="shared" si="1"/>
        <v>0.03097994020150177</v>
      </c>
      <c r="E35" s="291">
        <f t="shared" si="2"/>
        <v>0.0470716663180658</v>
      </c>
      <c r="G35" s="309">
        <v>50</v>
      </c>
      <c r="H35" s="310">
        <f aca="true" t="shared" si="6" ref="H35:AZ35">IF($G35-H$32&gt;0,(1-H$33)*IF(I35&lt;&gt;"",I35,1),"")</f>
        <v>0.24944517732499738</v>
      </c>
      <c r="I35" s="311">
        <f t="shared" si="6"/>
        <v>0.25692795261728557</v>
      </c>
      <c r="J35" s="311">
        <f t="shared" si="6"/>
        <v>0.26568186179633985</v>
      </c>
      <c r="K35" s="311">
        <f t="shared" si="6"/>
        <v>0.27585901285955805</v>
      </c>
      <c r="L35" s="311">
        <f t="shared" si="6"/>
        <v>0.2876210476675188</v>
      </c>
      <c r="M35" s="311">
        <f t="shared" si="6"/>
        <v>0.3011369681219346</v>
      </c>
      <c r="N35" s="311">
        <f t="shared" si="6"/>
        <v>0.3165795262627277</v>
      </c>
      <c r="O35" s="311">
        <f t="shared" si="6"/>
        <v>0.3341197873445572</v>
      </c>
      <c r="P35" s="311">
        <f t="shared" si="6"/>
        <v>0.3539194934138792</v>
      </c>
      <c r="Q35" s="311">
        <f t="shared" si="6"/>
        <v>0.3761209468159638</v>
      </c>
      <c r="R35" s="311">
        <f t="shared" si="6"/>
        <v>0.4008343286314345</v>
      </c>
      <c r="S35" s="311">
        <f t="shared" si="6"/>
        <v>0.42812269125053515</v>
      </c>
      <c r="T35" s="311">
        <f t="shared" si="6"/>
        <v>0.45798532468783537</v>
      </c>
      <c r="U35" s="311">
        <f t="shared" si="6"/>
        <v>0.49034076737461413</v>
      </c>
      <c r="V35" s="311">
        <f t="shared" si="6"/>
        <v>0.5250113408198526</v>
      </c>
      <c r="W35" s="311">
        <f t="shared" si="6"/>
        <v>0.5617116061575718</v>
      </c>
      <c r="X35" s="311">
        <f t="shared" si="6"/>
        <v>0.6000433982878816</v>
      </c>
      <c r="Y35" s="311">
        <f t="shared" si="6"/>
        <v>0.6394999113159316</v>
      </c>
      <c r="Z35" s="311">
        <f t="shared" si="6"/>
        <v>0.6794805595970745</v>
      </c>
      <c r="AA35" s="311">
        <f t="shared" si="6"/>
        <v>0.7193170131171098</v>
      </c>
      <c r="AB35" s="311">
        <f t="shared" si="6"/>
        <v>0.7583090638410194</v>
      </c>
      <c r="AC35" s="311">
        <f t="shared" si="6"/>
        <v>0.7957671495725781</v>
      </c>
      <c r="AD35" s="311">
        <f t="shared" si="6"/>
        <v>0.8310568743785287</v>
      </c>
      <c r="AE35" s="311">
        <f t="shared" si="6"/>
        <v>0.8636401286980511</v>
      </c>
      <c r="AF35" s="311">
        <f t="shared" si="6"/>
        <v>0.8931076760903317</v>
      </c>
      <c r="AG35" s="311">
        <f t="shared" si="6"/>
        <v>0.9191993276719451</v>
      </c>
      <c r="AH35" s="311">
        <f t="shared" si="6"/>
        <v>0.9418097928300019</v>
      </c>
      <c r="AI35" s="311">
        <f t="shared" si="6"/>
        <v>0.9609805172180468</v>
      </c>
      <c r="AJ35" s="311">
        <f t="shared" si="6"/>
        <v>0.9768798019644223</v>
      </c>
      <c r="AK35" s="311">
        <f t="shared" si="6"/>
        <v>0.9897748574888127</v>
      </c>
      <c r="AL35" s="312">
        <f t="shared" si="6"/>
      </c>
      <c r="AM35" s="313">
        <f t="shared" si="6"/>
      </c>
      <c r="AN35" s="313">
        <f t="shared" si="6"/>
      </c>
      <c r="AO35" s="313">
        <f t="shared" si="6"/>
      </c>
      <c r="AP35" s="313">
        <f t="shared" si="6"/>
      </c>
      <c r="AQ35" s="313">
        <f t="shared" si="6"/>
      </c>
      <c r="AR35" s="313">
        <f t="shared" si="6"/>
      </c>
      <c r="AS35" s="313">
        <f t="shared" si="6"/>
      </c>
      <c r="AT35" s="313">
        <f t="shared" si="6"/>
      </c>
      <c r="AU35" s="313">
        <f t="shared" si="6"/>
      </c>
      <c r="AV35" s="313">
        <f t="shared" si="6"/>
      </c>
      <c r="AW35" s="313">
        <f t="shared" si="6"/>
      </c>
      <c r="AX35" s="313">
        <f t="shared" si="6"/>
      </c>
      <c r="AY35" s="313">
        <f t="shared" si="6"/>
      </c>
      <c r="AZ35" s="313">
        <f t="shared" si="6"/>
      </c>
      <c r="BA35" s="314">
        <f>IF($G35-BA$32=0,(1-BA$33),"")</f>
      </c>
    </row>
    <row r="36" spans="2:53" ht="12.75">
      <c r="B36" s="285">
        <f t="shared" si="3"/>
        <v>41</v>
      </c>
      <c r="C36" s="287">
        <f t="shared" si="0"/>
        <v>0.03</v>
      </c>
      <c r="D36" s="291">
        <f t="shared" si="1"/>
        <v>0.027947214493150435</v>
      </c>
      <c r="E36" s="291">
        <f t="shared" si="2"/>
        <v>0.04246366992913754</v>
      </c>
      <c r="G36" s="315">
        <f aca="true" t="shared" si="7" ref="G36:G50">G35+1</f>
        <v>51</v>
      </c>
      <c r="H36" s="316">
        <f aca="true" t="shared" si="8" ref="H36:AZ36">IF($G36-H$32&gt;0,(1-H$33)*IF(I36&lt;&gt;"",I36,1),"")</f>
        <v>0.24748387174333686</v>
      </c>
      <c r="I36" s="317">
        <f t="shared" si="8"/>
        <v>0.25490781242874083</v>
      </c>
      <c r="J36" s="317">
        <f t="shared" si="8"/>
        <v>0.26359289249224216</v>
      </c>
      <c r="K36" s="317">
        <f t="shared" si="8"/>
        <v>0.27369002395596465</v>
      </c>
      <c r="L36" s="317">
        <f t="shared" si="8"/>
        <v>0.28535957774357484</v>
      </c>
      <c r="M36" s="317">
        <f t="shared" si="8"/>
        <v>0.2987692269502848</v>
      </c>
      <c r="N36" s="317">
        <f t="shared" si="8"/>
        <v>0.31409036532341006</v>
      </c>
      <c r="O36" s="317">
        <f t="shared" si="8"/>
        <v>0.33149271308764217</v>
      </c>
      <c r="P36" s="317">
        <f t="shared" si="8"/>
        <v>0.3511367405647963</v>
      </c>
      <c r="Q36" s="317">
        <f t="shared" si="8"/>
        <v>0.37316363122349405</v>
      </c>
      <c r="R36" s="317">
        <f t="shared" si="8"/>
        <v>0.3976826998266742</v>
      </c>
      <c r="S36" s="317">
        <f t="shared" si="8"/>
        <v>0.424756503004325</v>
      </c>
      <c r="T36" s="317">
        <f t="shared" si="8"/>
        <v>0.4543843363533984</v>
      </c>
      <c r="U36" s="317">
        <f t="shared" si="8"/>
        <v>0.48648537881075926</v>
      </c>
      <c r="V36" s="317">
        <f t="shared" si="8"/>
        <v>0.5208833489130639</v>
      </c>
      <c r="W36" s="317">
        <f t="shared" si="8"/>
        <v>0.5572950521064787</v>
      </c>
      <c r="X36" s="317">
        <f t="shared" si="8"/>
        <v>0.5953254539326485</v>
      </c>
      <c r="Y36" s="317">
        <f t="shared" si="8"/>
        <v>0.6344717333451816</v>
      </c>
      <c r="Z36" s="317">
        <f t="shared" si="8"/>
        <v>0.6741380269072912</v>
      </c>
      <c r="AA36" s="317">
        <f t="shared" si="8"/>
        <v>0.7136612594643867</v>
      </c>
      <c r="AB36" s="317">
        <f t="shared" si="8"/>
        <v>0.7523467284874781</v>
      </c>
      <c r="AC36" s="317">
        <f t="shared" si="8"/>
        <v>0.7895102935816307</v>
      </c>
      <c r="AD36" s="317">
        <f t="shared" si="8"/>
        <v>0.8245225468606533</v>
      </c>
      <c r="AE36" s="317">
        <f t="shared" si="8"/>
        <v>0.8568496097426387</v>
      </c>
      <c r="AF36" s="317">
        <f t="shared" si="8"/>
        <v>0.8860854634786294</v>
      </c>
      <c r="AG36" s="317">
        <f t="shared" si="8"/>
        <v>0.9119719649650173</v>
      </c>
      <c r="AH36" s="317">
        <f t="shared" si="8"/>
        <v>0.9344046514544544</v>
      </c>
      <c r="AI36" s="317">
        <f t="shared" si="8"/>
        <v>0.9534246427269107</v>
      </c>
      <c r="AJ36" s="317">
        <f t="shared" si="8"/>
        <v>0.9691989166141792</v>
      </c>
      <c r="AK36" s="317">
        <f t="shared" si="8"/>
        <v>0.9819925825480912</v>
      </c>
      <c r="AL36" s="318">
        <f t="shared" si="8"/>
        <v>0.9921373281187743</v>
      </c>
      <c r="AM36" s="319">
        <f t="shared" si="8"/>
      </c>
      <c r="AN36" s="319">
        <f t="shared" si="8"/>
      </c>
      <c r="AO36" s="319">
        <f t="shared" si="8"/>
      </c>
      <c r="AP36" s="319">
        <f t="shared" si="8"/>
      </c>
      <c r="AQ36" s="319">
        <f t="shared" si="8"/>
      </c>
      <c r="AR36" s="319">
        <f t="shared" si="8"/>
      </c>
      <c r="AS36" s="319">
        <f t="shared" si="8"/>
      </c>
      <c r="AT36" s="319">
        <f t="shared" si="8"/>
      </c>
      <c r="AU36" s="319">
        <f t="shared" si="8"/>
      </c>
      <c r="AV36" s="319">
        <f t="shared" si="8"/>
      </c>
      <c r="AW36" s="319">
        <f t="shared" si="8"/>
      </c>
      <c r="AX36" s="319">
        <f t="shared" si="8"/>
      </c>
      <c r="AY36" s="319">
        <f t="shared" si="8"/>
      </c>
      <c r="AZ36" s="319">
        <f t="shared" si="8"/>
      </c>
      <c r="BA36" s="320">
        <f aca="true" t="shared" si="9" ref="BA36:BA50">IF($G36-BA$32&gt;0,(1-BA$33),"")</f>
      </c>
    </row>
    <row r="37" spans="2:53" ht="12.75">
      <c r="B37" s="285">
        <f t="shared" si="3"/>
        <v>42</v>
      </c>
      <c r="C37" s="287">
        <f t="shared" si="0"/>
        <v>0.03</v>
      </c>
      <c r="D37" s="291">
        <f t="shared" si="1"/>
        <v>0.024830338918762483</v>
      </c>
      <c r="E37" s="291">
        <f t="shared" si="2"/>
        <v>0.03772781420965467</v>
      </c>
      <c r="G37" s="315">
        <f t="shared" si="7"/>
        <v>52</v>
      </c>
      <c r="H37" s="316">
        <f aca="true" t="shared" si="10" ref="H37:AZ37">IF($G37-H$32&gt;0,(1-H$33)*IF(I37&lt;&gt;"",I37,1),"")</f>
        <v>0.2460189523501439</v>
      </c>
      <c r="I37" s="317">
        <f t="shared" si="10"/>
        <v>0.2533989488600856</v>
      </c>
      <c r="J37" s="317">
        <f t="shared" si="10"/>
        <v>0.26203261974638753</v>
      </c>
      <c r="K37" s="317">
        <f t="shared" si="10"/>
        <v>0.27206998374489044</v>
      </c>
      <c r="L37" s="317">
        <f t="shared" si="10"/>
        <v>0.2836704625033565</v>
      </c>
      <c r="M37" s="317">
        <f t="shared" si="10"/>
        <v>0.29700073661770005</v>
      </c>
      <c r="N37" s="317">
        <f t="shared" si="10"/>
        <v>0.3122311853124617</v>
      </c>
      <c r="O37" s="317">
        <f t="shared" si="10"/>
        <v>0.3295305241955601</v>
      </c>
      <c r="P37" s="317">
        <f t="shared" si="10"/>
        <v>0.3490582737245434</v>
      </c>
      <c r="Q37" s="317">
        <f t="shared" si="10"/>
        <v>0.3709547816675095</v>
      </c>
      <c r="R37" s="317">
        <f t="shared" si="10"/>
        <v>0.39532871572577244</v>
      </c>
      <c r="S37" s="317">
        <f t="shared" si="10"/>
        <v>0.4222422622408656</v>
      </c>
      <c r="T37" s="317">
        <f t="shared" si="10"/>
        <v>0.4516947209792801</v>
      </c>
      <c r="U37" s="317">
        <f t="shared" si="10"/>
        <v>0.4836057492781172</v>
      </c>
      <c r="V37" s="317">
        <f t="shared" si="10"/>
        <v>0.517800109128431</v>
      </c>
      <c r="W37" s="317">
        <f t="shared" si="10"/>
        <v>0.553996282276306</v>
      </c>
      <c r="X37" s="317">
        <f t="shared" si="10"/>
        <v>0.5918015725718794</v>
      </c>
      <c r="Y37" s="317">
        <f t="shared" si="10"/>
        <v>0.6307161352932246</v>
      </c>
      <c r="Z37" s="317">
        <f t="shared" si="10"/>
        <v>0.6701476340693713</v>
      </c>
      <c r="AA37" s="317">
        <f t="shared" si="10"/>
        <v>0.7094369186546385</v>
      </c>
      <c r="AB37" s="317">
        <f t="shared" si="10"/>
        <v>0.7478933986393433</v>
      </c>
      <c r="AC37" s="317">
        <f t="shared" si="10"/>
        <v>0.7848369832279257</v>
      </c>
      <c r="AD37" s="317">
        <f t="shared" si="10"/>
        <v>0.8196419901580589</v>
      </c>
      <c r="AE37" s="317">
        <f t="shared" si="10"/>
        <v>0.8517777010096789</v>
      </c>
      <c r="AF37" s="317">
        <f t="shared" si="10"/>
        <v>0.8808405003611042</v>
      </c>
      <c r="AG37" s="317">
        <f t="shared" si="10"/>
        <v>0.9065737731227991</v>
      </c>
      <c r="AH37" s="317">
        <f t="shared" si="10"/>
        <v>0.9288736748887376</v>
      </c>
      <c r="AI37" s="317">
        <f t="shared" si="10"/>
        <v>0.9477810820405517</v>
      </c>
      <c r="AJ37" s="317">
        <f t="shared" si="10"/>
        <v>0.9634619840261758</v>
      </c>
      <c r="AK37" s="317">
        <f t="shared" si="10"/>
        <v>0.976179921027917</v>
      </c>
      <c r="AL37" s="318">
        <f t="shared" si="10"/>
        <v>0.9862646172934845</v>
      </c>
      <c r="AM37" s="319">
        <f t="shared" si="10"/>
        <v>0.9940807480387566</v>
      </c>
      <c r="AN37" s="319">
        <f t="shared" si="10"/>
      </c>
      <c r="AO37" s="319">
        <f t="shared" si="10"/>
      </c>
      <c r="AP37" s="319">
        <f t="shared" si="10"/>
      </c>
      <c r="AQ37" s="319">
        <f t="shared" si="10"/>
      </c>
      <c r="AR37" s="319">
        <f t="shared" si="10"/>
      </c>
      <c r="AS37" s="319">
        <f t="shared" si="10"/>
      </c>
      <c r="AT37" s="319">
        <f t="shared" si="10"/>
      </c>
      <c r="AU37" s="319">
        <f t="shared" si="10"/>
      </c>
      <c r="AV37" s="319">
        <f t="shared" si="10"/>
      </c>
      <c r="AW37" s="319">
        <f t="shared" si="10"/>
      </c>
      <c r="AX37" s="319">
        <f t="shared" si="10"/>
      </c>
      <c r="AY37" s="319">
        <f t="shared" si="10"/>
      </c>
      <c r="AZ37" s="319">
        <f t="shared" si="10"/>
      </c>
      <c r="BA37" s="320">
        <f t="shared" si="9"/>
      </c>
    </row>
    <row r="38" spans="2:53" ht="12.75">
      <c r="B38" s="285">
        <f t="shared" si="3"/>
        <v>43</v>
      </c>
      <c r="C38" s="287">
        <f t="shared" si="0"/>
        <v>0.03</v>
      </c>
      <c r="D38" s="291">
        <f t="shared" si="1"/>
        <v>0.021715066882005436</v>
      </c>
      <c r="E38" s="291">
        <f t="shared" si="2"/>
        <v>0.03299439494381889</v>
      </c>
      <c r="G38" s="315">
        <f t="shared" si="7"/>
        <v>53</v>
      </c>
      <c r="H38" s="316">
        <f aca="true" t="shared" si="11" ref="H38:AZ38">IF($G38-H$32&gt;0,(1-H$33)*IF(I38&lt;&gt;"",I38,1),"")</f>
        <v>0.2449464520102866</v>
      </c>
      <c r="I38" s="317">
        <f t="shared" si="11"/>
        <v>0.2522942760038858</v>
      </c>
      <c r="J38" s="317">
        <f t="shared" si="11"/>
        <v>0.2608903090786642</v>
      </c>
      <c r="K38" s="317">
        <f t="shared" si="11"/>
        <v>0.27088391597554207</v>
      </c>
      <c r="L38" s="317">
        <f t="shared" si="11"/>
        <v>0.2824338233561036</v>
      </c>
      <c r="M38" s="317">
        <f t="shared" si="11"/>
        <v>0.29570598518526975</v>
      </c>
      <c r="N38" s="317">
        <f t="shared" si="11"/>
        <v>0.3108700379327059</v>
      </c>
      <c r="O38" s="317">
        <f t="shared" si="11"/>
        <v>0.32809396170386196</v>
      </c>
      <c r="P38" s="317">
        <f t="shared" si="11"/>
        <v>0.3475365815393545</v>
      </c>
      <c r="Q38" s="317">
        <f t="shared" si="11"/>
        <v>0.36933763337218695</v>
      </c>
      <c r="R38" s="317">
        <f t="shared" si="11"/>
        <v>0.39360531117534664</v>
      </c>
      <c r="S38" s="317">
        <f t="shared" si="11"/>
        <v>0.4204015301938853</v>
      </c>
      <c r="T38" s="317">
        <f t="shared" si="11"/>
        <v>0.4497255932469072</v>
      </c>
      <c r="U38" s="317">
        <f t="shared" si="11"/>
        <v>0.48149750791905516</v>
      </c>
      <c r="V38" s="317">
        <f t="shared" si="11"/>
        <v>0.5155428001377481</v>
      </c>
      <c r="W38" s="317">
        <f t="shared" si="11"/>
        <v>0.5515811789058332</v>
      </c>
      <c r="X38" s="317">
        <f t="shared" si="11"/>
        <v>0.5892216600015336</v>
      </c>
      <c r="Y38" s="317">
        <f t="shared" si="11"/>
        <v>0.6279665777368102</v>
      </c>
      <c r="Z38" s="317">
        <f t="shared" si="11"/>
        <v>0.6672261779846749</v>
      </c>
      <c r="AA38" s="317">
        <f t="shared" si="11"/>
        <v>0.7063441840132784</v>
      </c>
      <c r="AB38" s="317">
        <f t="shared" si="11"/>
        <v>0.7446330159877005</v>
      </c>
      <c r="AC38" s="317">
        <f t="shared" si="11"/>
        <v>0.7814155479148992</v>
      </c>
      <c r="AD38" s="317">
        <f t="shared" si="11"/>
        <v>0.8160688251453295</v>
      </c>
      <c r="AE38" s="317">
        <f t="shared" si="11"/>
        <v>0.848064442884282</v>
      </c>
      <c r="AF38" s="317">
        <f t="shared" si="11"/>
        <v>0.8770005452398707</v>
      </c>
      <c r="AG38" s="317">
        <f t="shared" si="11"/>
        <v>0.9026216358159294</v>
      </c>
      <c r="AH38" s="317">
        <f t="shared" si="11"/>
        <v>0.9248243229079809</v>
      </c>
      <c r="AI38" s="317">
        <f t="shared" si="11"/>
        <v>0.9436493047002751</v>
      </c>
      <c r="AJ38" s="317">
        <f t="shared" si="11"/>
        <v>0.9592618470227586</v>
      </c>
      <c r="AK38" s="317">
        <f t="shared" si="11"/>
        <v>0.9719243411749698</v>
      </c>
      <c r="AL38" s="318">
        <f t="shared" si="11"/>
        <v>0.9819650739976039</v>
      </c>
      <c r="AM38" s="319">
        <f t="shared" si="11"/>
        <v>0.9897471309335187</v>
      </c>
      <c r="AN38" s="319">
        <f t="shared" si="11"/>
        <v>0.9956405783797868</v>
      </c>
      <c r="AO38" s="319">
        <f t="shared" si="11"/>
      </c>
      <c r="AP38" s="319">
        <f t="shared" si="11"/>
      </c>
      <c r="AQ38" s="319">
        <f t="shared" si="11"/>
      </c>
      <c r="AR38" s="319">
        <f t="shared" si="11"/>
      </c>
      <c r="AS38" s="319">
        <f t="shared" si="11"/>
      </c>
      <c r="AT38" s="319">
        <f t="shared" si="11"/>
      </c>
      <c r="AU38" s="319">
        <f t="shared" si="11"/>
      </c>
      <c r="AV38" s="319">
        <f t="shared" si="11"/>
      </c>
      <c r="AW38" s="319">
        <f t="shared" si="11"/>
      </c>
      <c r="AX38" s="319">
        <f t="shared" si="11"/>
      </c>
      <c r="AY38" s="319">
        <f t="shared" si="11"/>
      </c>
      <c r="AZ38" s="319">
        <f t="shared" si="11"/>
      </c>
      <c r="BA38" s="320">
        <f t="shared" si="9"/>
      </c>
    </row>
    <row r="39" spans="2:53" ht="12.75">
      <c r="B39" s="285">
        <f t="shared" si="3"/>
        <v>44</v>
      </c>
      <c r="C39" s="287">
        <f t="shared" si="0"/>
        <v>0.03</v>
      </c>
      <c r="D39" s="291">
        <f t="shared" si="1"/>
        <v>0.018681548647078463</v>
      </c>
      <c r="E39" s="291">
        <f t="shared" si="2"/>
        <v>0.02838519437094856</v>
      </c>
      <c r="G39" s="315">
        <f t="shared" si="7"/>
        <v>54</v>
      </c>
      <c r="H39" s="316">
        <f aca="true" t="shared" si="12" ref="H39:AZ39">IF($G39-H$32&gt;0,(1-H$33)*IF(I39&lt;&gt;"",I39,1),"")</f>
        <v>0.24417769546763182</v>
      </c>
      <c r="I39" s="317">
        <f t="shared" si="12"/>
        <v>0.2515024585525181</v>
      </c>
      <c r="J39" s="317">
        <f t="shared" si="12"/>
        <v>0.2600715132546241</v>
      </c>
      <c r="K39" s="317">
        <f t="shared" si="12"/>
        <v>0.27003375553844616</v>
      </c>
      <c r="L39" s="317">
        <f t="shared" si="12"/>
        <v>0.2815474139070584</v>
      </c>
      <c r="M39" s="317">
        <f t="shared" si="12"/>
        <v>0.29477792148421306</v>
      </c>
      <c r="N39" s="317">
        <f t="shared" si="12"/>
        <v>0.30989438234098465</v>
      </c>
      <c r="O39" s="317">
        <f t="shared" si="12"/>
        <v>0.3270642493826776</v>
      </c>
      <c r="P39" s="317">
        <f t="shared" si="12"/>
        <v>0.34644584918263904</v>
      </c>
      <c r="Q39" s="317">
        <f t="shared" si="12"/>
        <v>0.3681784791171516</v>
      </c>
      <c r="R39" s="317">
        <f t="shared" si="12"/>
        <v>0.39236999359590674</v>
      </c>
      <c r="S39" s="317">
        <f t="shared" si="12"/>
        <v>0.41908211354495556</v>
      </c>
      <c r="T39" s="317">
        <f t="shared" si="12"/>
        <v>0.44831414397148206</v>
      </c>
      <c r="U39" s="317">
        <f t="shared" si="12"/>
        <v>0.4799863435137458</v>
      </c>
      <c r="V39" s="317">
        <f t="shared" si="12"/>
        <v>0.5139247856804176</v>
      </c>
      <c r="W39" s="317">
        <f t="shared" si="12"/>
        <v>0.5498500591586025</v>
      </c>
      <c r="X39" s="317">
        <f t="shared" si="12"/>
        <v>0.5873724068178987</v>
      </c>
      <c r="Y39" s="317">
        <f t="shared" si="12"/>
        <v>0.6259957248779844</v>
      </c>
      <c r="Z39" s="317">
        <f t="shared" si="12"/>
        <v>0.6651321101361856</v>
      </c>
      <c r="AA39" s="317">
        <f t="shared" si="12"/>
        <v>0.7041273455640178</v>
      </c>
      <c r="AB39" s="317">
        <f t="shared" si="12"/>
        <v>0.7422960092737054</v>
      </c>
      <c r="AC39" s="317">
        <f t="shared" si="12"/>
        <v>0.7789631004103053</v>
      </c>
      <c r="AD39" s="317">
        <f t="shared" si="12"/>
        <v>0.8135076194473562</v>
      </c>
      <c r="AE39" s="317">
        <f t="shared" si="12"/>
        <v>0.8454028199715613</v>
      </c>
      <c r="AF39" s="317">
        <f t="shared" si="12"/>
        <v>0.8742481073027959</v>
      </c>
      <c r="AG39" s="317">
        <f t="shared" si="12"/>
        <v>0.8997887869120957</v>
      </c>
      <c r="AH39" s="317">
        <f t="shared" si="12"/>
        <v>0.9219217915865149</v>
      </c>
      <c r="AI39" s="317">
        <f t="shared" si="12"/>
        <v>0.9406876917803642</v>
      </c>
      <c r="AJ39" s="317">
        <f t="shared" si="12"/>
        <v>0.9562512346421109</v>
      </c>
      <c r="AK39" s="317">
        <f t="shared" si="12"/>
        <v>0.9688739879646594</v>
      </c>
      <c r="AL39" s="318">
        <f t="shared" si="12"/>
        <v>0.978883208271039</v>
      </c>
      <c r="AM39" s="319">
        <f t="shared" si="12"/>
        <v>0.9866408414721509</v>
      </c>
      <c r="AN39" s="319">
        <f t="shared" si="12"/>
        <v>0.9925157925236114</v>
      </c>
      <c r="AO39" s="319">
        <f t="shared" si="12"/>
        <v>0.9968615322396157</v>
      </c>
      <c r="AP39" s="319">
        <f t="shared" si="12"/>
      </c>
      <c r="AQ39" s="319">
        <f t="shared" si="12"/>
      </c>
      <c r="AR39" s="319">
        <f t="shared" si="12"/>
      </c>
      <c r="AS39" s="319">
        <f t="shared" si="12"/>
      </c>
      <c r="AT39" s="319">
        <f t="shared" si="12"/>
      </c>
      <c r="AU39" s="319">
        <f t="shared" si="12"/>
      </c>
      <c r="AV39" s="319">
        <f t="shared" si="12"/>
      </c>
      <c r="AW39" s="319">
        <f t="shared" si="12"/>
      </c>
      <c r="AX39" s="319">
        <f t="shared" si="12"/>
      </c>
      <c r="AY39" s="319">
        <f t="shared" si="12"/>
      </c>
      <c r="AZ39" s="319">
        <f t="shared" si="12"/>
      </c>
      <c r="BA39" s="320">
        <f t="shared" si="9"/>
      </c>
    </row>
    <row r="40" spans="2:53" ht="12.75">
      <c r="B40" s="285">
        <f t="shared" si="3"/>
        <v>45</v>
      </c>
      <c r="C40" s="287">
        <f t="shared" si="0"/>
        <v>0.03</v>
      </c>
      <c r="D40" s="291">
        <f t="shared" si="1"/>
        <v>0.015800371486236257</v>
      </c>
      <c r="E40" s="291">
        <f t="shared" si="2"/>
        <v>0.024007464490378223</v>
      </c>
      <c r="G40" s="315">
        <f t="shared" si="7"/>
        <v>55</v>
      </c>
      <c r="H40" s="316">
        <f aca="true" t="shared" si="13" ref="H40:AZ40">IF($G40-H$32&gt;0,(1-H$33)*IF(I40&lt;&gt;"",I40,1),"")</f>
        <v>0.24363881483729438</v>
      </c>
      <c r="I40" s="317">
        <f t="shared" si="13"/>
        <v>0.2509474127563137</v>
      </c>
      <c r="J40" s="317">
        <f t="shared" si="13"/>
        <v>0.2594975562405444</v>
      </c>
      <c r="K40" s="317">
        <f t="shared" si="13"/>
        <v>0.26943781265300665</v>
      </c>
      <c r="L40" s="317">
        <f t="shared" si="13"/>
        <v>0.2809260612991326</v>
      </c>
      <c r="M40" s="317">
        <f t="shared" si="13"/>
        <v>0.2941273702050114</v>
      </c>
      <c r="N40" s="317">
        <f t="shared" si="13"/>
        <v>0.3092104702425674</v>
      </c>
      <c r="O40" s="317">
        <f t="shared" si="13"/>
        <v>0.32634244476194574</v>
      </c>
      <c r="P40" s="317">
        <f t="shared" si="13"/>
        <v>0.34568127092241835</v>
      </c>
      <c r="Q40" s="317">
        <f t="shared" si="13"/>
        <v>0.3673659386821075</v>
      </c>
      <c r="R40" s="317">
        <f t="shared" si="13"/>
        <v>0.39150406442465485</v>
      </c>
      <c r="S40" s="317">
        <f t="shared" si="13"/>
        <v>0.4181572328629679</v>
      </c>
      <c r="T40" s="317">
        <f t="shared" si="13"/>
        <v>0.4473247505380241</v>
      </c>
      <c r="U40" s="317">
        <f t="shared" si="13"/>
        <v>0.47892705207088604</v>
      </c>
      <c r="V40" s="317">
        <f t="shared" si="13"/>
        <v>0.51279059481207</v>
      </c>
      <c r="W40" s="317">
        <f t="shared" si="13"/>
        <v>0.5486365840870853</v>
      </c>
      <c r="X40" s="317">
        <f t="shared" si="13"/>
        <v>0.5860761229283211</v>
      </c>
      <c r="Y40" s="317">
        <f t="shared" si="13"/>
        <v>0.6246142024167917</v>
      </c>
      <c r="Z40" s="317">
        <f t="shared" si="13"/>
        <v>0.6636642168051364</v>
      </c>
      <c r="AA40" s="317">
        <f t="shared" si="13"/>
        <v>0.7025733928694905</v>
      </c>
      <c r="AB40" s="317">
        <f t="shared" si="13"/>
        <v>0.7406578213933246</v>
      </c>
      <c r="AC40" s="317">
        <f t="shared" si="13"/>
        <v>0.7772439911945564</v>
      </c>
      <c r="AD40" s="317">
        <f t="shared" si="13"/>
        <v>0.8117122732429761</v>
      </c>
      <c r="AE40" s="317">
        <f t="shared" si="13"/>
        <v>0.8435370836124609</v>
      </c>
      <c r="AF40" s="317">
        <f t="shared" si="13"/>
        <v>0.8723187117032822</v>
      </c>
      <c r="AG40" s="317">
        <f t="shared" si="13"/>
        <v>0.8978030250769161</v>
      </c>
      <c r="AH40" s="317">
        <f t="shared" si="13"/>
        <v>0.9198871839815062</v>
      </c>
      <c r="AI40" s="317">
        <f t="shared" si="13"/>
        <v>0.9386116693356178</v>
      </c>
      <c r="AJ40" s="317">
        <f t="shared" si="13"/>
        <v>0.9541408647039477</v>
      </c>
      <c r="AK40" s="317">
        <f t="shared" si="13"/>
        <v>0.9667357606202166</v>
      </c>
      <c r="AL40" s="318">
        <f t="shared" si="13"/>
        <v>0.9767228913785008</v>
      </c>
      <c r="AM40" s="319">
        <f t="shared" si="13"/>
        <v>0.9844634041040454</v>
      </c>
      <c r="AN40" s="319">
        <f t="shared" si="13"/>
        <v>0.9903253896087563</v>
      </c>
      <c r="AO40" s="319">
        <f t="shared" si="13"/>
        <v>0.9946615386250327</v>
      </c>
      <c r="AP40" s="319">
        <f t="shared" si="13"/>
        <v>0.9977930800382674</v>
      </c>
      <c r="AQ40" s="319">
        <f t="shared" si="13"/>
      </c>
      <c r="AR40" s="319">
        <f t="shared" si="13"/>
      </c>
      <c r="AS40" s="319">
        <f t="shared" si="13"/>
      </c>
      <c r="AT40" s="319">
        <f t="shared" si="13"/>
      </c>
      <c r="AU40" s="319">
        <f t="shared" si="13"/>
      </c>
      <c r="AV40" s="319">
        <f t="shared" si="13"/>
      </c>
      <c r="AW40" s="319">
        <f t="shared" si="13"/>
      </c>
      <c r="AX40" s="319">
        <f t="shared" si="13"/>
      </c>
      <c r="AY40" s="319">
        <f t="shared" si="13"/>
      </c>
      <c r="AZ40" s="319">
        <f t="shared" si="13"/>
      </c>
      <c r="BA40" s="320">
        <f t="shared" si="9"/>
      </c>
    </row>
    <row r="41" spans="2:53" ht="12.75">
      <c r="B41" s="285">
        <f t="shared" si="3"/>
        <v>46</v>
      </c>
      <c r="C41" s="287">
        <f t="shared" si="0"/>
        <v>0.03</v>
      </c>
      <c r="D41" s="291">
        <f t="shared" si="1"/>
        <v>0.013129401921111564</v>
      </c>
      <c r="E41" s="291">
        <f t="shared" si="2"/>
        <v>0.019949129086968883</v>
      </c>
      <c r="G41" s="315">
        <f t="shared" si="7"/>
        <v>56</v>
      </c>
      <c r="H41" s="316">
        <f aca="true" t="shared" si="14" ref="H41:AZ41">IF($G41-H$32&gt;0,(1-H$33)*IF(I41&lt;&gt;"",I41,1),"")</f>
        <v>0.24326981386564653</v>
      </c>
      <c r="I41" s="317">
        <f t="shared" si="14"/>
        <v>0.2505673426135434</v>
      </c>
      <c r="J41" s="317">
        <f t="shared" si="14"/>
        <v>0.2591045365550031</v>
      </c>
      <c r="K41" s="317">
        <f t="shared" si="14"/>
        <v>0.2690297380416849</v>
      </c>
      <c r="L41" s="317">
        <f t="shared" si="14"/>
        <v>0.2805005872643414</v>
      </c>
      <c r="M41" s="317">
        <f t="shared" si="14"/>
        <v>0.29368190224677027</v>
      </c>
      <c r="N41" s="317">
        <f t="shared" si="14"/>
        <v>0.30874215831107416</v>
      </c>
      <c r="O41" s="317">
        <f t="shared" si="14"/>
        <v>0.3258481857528158</v>
      </c>
      <c r="P41" s="317">
        <f t="shared" si="14"/>
        <v>0.34515772246838405</v>
      </c>
      <c r="Q41" s="317">
        <f t="shared" si="14"/>
        <v>0.3668095479099125</v>
      </c>
      <c r="R41" s="317">
        <f t="shared" si="14"/>
        <v>0.39091111547161866</v>
      </c>
      <c r="S41" s="317">
        <f t="shared" si="14"/>
        <v>0.41752391659383803</v>
      </c>
      <c r="T41" s="317">
        <f t="shared" si="14"/>
        <v>0.44664725886782014</v>
      </c>
      <c r="U41" s="317">
        <f t="shared" si="14"/>
        <v>0.47820169741965535</v>
      </c>
      <c r="V41" s="317">
        <f t="shared" si="14"/>
        <v>0.512013952437316</v>
      </c>
      <c r="W41" s="317">
        <f t="shared" si="14"/>
        <v>0.5478056514922733</v>
      </c>
      <c r="X41" s="317">
        <f t="shared" si="14"/>
        <v>0.5851884866173148</v>
      </c>
      <c r="Y41" s="317">
        <f t="shared" si="14"/>
        <v>0.6236681986047524</v>
      </c>
      <c r="Z41" s="317">
        <f t="shared" si="14"/>
        <v>0.6626590701456745</v>
      </c>
      <c r="AA41" s="317">
        <f t="shared" si="14"/>
        <v>0.7015093166680204</v>
      </c>
      <c r="AB41" s="317">
        <f t="shared" si="14"/>
        <v>0.7395360647638023</v>
      </c>
      <c r="AC41" s="317">
        <f t="shared" si="14"/>
        <v>0.7760668233112299</v>
      </c>
      <c r="AD41" s="317">
        <f t="shared" si="14"/>
        <v>0.8104829017336576</v>
      </c>
      <c r="AE41" s="317">
        <f t="shared" si="14"/>
        <v>0.8422595121233621</v>
      </c>
      <c r="AF41" s="317">
        <f t="shared" si="14"/>
        <v>0.8709975492587021</v>
      </c>
      <c r="AG41" s="317">
        <f t="shared" si="14"/>
        <v>0.8964432655951482</v>
      </c>
      <c r="AH41" s="317">
        <f t="shared" si="14"/>
        <v>0.9184939771358638</v>
      </c>
      <c r="AI41" s="317">
        <f t="shared" si="14"/>
        <v>0.9371901034894036</v>
      </c>
      <c r="AJ41" s="317">
        <f t="shared" si="14"/>
        <v>0.9526957792548177</v>
      </c>
      <c r="AK41" s="317">
        <f t="shared" si="14"/>
        <v>0.9652715996849659</v>
      </c>
      <c r="AL41" s="318">
        <f t="shared" si="14"/>
        <v>0.9752436045243514</v>
      </c>
      <c r="AM41" s="319">
        <f t="shared" si="14"/>
        <v>0.9829723939260953</v>
      </c>
      <c r="AN41" s="319">
        <f t="shared" si="14"/>
        <v>0.9888255012134807</v>
      </c>
      <c r="AO41" s="319">
        <f t="shared" si="14"/>
        <v>0.9931550829543364</v>
      </c>
      <c r="AP41" s="319">
        <f t="shared" si="14"/>
        <v>0.9962818815197411</v>
      </c>
      <c r="AQ41" s="319">
        <f t="shared" si="14"/>
        <v>0.9984854590107316</v>
      </c>
      <c r="AR41" s="319">
        <f t="shared" si="14"/>
      </c>
      <c r="AS41" s="319">
        <f t="shared" si="14"/>
      </c>
      <c r="AT41" s="319">
        <f t="shared" si="14"/>
      </c>
      <c r="AU41" s="319">
        <f t="shared" si="14"/>
      </c>
      <c r="AV41" s="319">
        <f t="shared" si="14"/>
      </c>
      <c r="AW41" s="319">
        <f t="shared" si="14"/>
      </c>
      <c r="AX41" s="319">
        <f t="shared" si="14"/>
      </c>
      <c r="AY41" s="319">
        <f t="shared" si="14"/>
      </c>
      <c r="AZ41" s="319">
        <f t="shared" si="14"/>
      </c>
      <c r="BA41" s="320">
        <f t="shared" si="9"/>
      </c>
    </row>
    <row r="42" spans="2:53" ht="12.75">
      <c r="B42" s="285">
        <f t="shared" si="3"/>
        <v>47</v>
      </c>
      <c r="C42" s="287">
        <f t="shared" si="0"/>
        <v>0.03</v>
      </c>
      <c r="D42" s="291">
        <f t="shared" si="1"/>
        <v>0.01071167678763811</v>
      </c>
      <c r="E42" s="291">
        <f t="shared" si="2"/>
        <v>0.016275579364424662</v>
      </c>
      <c r="G42" s="315">
        <f t="shared" si="7"/>
        <v>57</v>
      </c>
      <c r="H42" s="316">
        <f aca="true" t="shared" si="15" ref="H42:AZ42">IF($G42-H$32&gt;0,(1-H$33)*IF(I42&lt;&gt;"",I42,1),"")</f>
        <v>0.24302325149418472</v>
      </c>
      <c r="I42" s="317">
        <f t="shared" si="15"/>
        <v>0.2503133839442619</v>
      </c>
      <c r="J42" s="317">
        <f t="shared" si="15"/>
        <v>0.2588419251443461</v>
      </c>
      <c r="K42" s="317">
        <f t="shared" si="15"/>
        <v>0.26875706709599184</v>
      </c>
      <c r="L42" s="317">
        <f t="shared" si="15"/>
        <v>0.2802162902161654</v>
      </c>
      <c r="M42" s="317">
        <f t="shared" si="15"/>
        <v>0.2933842454798959</v>
      </c>
      <c r="N42" s="317">
        <f t="shared" si="15"/>
        <v>0.3084292374537192</v>
      </c>
      <c r="O42" s="317">
        <f t="shared" si="15"/>
        <v>0.3255179273449226</v>
      </c>
      <c r="P42" s="317">
        <f t="shared" si="15"/>
        <v>0.3448078931770805</v>
      </c>
      <c r="Q42" s="317">
        <f t="shared" si="15"/>
        <v>0.36643777374455117</v>
      </c>
      <c r="R42" s="317">
        <f t="shared" si="15"/>
        <v>0.3905149135338201</v>
      </c>
      <c r="S42" s="317">
        <f t="shared" si="15"/>
        <v>0.4171007416615209</v>
      </c>
      <c r="T42" s="317">
        <f t="shared" si="15"/>
        <v>0.4461945664206833</v>
      </c>
      <c r="U42" s="317">
        <f t="shared" si="15"/>
        <v>0.4777170234575255</v>
      </c>
      <c r="V42" s="317">
        <f t="shared" si="15"/>
        <v>0.5114950085851033</v>
      </c>
      <c r="W42" s="317">
        <f t="shared" si="15"/>
        <v>0.5472504315149739</v>
      </c>
      <c r="X42" s="317">
        <f t="shared" si="15"/>
        <v>0.5845953778434815</v>
      </c>
      <c r="Y42" s="317">
        <f t="shared" si="15"/>
        <v>0.6230360893117423</v>
      </c>
      <c r="Z42" s="317">
        <f t="shared" si="15"/>
        <v>0.6619874422555982</v>
      </c>
      <c r="AA42" s="317">
        <f t="shared" si="15"/>
        <v>0.7007983127091989</v>
      </c>
      <c r="AB42" s="317">
        <f t="shared" si="15"/>
        <v>0.738786519380377</v>
      </c>
      <c r="AC42" s="317">
        <f t="shared" si="15"/>
        <v>0.7752802527403568</v>
      </c>
      <c r="AD42" s="317">
        <f t="shared" si="15"/>
        <v>0.8096614492767937</v>
      </c>
      <c r="AE42" s="317">
        <f t="shared" si="15"/>
        <v>0.8414058529726623</v>
      </c>
      <c r="AF42" s="317">
        <f t="shared" si="15"/>
        <v>0.870114763113269</v>
      </c>
      <c r="AG42" s="317">
        <f t="shared" si="15"/>
        <v>0.8955346893359983</v>
      </c>
      <c r="AH42" s="317">
        <f t="shared" si="15"/>
        <v>0.9175630517177965</v>
      </c>
      <c r="AI42" s="317">
        <f t="shared" si="15"/>
        <v>0.9362402289005468</v>
      </c>
      <c r="AJ42" s="317">
        <f t="shared" si="15"/>
        <v>0.9517301891272055</v>
      </c>
      <c r="AK42" s="317">
        <f t="shared" si="15"/>
        <v>0.9642932635283291</v>
      </c>
      <c r="AL42" s="318">
        <f t="shared" si="15"/>
        <v>0.9742551613958617</v>
      </c>
      <c r="AM42" s="319">
        <f t="shared" si="15"/>
        <v>0.981976117402195</v>
      </c>
      <c r="AN42" s="319">
        <f t="shared" si="15"/>
        <v>0.9878232923628759</v>
      </c>
      <c r="AO42" s="319">
        <f t="shared" si="15"/>
        <v>0.9921484859228699</v>
      </c>
      <c r="AP42" s="319">
        <f t="shared" si="15"/>
        <v>0.9952721153697673</v>
      </c>
      <c r="AQ42" s="319">
        <f t="shared" si="15"/>
        <v>0.9974734594587453</v>
      </c>
      <c r="AR42" s="319">
        <f t="shared" si="15"/>
        <v>0.9989864654083306</v>
      </c>
      <c r="AS42" s="319">
        <f t="shared" si="15"/>
      </c>
      <c r="AT42" s="319">
        <f t="shared" si="15"/>
      </c>
      <c r="AU42" s="319">
        <f t="shared" si="15"/>
      </c>
      <c r="AV42" s="319">
        <f t="shared" si="15"/>
      </c>
      <c r="AW42" s="319">
        <f t="shared" si="15"/>
      </c>
      <c r="AX42" s="319">
        <f t="shared" si="15"/>
      </c>
      <c r="AY42" s="319">
        <f t="shared" si="15"/>
      </c>
      <c r="AZ42" s="319">
        <f t="shared" si="15"/>
      </c>
      <c r="BA42" s="320">
        <f t="shared" si="9"/>
      </c>
    </row>
    <row r="43" spans="2:53" ht="12.75">
      <c r="B43" s="285">
        <f t="shared" si="3"/>
        <v>48</v>
      </c>
      <c r="C43" s="287">
        <f t="shared" si="0"/>
        <v>0.03</v>
      </c>
      <c r="D43" s="291">
        <f t="shared" si="1"/>
        <v>0.008574480196442353</v>
      </c>
      <c r="E43" s="291">
        <f t="shared" si="2"/>
        <v>0.013028271456709662</v>
      </c>
      <c r="G43" s="315">
        <f t="shared" si="7"/>
        <v>58</v>
      </c>
      <c r="H43" s="316">
        <f aca="true" t="shared" si="16" ref="H43:AZ43">IF($G43-H$32&gt;0,(1-H$33)*IF(I43&lt;&gt;"",I43,1),"")</f>
        <v>0.24286265472667878</v>
      </c>
      <c r="I43" s="317">
        <f t="shared" si="16"/>
        <v>0.2501479696471617</v>
      </c>
      <c r="J43" s="317">
        <f t="shared" si="16"/>
        <v>0.25867087494146385</v>
      </c>
      <c r="K43" s="317">
        <f t="shared" si="16"/>
        <v>0.2685794646815948</v>
      </c>
      <c r="L43" s="317">
        <f t="shared" si="16"/>
        <v>0.2800311152169234</v>
      </c>
      <c r="M43" s="317">
        <f t="shared" si="16"/>
        <v>0.29319036871636994</v>
      </c>
      <c r="N43" s="317">
        <f t="shared" si="16"/>
        <v>0.3082254185259629</v>
      </c>
      <c r="O43" s="317">
        <f t="shared" si="16"/>
        <v>0.32530281571846126</v>
      </c>
      <c r="P43" s="317">
        <f t="shared" si="16"/>
        <v>0.3445800341853407</v>
      </c>
      <c r="Q43" s="317">
        <f t="shared" si="16"/>
        <v>0.36619562110444925</v>
      </c>
      <c r="R43" s="317">
        <f t="shared" si="16"/>
        <v>0.39025685002594246</v>
      </c>
      <c r="S43" s="317">
        <f t="shared" si="16"/>
        <v>0.4168251094723235</v>
      </c>
      <c r="T43" s="317">
        <f t="shared" si="16"/>
        <v>0.4458997081937221</v>
      </c>
      <c r="U43" s="317">
        <f t="shared" si="16"/>
        <v>0.47740133428260834</v>
      </c>
      <c r="V43" s="317">
        <f t="shared" si="16"/>
        <v>0.5111569979442729</v>
      </c>
      <c r="W43" s="317">
        <f t="shared" si="16"/>
        <v>0.546888792660349</v>
      </c>
      <c r="X43" s="317">
        <f t="shared" si="16"/>
        <v>0.5842090603721967</v>
      </c>
      <c r="Y43" s="317">
        <f t="shared" si="16"/>
        <v>0.6226243691106179</v>
      </c>
      <c r="Z43" s="317">
        <f t="shared" si="16"/>
        <v>0.6615499818780327</v>
      </c>
      <c r="AA43" s="317">
        <f t="shared" si="16"/>
        <v>0.7003352049900698</v>
      </c>
      <c r="AB43" s="317">
        <f t="shared" si="16"/>
        <v>0.7382983079596176</v>
      </c>
      <c r="AC43" s="317">
        <f t="shared" si="16"/>
        <v>0.7747679252089956</v>
      </c>
      <c r="AD43" s="317">
        <f t="shared" si="16"/>
        <v>0.8091264016600382</v>
      </c>
      <c r="AE43" s="317">
        <f t="shared" si="16"/>
        <v>0.840849827739203</v>
      </c>
      <c r="AF43" s="317">
        <f t="shared" si="16"/>
        <v>0.8695397662047174</v>
      </c>
      <c r="AG43" s="317">
        <f t="shared" si="16"/>
        <v>0.8949428942077022</v>
      </c>
      <c r="AH43" s="317">
        <f t="shared" si="16"/>
        <v>0.9169566996128727</v>
      </c>
      <c r="AI43" s="317">
        <f t="shared" si="16"/>
        <v>0.9356215343787422</v>
      </c>
      <c r="AJ43" s="317">
        <f t="shared" si="16"/>
        <v>0.9511012583933269</v>
      </c>
      <c r="AK43" s="317">
        <f t="shared" si="16"/>
        <v>0.9636560307528708</v>
      </c>
      <c r="AL43" s="318">
        <f t="shared" si="16"/>
        <v>0.973611345511232</v>
      </c>
      <c r="AM43" s="319">
        <f t="shared" si="16"/>
        <v>0.9813271992873506</v>
      </c>
      <c r="AN43" s="319">
        <f t="shared" si="16"/>
        <v>0.9871705102663262</v>
      </c>
      <c r="AO43" s="319">
        <f t="shared" si="16"/>
        <v>0.9914928456137816</v>
      </c>
      <c r="AP43" s="319">
        <f t="shared" si="16"/>
        <v>0.9946144108763306</v>
      </c>
      <c r="AQ43" s="319">
        <f t="shared" si="16"/>
        <v>0.996814300253701</v>
      </c>
      <c r="AR43" s="319">
        <f t="shared" si="16"/>
        <v>0.9983263063653562</v>
      </c>
      <c r="AS43" s="319">
        <f t="shared" si="16"/>
        <v>0.9993391711841616</v>
      </c>
      <c r="AT43" s="319">
        <f t="shared" si="16"/>
      </c>
      <c r="AU43" s="319">
        <f t="shared" si="16"/>
      </c>
      <c r="AV43" s="319">
        <f t="shared" si="16"/>
      </c>
      <c r="AW43" s="319">
        <f t="shared" si="16"/>
      </c>
      <c r="AX43" s="319">
        <f t="shared" si="16"/>
      </c>
      <c r="AY43" s="319">
        <f t="shared" si="16"/>
      </c>
      <c r="AZ43" s="319">
        <f t="shared" si="16"/>
      </c>
      <c r="BA43" s="320">
        <f t="shared" si="9"/>
      </c>
    </row>
    <row r="44" spans="2:53" ht="12.75">
      <c r="B44" s="285">
        <f t="shared" si="3"/>
        <v>49</v>
      </c>
      <c r="C44" s="287">
        <f t="shared" si="0"/>
        <v>0.03</v>
      </c>
      <c r="D44" s="291">
        <f t="shared" si="1"/>
        <v>0.006729617375513217</v>
      </c>
      <c r="E44" s="291">
        <f t="shared" si="2"/>
        <v>0.01022514251118729</v>
      </c>
      <c r="G44" s="315">
        <f t="shared" si="7"/>
        <v>59</v>
      </c>
      <c r="H44" s="316">
        <f aca="true" t="shared" si="17" ref="H44:AZ44">IF($G44-H$32&gt;0,(1-H$33)*IF(I44&lt;&gt;"",I44,1),"")</f>
        <v>0.24276079207552553</v>
      </c>
      <c r="I44" s="317">
        <f t="shared" si="17"/>
        <v>0.25004305135333205</v>
      </c>
      <c r="J44" s="317">
        <f t="shared" si="17"/>
        <v>0.258562381928706</v>
      </c>
      <c r="K44" s="317">
        <f t="shared" si="17"/>
        <v>0.2684668157593117</v>
      </c>
      <c r="L44" s="317">
        <f t="shared" si="17"/>
        <v>0.2799136631869541</v>
      </c>
      <c r="M44" s="317">
        <f t="shared" si="17"/>
        <v>0.2930673973674664</v>
      </c>
      <c r="N44" s="317">
        <f t="shared" si="17"/>
        <v>0.3080961411023953</v>
      </c>
      <c r="O44" s="317">
        <f t="shared" si="17"/>
        <v>0.3251663756088282</v>
      </c>
      <c r="P44" s="317">
        <f t="shared" si="17"/>
        <v>0.3444355087297655</v>
      </c>
      <c r="Q44" s="317">
        <f t="shared" si="17"/>
        <v>0.36604202953291526</v>
      </c>
      <c r="R44" s="317">
        <f t="shared" si="17"/>
        <v>0.39009316657523213</v>
      </c>
      <c r="S44" s="317">
        <f t="shared" si="17"/>
        <v>0.41665028263134274</v>
      </c>
      <c r="T44" s="317">
        <f t="shared" si="17"/>
        <v>0.44571268674130426</v>
      </c>
      <c r="U44" s="317">
        <f t="shared" si="17"/>
        <v>0.47720110026297774</v>
      </c>
      <c r="V44" s="317">
        <f t="shared" si="17"/>
        <v>0.5109426059578859</v>
      </c>
      <c r="W44" s="317">
        <f t="shared" si="17"/>
        <v>0.5466594138685829</v>
      </c>
      <c r="X44" s="317">
        <f t="shared" si="17"/>
        <v>0.5839640285298817</v>
      </c>
      <c r="Y44" s="317">
        <f t="shared" si="17"/>
        <v>0.6223632249302518</v>
      </c>
      <c r="Z44" s="317">
        <f t="shared" si="17"/>
        <v>0.6612725113253854</v>
      </c>
      <c r="AA44" s="317">
        <f t="shared" si="17"/>
        <v>0.7000414669480625</v>
      </c>
      <c r="AB44" s="317">
        <f t="shared" si="17"/>
        <v>0.7379886472459305</v>
      </c>
      <c r="AC44" s="317">
        <f t="shared" si="17"/>
        <v>0.7744429682287675</v>
      </c>
      <c r="AD44" s="317">
        <f t="shared" si="17"/>
        <v>0.8087870338783436</v>
      </c>
      <c r="AE44" s="317">
        <f t="shared" si="17"/>
        <v>0.8404971543618509</v>
      </c>
      <c r="AF44" s="317">
        <f t="shared" si="17"/>
        <v>0.8691750595520278</v>
      </c>
      <c r="AG44" s="317">
        <f t="shared" si="17"/>
        <v>0.8945675328499124</v>
      </c>
      <c r="AH44" s="317">
        <f t="shared" si="17"/>
        <v>0.9165721051163648</v>
      </c>
      <c r="AI44" s="317">
        <f t="shared" si="17"/>
        <v>0.935229111385281</v>
      </c>
      <c r="AJ44" s="317">
        <f t="shared" si="17"/>
        <v>0.9507023428177559</v>
      </c>
      <c r="AK44" s="317">
        <f t="shared" si="17"/>
        <v>0.9632518493928233</v>
      </c>
      <c r="AL44" s="318">
        <f t="shared" si="17"/>
        <v>0.9732029886440218</v>
      </c>
      <c r="AM44" s="319">
        <f t="shared" si="17"/>
        <v>0.9809156061987361</v>
      </c>
      <c r="AN44" s="319">
        <f t="shared" si="17"/>
        <v>0.9867564663474327</v>
      </c>
      <c r="AO44" s="319">
        <f t="shared" si="17"/>
        <v>0.991076988799702</v>
      </c>
      <c r="AP44" s="319">
        <f t="shared" si="17"/>
        <v>0.9941972447999695</v>
      </c>
      <c r="AQ44" s="319">
        <f t="shared" si="17"/>
        <v>0.9963962114888991</v>
      </c>
      <c r="AR44" s="319">
        <f t="shared" si="17"/>
        <v>0.9979075834275019</v>
      </c>
      <c r="AS44" s="319">
        <f t="shared" si="17"/>
        <v>0.9989200234255549</v>
      </c>
      <c r="AT44" s="319">
        <f t="shared" si="17"/>
        <v>0.9995805750733157</v>
      </c>
      <c r="AU44" s="319">
        <f t="shared" si="17"/>
      </c>
      <c r="AV44" s="319">
        <f t="shared" si="17"/>
      </c>
      <c r="AW44" s="319">
        <f t="shared" si="17"/>
      </c>
      <c r="AX44" s="319">
        <f t="shared" si="17"/>
      </c>
      <c r="AY44" s="319">
        <f t="shared" si="17"/>
      </c>
      <c r="AZ44" s="319">
        <f t="shared" si="17"/>
      </c>
      <c r="BA44" s="320">
        <f t="shared" si="9"/>
      </c>
    </row>
    <row r="45" spans="2:53" ht="12.75">
      <c r="B45" s="285">
        <f t="shared" si="3"/>
        <v>50</v>
      </c>
      <c r="C45" s="287">
        <f t="shared" si="0"/>
        <v>0.03</v>
      </c>
      <c r="D45" s="291">
        <f t="shared" si="1"/>
        <v>0.005174771231986637</v>
      </c>
      <c r="E45" s="291">
        <f t="shared" si="2"/>
        <v>0.007862671881225688</v>
      </c>
      <c r="G45" s="315">
        <f t="shared" si="7"/>
        <v>60</v>
      </c>
      <c r="H45" s="316">
        <f aca="true" t="shared" si="18" ref="H45:AZ45">IF($G45-H$32&gt;0,(1-H$33)*IF(I45&lt;&gt;"",I45,1),"")</f>
        <v>0.2426979388970881</v>
      </c>
      <c r="I45" s="317">
        <f t="shared" si="18"/>
        <v>0.2499783127256921</v>
      </c>
      <c r="J45" s="317">
        <f t="shared" si="18"/>
        <v>0.25849543756182686</v>
      </c>
      <c r="K45" s="317">
        <f t="shared" si="18"/>
        <v>0.26839730703621356</v>
      </c>
      <c r="L45" s="317">
        <f t="shared" si="18"/>
        <v>0.2798411907614485</v>
      </c>
      <c r="M45" s="317">
        <f t="shared" si="18"/>
        <v>0.29299151930963235</v>
      </c>
      <c r="N45" s="317">
        <f t="shared" si="18"/>
        <v>0.30801637195364995</v>
      </c>
      <c r="O45" s="317">
        <f t="shared" si="18"/>
        <v>0.32508218680694934</v>
      </c>
      <c r="P45" s="317">
        <f t="shared" si="18"/>
        <v>0.34434633095807804</v>
      </c>
      <c r="Q45" s="317">
        <f t="shared" si="18"/>
        <v>0.36594725761854996</v>
      </c>
      <c r="R45" s="317">
        <f t="shared" si="18"/>
        <v>0.3899921675827822</v>
      </c>
      <c r="S45" s="317">
        <f t="shared" si="18"/>
        <v>0.41654240773797</v>
      </c>
      <c r="T45" s="317">
        <f t="shared" si="18"/>
        <v>0.4455972873030669</v>
      </c>
      <c r="U45" s="317">
        <f t="shared" si="18"/>
        <v>0.47707754816196124</v>
      </c>
      <c r="V45" s="317">
        <f t="shared" si="18"/>
        <v>0.5108103178461649</v>
      </c>
      <c r="W45" s="317">
        <f t="shared" si="18"/>
        <v>0.5465178783208092</v>
      </c>
      <c r="X45" s="317">
        <f t="shared" si="18"/>
        <v>0.5838128344471288</v>
      </c>
      <c r="Y45" s="317">
        <f t="shared" si="18"/>
        <v>0.6222020889144438</v>
      </c>
      <c r="Z45" s="317">
        <f t="shared" si="18"/>
        <v>0.6611013013091603</v>
      </c>
      <c r="AA45" s="317">
        <f t="shared" si="18"/>
        <v>0.6998602192644499</v>
      </c>
      <c r="AB45" s="317">
        <f t="shared" si="18"/>
        <v>0.737797574660718</v>
      </c>
      <c r="AC45" s="317">
        <f t="shared" si="18"/>
        <v>0.7742424572580482</v>
      </c>
      <c r="AD45" s="317">
        <f t="shared" si="18"/>
        <v>0.8085776308881674</v>
      </c>
      <c r="AE45" s="317">
        <f t="shared" si="18"/>
        <v>0.8402795413067627</v>
      </c>
      <c r="AF45" s="317">
        <f t="shared" si="18"/>
        <v>0.8689500215026614</v>
      </c>
      <c r="AG45" s="317">
        <f t="shared" si="18"/>
        <v>0.8943359204371923</v>
      </c>
      <c r="AH45" s="317">
        <f t="shared" si="18"/>
        <v>0.9163347955014924</v>
      </c>
      <c r="AI45" s="317">
        <f t="shared" si="18"/>
        <v>0.9349869712863172</v>
      </c>
      <c r="AJ45" s="317">
        <f t="shared" si="18"/>
        <v>0.9504561965456044</v>
      </c>
      <c r="AK45" s="317">
        <f t="shared" si="18"/>
        <v>0.9630024539288673</v>
      </c>
      <c r="AL45" s="318">
        <f t="shared" si="18"/>
        <v>0.97295101673135</v>
      </c>
      <c r="AM45" s="319">
        <f t="shared" si="18"/>
        <v>0.9806616374128326</v>
      </c>
      <c r="AN45" s="319">
        <f t="shared" si="18"/>
        <v>0.9865009853048671</v>
      </c>
      <c r="AO45" s="319">
        <f t="shared" si="18"/>
        <v>0.9908203891309928</v>
      </c>
      <c r="AP45" s="319">
        <f t="shared" si="18"/>
        <v>0.9939398372660138</v>
      </c>
      <c r="AQ45" s="319">
        <f t="shared" si="18"/>
        <v>0.9961382346206431</v>
      </c>
      <c r="AR45" s="319">
        <f t="shared" si="18"/>
        <v>0.9976492152500508</v>
      </c>
      <c r="AS45" s="319">
        <f t="shared" si="18"/>
        <v>0.99866139311734</v>
      </c>
      <c r="AT45" s="319">
        <f t="shared" si="18"/>
        <v>0.9993217737417233</v>
      </c>
      <c r="AU45" s="319">
        <f t="shared" si="18"/>
        <v>0.9997410900751313</v>
      </c>
      <c r="AV45" s="319">
        <f t="shared" si="18"/>
      </c>
      <c r="AW45" s="319">
        <f t="shared" si="18"/>
      </c>
      <c r="AX45" s="319">
        <f t="shared" si="18"/>
      </c>
      <c r="AY45" s="319">
        <f t="shared" si="18"/>
      </c>
      <c r="AZ45" s="319">
        <f t="shared" si="18"/>
      </c>
      <c r="BA45" s="320">
        <f t="shared" si="9"/>
      </c>
    </row>
    <row r="46" spans="2:53" ht="12.75">
      <c r="B46" s="285">
        <f t="shared" si="3"/>
        <v>51</v>
      </c>
      <c r="C46" s="287">
        <f t="shared" si="0"/>
        <v>0.03</v>
      </c>
      <c r="D46" s="291">
        <f t="shared" si="1"/>
        <v>0.003895720847395696</v>
      </c>
      <c r="E46" s="291">
        <f t="shared" si="2"/>
        <v>0.005919251961243405</v>
      </c>
      <c r="G46" s="315">
        <f t="shared" si="7"/>
        <v>61</v>
      </c>
      <c r="H46" s="316">
        <f aca="true" t="shared" si="19" ref="H46:AZ46">IF($G46-H$32&gt;0,(1-H$33)*IF(I46&lt;&gt;"",I46,1),"")</f>
        <v>0.24266024724828994</v>
      </c>
      <c r="I46" s="317">
        <f t="shared" si="19"/>
        <v>0.24993949041507327</v>
      </c>
      <c r="J46" s="317">
        <f t="shared" si="19"/>
        <v>0.2584552925185983</v>
      </c>
      <c r="K46" s="317">
        <f t="shared" si="19"/>
        <v>0.2683556242057736</v>
      </c>
      <c r="L46" s="317">
        <f t="shared" si="19"/>
        <v>0.27979773066479763</v>
      </c>
      <c r="M46" s="317">
        <f t="shared" si="19"/>
        <v>0.2929460169312569</v>
      </c>
      <c r="N46" s="317">
        <f t="shared" si="19"/>
        <v>0.30796853617486875</v>
      </c>
      <c r="O46" s="317">
        <f t="shared" si="19"/>
        <v>0.32503170066079035</v>
      </c>
      <c r="P46" s="317">
        <f t="shared" si="19"/>
        <v>0.3442928530380332</v>
      </c>
      <c r="Q46" s="317">
        <f t="shared" si="19"/>
        <v>0.3658904250159516</v>
      </c>
      <c r="R46" s="317">
        <f t="shared" si="19"/>
        <v>0.3899316007403882</v>
      </c>
      <c r="S46" s="317">
        <f t="shared" si="19"/>
        <v>0.41647771757120006</v>
      </c>
      <c r="T46" s="317">
        <f t="shared" si="19"/>
        <v>0.445528084834621</v>
      </c>
      <c r="U46" s="317">
        <f t="shared" si="19"/>
        <v>0.4770034567235399</v>
      </c>
      <c r="V46" s="317">
        <f t="shared" si="19"/>
        <v>0.5107309876170324</v>
      </c>
      <c r="W46" s="317">
        <f t="shared" si="19"/>
        <v>0.5464330026105945</v>
      </c>
      <c r="X46" s="317">
        <f t="shared" si="19"/>
        <v>0.5837221667289777</v>
      </c>
      <c r="Y46" s="317">
        <f t="shared" si="19"/>
        <v>0.622105459240853</v>
      </c>
      <c r="Z46" s="317">
        <f t="shared" si="19"/>
        <v>0.6609986304822792</v>
      </c>
      <c r="AA46" s="317">
        <f t="shared" si="19"/>
        <v>0.6997515290723858</v>
      </c>
      <c r="AB46" s="317">
        <f t="shared" si="19"/>
        <v>0.7376829926943669</v>
      </c>
      <c r="AC46" s="317">
        <f t="shared" si="19"/>
        <v>0.7741222153024875</v>
      </c>
      <c r="AD46" s="317">
        <f t="shared" si="19"/>
        <v>0.8084520565869272</v>
      </c>
      <c r="AE46" s="317">
        <f t="shared" si="19"/>
        <v>0.8401490436127688</v>
      </c>
      <c r="AF46" s="317">
        <f t="shared" si="19"/>
        <v>0.8688150712052571</v>
      </c>
      <c r="AG46" s="317">
        <f t="shared" si="19"/>
        <v>0.8941970276407647</v>
      </c>
      <c r="AH46" s="317">
        <f t="shared" si="19"/>
        <v>0.9161924862200438</v>
      </c>
      <c r="AI46" s="317">
        <f t="shared" si="19"/>
        <v>0.9348417652713314</v>
      </c>
      <c r="AJ46" s="317">
        <f t="shared" si="19"/>
        <v>0.9503085881179394</v>
      </c>
      <c r="AK46" s="317">
        <f t="shared" si="19"/>
        <v>0.9628528970333695</v>
      </c>
      <c r="AL46" s="318">
        <f t="shared" si="19"/>
        <v>0.9727999147970402</v>
      </c>
      <c r="AM46" s="319">
        <f t="shared" si="19"/>
        <v>0.9805093379981978</v>
      </c>
      <c r="AN46" s="319">
        <f t="shared" si="19"/>
        <v>0.9863477790236517</v>
      </c>
      <c r="AO46" s="319">
        <f t="shared" si="19"/>
        <v>0.9906665120346366</v>
      </c>
      <c r="AP46" s="319">
        <f t="shared" si="19"/>
        <v>0.9937854757108935</v>
      </c>
      <c r="AQ46" s="319">
        <f t="shared" si="19"/>
        <v>0.9959835316484453</v>
      </c>
      <c r="AR46" s="319">
        <f t="shared" si="19"/>
        <v>0.9974942776184592</v>
      </c>
      <c r="AS46" s="319">
        <f t="shared" si="19"/>
        <v>0.9985062982917777</v>
      </c>
      <c r="AT46" s="319">
        <f t="shared" si="19"/>
        <v>0.9991665763572573</v>
      </c>
      <c r="AU46" s="319">
        <f t="shared" si="19"/>
        <v>0.9995858275697004</v>
      </c>
      <c r="AV46" s="319">
        <f t="shared" si="19"/>
        <v>0.9998446972851548</v>
      </c>
      <c r="AW46" s="319">
        <f t="shared" si="19"/>
      </c>
      <c r="AX46" s="319">
        <f t="shared" si="19"/>
      </c>
      <c r="AY46" s="319">
        <f t="shared" si="19"/>
      </c>
      <c r="AZ46" s="319">
        <f t="shared" si="19"/>
      </c>
      <c r="BA46" s="320">
        <f t="shared" si="9"/>
      </c>
    </row>
    <row r="47" spans="2:53" ht="12.75">
      <c r="B47" s="285">
        <f t="shared" si="3"/>
        <v>52</v>
      </c>
      <c r="C47" s="287">
        <f t="shared" si="0"/>
        <v>0.03</v>
      </c>
      <c r="D47" s="291">
        <f t="shared" si="1"/>
        <v>0.0028691276870201734</v>
      </c>
      <c r="E47" s="291">
        <f t="shared" si="2"/>
        <v>0.0043594216202131565</v>
      </c>
      <c r="G47" s="315">
        <f t="shared" si="7"/>
        <v>62</v>
      </c>
      <c r="H47" s="316">
        <f aca="true" t="shared" si="20" ref="H47:AZ47">IF($G47-H$32&gt;0,(1-H$33)*IF(I47&lt;&gt;"",I47,1),"")</f>
        <v>0.24263830187262467</v>
      </c>
      <c r="I47" s="317">
        <f t="shared" si="20"/>
        <v>0.24991688672916698</v>
      </c>
      <c r="J47" s="317">
        <f t="shared" si="20"/>
        <v>0.25843191869222454</v>
      </c>
      <c r="K47" s="317">
        <f t="shared" si="20"/>
        <v>0.2683313550267388</v>
      </c>
      <c r="L47" s="317">
        <f t="shared" si="20"/>
        <v>0.27977242670018304</v>
      </c>
      <c r="M47" s="317">
        <f t="shared" si="20"/>
        <v>0.2929195238799058</v>
      </c>
      <c r="N47" s="317">
        <f t="shared" si="20"/>
        <v>0.30794068453746165</v>
      </c>
      <c r="O47" s="317">
        <f t="shared" si="20"/>
        <v>0.32500230588824297</v>
      </c>
      <c r="P47" s="317">
        <f t="shared" si="20"/>
        <v>0.34426171635172176</v>
      </c>
      <c r="Q47" s="317">
        <f t="shared" si="20"/>
        <v>0.3658573351179547</v>
      </c>
      <c r="R47" s="317">
        <f t="shared" si="20"/>
        <v>0.3898963366394112</v>
      </c>
      <c r="S47" s="317">
        <f t="shared" si="20"/>
        <v>0.41644005272880413</v>
      </c>
      <c r="T47" s="317">
        <f t="shared" si="20"/>
        <v>0.44548779277482936</v>
      </c>
      <c r="U47" s="317">
        <f t="shared" si="20"/>
        <v>0.4769603181370998</v>
      </c>
      <c r="V47" s="317">
        <f t="shared" si="20"/>
        <v>0.510684798826267</v>
      </c>
      <c r="W47" s="317">
        <f t="shared" si="20"/>
        <v>0.5463835850498103</v>
      </c>
      <c r="X47" s="317">
        <f t="shared" si="20"/>
        <v>0.5836693768617522</v>
      </c>
      <c r="Y47" s="317">
        <f t="shared" si="20"/>
        <v>0.6220491981178987</v>
      </c>
      <c r="Z47" s="317">
        <f t="shared" si="20"/>
        <v>0.6609388519918805</v>
      </c>
      <c r="AA47" s="317">
        <f t="shared" si="20"/>
        <v>0.699688245900329</v>
      </c>
      <c r="AB47" s="317">
        <f t="shared" si="20"/>
        <v>0.7376162791284645</v>
      </c>
      <c r="AC47" s="317">
        <f t="shared" si="20"/>
        <v>0.774052206295992</v>
      </c>
      <c r="AD47" s="317">
        <f t="shared" si="20"/>
        <v>0.8083789429051829</v>
      </c>
      <c r="AE47" s="317">
        <f t="shared" si="20"/>
        <v>0.8400730633622493</v>
      </c>
      <c r="AF47" s="317">
        <f t="shared" si="20"/>
        <v>0.8687364984957276</v>
      </c>
      <c r="AG47" s="317">
        <f t="shared" si="20"/>
        <v>0.8941161594725624</v>
      </c>
      <c r="AH47" s="317">
        <f t="shared" si="20"/>
        <v>0.9161096288566316</v>
      </c>
      <c r="AI47" s="317">
        <f t="shared" si="20"/>
        <v>0.9347572213299185</v>
      </c>
      <c r="AJ47" s="317">
        <f t="shared" si="20"/>
        <v>0.9502226454091487</v>
      </c>
      <c r="AK47" s="317">
        <f t="shared" si="20"/>
        <v>0.9627658198595201</v>
      </c>
      <c r="AL47" s="318">
        <f t="shared" si="20"/>
        <v>0.9727119380483983</v>
      </c>
      <c r="AM47" s="319">
        <f t="shared" si="20"/>
        <v>0.980420664035281</v>
      </c>
      <c r="AN47" s="319">
        <f t="shared" si="20"/>
        <v>0.986258577051788</v>
      </c>
      <c r="AO47" s="319">
        <f t="shared" si="20"/>
        <v>0.9905769194911017</v>
      </c>
      <c r="AP47" s="319">
        <f t="shared" si="20"/>
        <v>0.993695601098786</v>
      </c>
      <c r="AQ47" s="319">
        <f t="shared" si="20"/>
        <v>0.9958934582515603</v>
      </c>
      <c r="AR47" s="319">
        <f t="shared" si="20"/>
        <v>0.9974040675947956</v>
      </c>
      <c r="AS47" s="319">
        <f t="shared" si="20"/>
        <v>0.9984159967443721</v>
      </c>
      <c r="AT47" s="319">
        <f t="shared" si="20"/>
        <v>0.9990762150965267</v>
      </c>
      <c r="AU47" s="319">
        <f t="shared" si="20"/>
        <v>0.9994954283933019</v>
      </c>
      <c r="AV47" s="319">
        <f t="shared" si="20"/>
        <v>0.9997542746974509</v>
      </c>
      <c r="AW47" s="319">
        <f t="shared" si="20"/>
        <v>0.9999095633672416</v>
      </c>
      <c r="AX47" s="319">
        <f t="shared" si="20"/>
      </c>
      <c r="AY47" s="319">
        <f t="shared" si="20"/>
      </c>
      <c r="AZ47" s="319">
        <f t="shared" si="20"/>
      </c>
      <c r="BA47" s="320">
        <f t="shared" si="9"/>
      </c>
    </row>
    <row r="48" spans="2:53" ht="12.75">
      <c r="B48" s="285">
        <f t="shared" si="3"/>
        <v>53</v>
      </c>
      <c r="C48" s="287">
        <f t="shared" si="0"/>
        <v>0.03</v>
      </c>
      <c r="D48" s="291">
        <f t="shared" si="1"/>
        <v>0.0020655640886826122</v>
      </c>
      <c r="E48" s="291">
        <f t="shared" si="2"/>
        <v>0.003138467760384326</v>
      </c>
      <c r="G48" s="315">
        <f t="shared" si="7"/>
        <v>63</v>
      </c>
      <c r="H48" s="316">
        <f aca="true" t="shared" si="21" ref="H48:AZ48">IF($G48-H$32&gt;0,(1-H$33)*IF(I48&lt;&gt;"",I48,1),"")</f>
        <v>0.24262590832571596</v>
      </c>
      <c r="I48" s="317">
        <f t="shared" si="21"/>
        <v>0.24990412140466936</v>
      </c>
      <c r="J48" s="317">
        <f t="shared" si="21"/>
        <v>0.25841871843454756</v>
      </c>
      <c r="K48" s="317">
        <f t="shared" si="21"/>
        <v>0.26831764912288963</v>
      </c>
      <c r="L48" s="317">
        <f t="shared" si="21"/>
        <v>0.27975813640608144</v>
      </c>
      <c r="M48" s="317">
        <f t="shared" si="21"/>
        <v>0.29290456205470483</v>
      </c>
      <c r="N48" s="317">
        <f t="shared" si="21"/>
        <v>0.3079249554572239</v>
      </c>
      <c r="O48" s="317">
        <f t="shared" si="21"/>
        <v>0.3249857053297476</v>
      </c>
      <c r="P48" s="317">
        <f t="shared" si="21"/>
        <v>0.344244132055683</v>
      </c>
      <c r="Q48" s="317">
        <f t="shared" si="21"/>
        <v>0.3658386477548728</v>
      </c>
      <c r="R48" s="317">
        <f t="shared" si="21"/>
        <v>0.3898764214054998</v>
      </c>
      <c r="S48" s="317">
        <f t="shared" si="21"/>
        <v>0.4164187816875533</v>
      </c>
      <c r="T48" s="317">
        <f t="shared" si="21"/>
        <v>0.4454650380250046</v>
      </c>
      <c r="U48" s="317">
        <f t="shared" si="21"/>
        <v>0.47693595582483994</v>
      </c>
      <c r="V48" s="317">
        <f t="shared" si="21"/>
        <v>0.5106587139255693</v>
      </c>
      <c r="W48" s="317">
        <f t="shared" si="21"/>
        <v>0.5463556767165456</v>
      </c>
      <c r="X48" s="317">
        <f t="shared" si="21"/>
        <v>0.5836395640344061</v>
      </c>
      <c r="Y48" s="317">
        <f t="shared" si="21"/>
        <v>0.6220174249153297</v>
      </c>
      <c r="Z48" s="317">
        <f t="shared" si="21"/>
        <v>0.660905092372716</v>
      </c>
      <c r="AA48" s="317">
        <f t="shared" si="21"/>
        <v>0.6996525070288065</v>
      </c>
      <c r="AB48" s="317">
        <f t="shared" si="21"/>
        <v>0.7375786029582743</v>
      </c>
      <c r="AC48" s="317">
        <f t="shared" si="21"/>
        <v>0.7740126690413439</v>
      </c>
      <c r="AD48" s="317">
        <f t="shared" si="21"/>
        <v>0.8083376522999008</v>
      </c>
      <c r="AE48" s="317">
        <f t="shared" si="21"/>
        <v>0.840030153875836</v>
      </c>
      <c r="AF48" s="317">
        <f t="shared" si="21"/>
        <v>0.868692124930374</v>
      </c>
      <c r="AG48" s="317">
        <f t="shared" si="21"/>
        <v>0.8940704895578012</v>
      </c>
      <c r="AH48" s="317">
        <f t="shared" si="21"/>
        <v>0.9160628355533024</v>
      </c>
      <c r="AI48" s="317">
        <f t="shared" si="21"/>
        <v>0.934709475539656</v>
      </c>
      <c r="AJ48" s="317">
        <f t="shared" si="21"/>
        <v>0.9501741096716383</v>
      </c>
      <c r="AK48" s="317">
        <f t="shared" si="21"/>
        <v>0.9627166434382441</v>
      </c>
      <c r="AL48" s="318">
        <f t="shared" si="21"/>
        <v>0.9726622535965213</v>
      </c>
      <c r="AM48" s="319">
        <f t="shared" si="21"/>
        <v>0.9803705858349464</v>
      </c>
      <c r="AN48" s="319">
        <f t="shared" si="21"/>
        <v>0.9862082006609029</v>
      </c>
      <c r="AO48" s="319">
        <f t="shared" si="21"/>
        <v>0.9905263225267161</v>
      </c>
      <c r="AP48" s="319">
        <f t="shared" si="21"/>
        <v>0.9936448448375107</v>
      </c>
      <c r="AQ48" s="319">
        <f t="shared" si="21"/>
        <v>0.9958425897275238</v>
      </c>
      <c r="AR48" s="319">
        <f t="shared" si="21"/>
        <v>0.9973531219114334</v>
      </c>
      <c r="AS48" s="319">
        <f t="shared" si="21"/>
        <v>0.9983649993734104</v>
      </c>
      <c r="AT48" s="319">
        <f t="shared" si="21"/>
        <v>0.9990251840027476</v>
      </c>
      <c r="AU48" s="319">
        <f t="shared" si="21"/>
        <v>0.9994443758868291</v>
      </c>
      <c r="AV48" s="319">
        <f t="shared" si="21"/>
        <v>0.9997032089695543</v>
      </c>
      <c r="AW48" s="319">
        <f t="shared" si="21"/>
        <v>0.9998584897074669</v>
      </c>
      <c r="AX48" s="319">
        <f t="shared" si="21"/>
        <v>0.9999489217208778</v>
      </c>
      <c r="AY48" s="319">
        <f t="shared" si="21"/>
      </c>
      <c r="AZ48" s="319">
        <f t="shared" si="21"/>
      </c>
      <c r="BA48" s="320">
        <f t="shared" si="9"/>
      </c>
    </row>
    <row r="49" spans="2:53" ht="12.75">
      <c r="B49" s="285">
        <f t="shared" si="3"/>
        <v>54</v>
      </c>
      <c r="C49" s="287">
        <f t="shared" si="0"/>
        <v>0.03</v>
      </c>
      <c r="D49" s="291">
        <f t="shared" si="1"/>
        <v>0.0014524713865448017</v>
      </c>
      <c r="E49" s="291">
        <f t="shared" si="2"/>
        <v>0.00220691996173256</v>
      </c>
      <c r="G49" s="315">
        <f t="shared" si="7"/>
        <v>64</v>
      </c>
      <c r="H49" s="316">
        <f aca="true" t="shared" si="22" ref="H49:AZ49">IF($G49-H$32&gt;0,(1-H$33)*IF(I49&lt;&gt;"",I49,1),"")</f>
        <v>0.24261912604313313</v>
      </c>
      <c r="I49" s="317">
        <f t="shared" si="22"/>
        <v>0.24989713566937968</v>
      </c>
      <c r="J49" s="317">
        <f t="shared" si="22"/>
        <v>0.2584114946850922</v>
      </c>
      <c r="K49" s="317">
        <f t="shared" si="22"/>
        <v>0.26831014866207376</v>
      </c>
      <c r="L49" s="317">
        <f t="shared" si="22"/>
        <v>0.27975031614175333</v>
      </c>
      <c r="M49" s="317">
        <f t="shared" si="22"/>
        <v>0.2928963742996404</v>
      </c>
      <c r="N49" s="317">
        <f t="shared" si="22"/>
        <v>0.3079163478271624</v>
      </c>
      <c r="O49" s="317">
        <f t="shared" si="22"/>
        <v>0.3249766207892542</v>
      </c>
      <c r="P49" s="317">
        <f t="shared" si="22"/>
        <v>0.34423450917164233</v>
      </c>
      <c r="Q49" s="317">
        <f t="shared" si="22"/>
        <v>0.3658284212250438</v>
      </c>
      <c r="R49" s="317">
        <f t="shared" si="22"/>
        <v>0.38986552293187593</v>
      </c>
      <c r="S49" s="317">
        <f t="shared" si="22"/>
        <v>0.41640714125776707</v>
      </c>
      <c r="T49" s="317">
        <f t="shared" si="22"/>
        <v>0.44545258564599244</v>
      </c>
      <c r="U49" s="317">
        <f t="shared" si="22"/>
        <v>0.47692262371843536</v>
      </c>
      <c r="V49" s="317">
        <f t="shared" si="22"/>
        <v>0.5106444391445901</v>
      </c>
      <c r="W49" s="317">
        <f t="shared" si="22"/>
        <v>0.5463404040747416</v>
      </c>
      <c r="X49" s="317">
        <f t="shared" si="22"/>
        <v>0.5836232491714258</v>
      </c>
      <c r="Y49" s="317">
        <f t="shared" si="22"/>
        <v>0.6220000372506062</v>
      </c>
      <c r="Z49" s="317">
        <f t="shared" si="22"/>
        <v>0.6608866176552886</v>
      </c>
      <c r="AA49" s="317">
        <f t="shared" si="22"/>
        <v>0.6996329491792546</v>
      </c>
      <c r="AB49" s="317">
        <f t="shared" si="22"/>
        <v>0.7375579849354637</v>
      </c>
      <c r="AC49" s="317">
        <f t="shared" si="22"/>
        <v>0.7739910325529724</v>
      </c>
      <c r="AD49" s="317">
        <f t="shared" si="22"/>
        <v>0.8083150563025564</v>
      </c>
      <c r="AE49" s="317">
        <f t="shared" si="22"/>
        <v>0.8400066719570213</v>
      </c>
      <c r="AF49" s="317">
        <f t="shared" si="22"/>
        <v>0.8686678418045142</v>
      </c>
      <c r="AG49" s="317">
        <f t="shared" si="22"/>
        <v>0.8940454970137199</v>
      </c>
      <c r="AH49" s="317">
        <f t="shared" si="22"/>
        <v>0.9160372282426191</v>
      </c>
      <c r="AI49" s="317">
        <f t="shared" si="22"/>
        <v>0.934683346987105</v>
      </c>
      <c r="AJ49" s="317">
        <f t="shared" si="22"/>
        <v>0.9501475488259351</v>
      </c>
      <c r="AK49" s="317">
        <f t="shared" si="22"/>
        <v>0.9626897319827941</v>
      </c>
      <c r="AL49" s="318">
        <f t="shared" si="22"/>
        <v>0.9726350641248485</v>
      </c>
      <c r="AM49" s="319">
        <f t="shared" si="22"/>
        <v>0.9803431808871613</v>
      </c>
      <c r="AN49" s="319">
        <f t="shared" si="22"/>
        <v>0.9861806325304072</v>
      </c>
      <c r="AO49" s="319">
        <f t="shared" si="22"/>
        <v>0.9904986336889022</v>
      </c>
      <c r="AP49" s="319">
        <f t="shared" si="22"/>
        <v>0.9936170688255789</v>
      </c>
      <c r="AQ49" s="319">
        <f t="shared" si="22"/>
        <v>0.9958147522805747</v>
      </c>
      <c r="AR49" s="319">
        <f t="shared" si="22"/>
        <v>0.9973252422395785</v>
      </c>
      <c r="AS49" s="319">
        <f t="shared" si="22"/>
        <v>0.9983370914158751</v>
      </c>
      <c r="AT49" s="319">
        <f t="shared" si="22"/>
        <v>0.9989972575906345</v>
      </c>
      <c r="AU49" s="319">
        <f t="shared" si="22"/>
        <v>0.9994164377567678</v>
      </c>
      <c r="AV49" s="319">
        <f t="shared" si="22"/>
        <v>0.9996752636041606</v>
      </c>
      <c r="AW49" s="319">
        <f t="shared" si="22"/>
        <v>0.9998305400014079</v>
      </c>
      <c r="AX49" s="319">
        <f t="shared" si="22"/>
        <v>0.9999209694869129</v>
      </c>
      <c r="AY49" s="319">
        <f t="shared" si="22"/>
        <v>0.9999720463382101</v>
      </c>
      <c r="AZ49" s="319">
        <f t="shared" si="22"/>
      </c>
      <c r="BA49" s="320">
        <f t="shared" si="9"/>
      </c>
    </row>
    <row r="50" spans="2:53" ht="15" customHeight="1">
      <c r="B50" s="285">
        <f t="shared" si="3"/>
        <v>55</v>
      </c>
      <c r="C50" s="287">
        <f t="shared" si="0"/>
        <v>0.03</v>
      </c>
      <c r="D50" s="291">
        <f t="shared" si="1"/>
        <v>0.0009967862400114343</v>
      </c>
      <c r="E50" s="291">
        <f t="shared" si="2"/>
        <v>0.0015145409892683781</v>
      </c>
      <c r="G50" s="321">
        <f t="shared" si="7"/>
        <v>65</v>
      </c>
      <c r="H50" s="316">
        <f aca="true" t="shared" si="23" ref="H50:AZ50">IF($G50-H$32&gt;0,(1-H$33)*IF(I50&lt;&gt;"",I50,1),"")</f>
        <v>0.24261553307529654</v>
      </c>
      <c r="I50" s="317">
        <f t="shared" si="23"/>
        <v>0.2498934349208626</v>
      </c>
      <c r="J50" s="317">
        <f t="shared" si="23"/>
        <v>0.25840766784668856</v>
      </c>
      <c r="K50" s="317">
        <f t="shared" si="23"/>
        <v>0.2683061752336384</v>
      </c>
      <c r="L50" s="317">
        <f t="shared" si="23"/>
        <v>0.2797461732948782</v>
      </c>
      <c r="M50" s="317">
        <f t="shared" si="23"/>
        <v>0.2928920367716414</v>
      </c>
      <c r="N50" s="317">
        <f t="shared" si="23"/>
        <v>0.307911787867063</v>
      </c>
      <c r="O50" s="317">
        <f t="shared" si="23"/>
        <v>0.32497180818208193</v>
      </c>
      <c r="P50" s="317">
        <f t="shared" si="23"/>
        <v>0.34422941137271834</v>
      </c>
      <c r="Q50" s="317">
        <f t="shared" si="23"/>
        <v>0.3658230036399894</v>
      </c>
      <c r="R50" s="317">
        <f t="shared" si="23"/>
        <v>0.38985974937928214</v>
      </c>
      <c r="S50" s="317">
        <f t="shared" si="23"/>
        <v>0.4164009746480284</v>
      </c>
      <c r="T50" s="317">
        <f t="shared" si="23"/>
        <v>0.44544598889972997</v>
      </c>
      <c r="U50" s="317">
        <f t="shared" si="23"/>
        <v>0.4769155609296294</v>
      </c>
      <c r="V50" s="317">
        <f t="shared" si="23"/>
        <v>0.5106368769664731</v>
      </c>
      <c r="W50" s="317">
        <f t="shared" si="23"/>
        <v>0.546332313271961</v>
      </c>
      <c r="X50" s="317">
        <f t="shared" si="23"/>
        <v>0.5836146062437345</v>
      </c>
      <c r="Y50" s="317">
        <f t="shared" si="23"/>
        <v>0.621990825997707</v>
      </c>
      <c r="Z50" s="317">
        <f t="shared" si="23"/>
        <v>0.6608768305276225</v>
      </c>
      <c r="AA50" s="317">
        <f t="shared" si="23"/>
        <v>0.6996225882537795</v>
      </c>
      <c r="AB50" s="317">
        <f t="shared" si="23"/>
        <v>0.7375470623748204</v>
      </c>
      <c r="AC50" s="317">
        <f t="shared" si="23"/>
        <v>0.7739795704521436</v>
      </c>
      <c r="AD50" s="317">
        <f t="shared" si="23"/>
        <v>0.8083030858942608</v>
      </c>
      <c r="AE50" s="317">
        <f t="shared" si="23"/>
        <v>0.8399942322248203</v>
      </c>
      <c r="AF50" s="317">
        <f t="shared" si="23"/>
        <v>0.8686549776265446</v>
      </c>
      <c r="AG50" s="317">
        <f t="shared" si="23"/>
        <v>0.894032257015837</v>
      </c>
      <c r="AH50" s="317">
        <f t="shared" si="23"/>
        <v>0.9160236625672669</v>
      </c>
      <c r="AI50" s="317">
        <f t="shared" si="23"/>
        <v>0.934669505179751</v>
      </c>
      <c r="AJ50" s="317">
        <f t="shared" si="23"/>
        <v>0.9501334780078649</v>
      </c>
      <c r="AK50" s="317">
        <f t="shared" si="23"/>
        <v>0.9626754754264375</v>
      </c>
      <c r="AL50" s="303">
        <f t="shared" si="23"/>
        <v>0.9726206602871993</v>
      </c>
      <c r="AM50" s="304">
        <f t="shared" si="23"/>
        <v>0.9803286628993375</v>
      </c>
      <c r="AN50" s="304">
        <f t="shared" si="23"/>
        <v>0.986166028095252</v>
      </c>
      <c r="AO50" s="304">
        <f t="shared" si="23"/>
        <v>0.9904839653080906</v>
      </c>
      <c r="AP50" s="304">
        <f t="shared" si="23"/>
        <v>0.9936023542635888</v>
      </c>
      <c r="AQ50" s="304">
        <f t="shared" si="23"/>
        <v>0.9958000051728982</v>
      </c>
      <c r="AR50" s="304">
        <f t="shared" si="23"/>
        <v>0.9973104727629243</v>
      </c>
      <c r="AS50" s="304">
        <f t="shared" si="23"/>
        <v>0.9983223069546581</v>
      </c>
      <c r="AT50" s="304">
        <f t="shared" si="23"/>
        <v>0.9989824633529589</v>
      </c>
      <c r="AU50" s="304">
        <f t="shared" si="23"/>
        <v>0.9994016373114165</v>
      </c>
      <c r="AV50" s="304">
        <f t="shared" si="23"/>
        <v>0.9996604593258347</v>
      </c>
      <c r="AW50" s="304">
        <f t="shared" si="23"/>
        <v>0.9998157334235803</v>
      </c>
      <c r="AX50" s="304">
        <f t="shared" si="23"/>
        <v>0.9999061615699071</v>
      </c>
      <c r="AY50" s="304">
        <f t="shared" si="23"/>
        <v>0.9999572376648028</v>
      </c>
      <c r="AZ50" s="304">
        <f t="shared" si="23"/>
        <v>0.9999851909126245</v>
      </c>
      <c r="BA50" s="305">
        <f t="shared" si="9"/>
      </c>
    </row>
    <row r="51" spans="2:53" ht="12.75">
      <c r="B51" s="285">
        <f t="shared" si="3"/>
        <v>56</v>
      </c>
      <c r="C51" s="287">
        <f t="shared" si="0"/>
        <v>0.03</v>
      </c>
      <c r="D51" s="291">
        <f t="shared" si="1"/>
        <v>0.0006670518275241526</v>
      </c>
      <c r="E51" s="291">
        <f t="shared" si="2"/>
        <v>0.001013534591669444</v>
      </c>
      <c r="G51" s="295" t="s">
        <v>90</v>
      </c>
      <c r="H51" s="322">
        <v>20</v>
      </c>
      <c r="I51" s="323">
        <f aca="true" t="shared" si="24" ref="I51:BA51">H51+1</f>
        <v>21</v>
      </c>
      <c r="J51" s="323">
        <f t="shared" si="24"/>
        <v>22</v>
      </c>
      <c r="K51" s="323">
        <f t="shared" si="24"/>
        <v>23</v>
      </c>
      <c r="L51" s="323">
        <f t="shared" si="24"/>
        <v>24</v>
      </c>
      <c r="M51" s="323">
        <f t="shared" si="24"/>
        <v>25</v>
      </c>
      <c r="N51" s="323">
        <f t="shared" si="24"/>
        <v>26</v>
      </c>
      <c r="O51" s="323">
        <f t="shared" si="24"/>
        <v>27</v>
      </c>
      <c r="P51" s="323">
        <f t="shared" si="24"/>
        <v>28</v>
      </c>
      <c r="Q51" s="323">
        <f t="shared" si="24"/>
        <v>29</v>
      </c>
      <c r="R51" s="323">
        <f t="shared" si="24"/>
        <v>30</v>
      </c>
      <c r="S51" s="323">
        <f t="shared" si="24"/>
        <v>31</v>
      </c>
      <c r="T51" s="323">
        <f t="shared" si="24"/>
        <v>32</v>
      </c>
      <c r="U51" s="323">
        <f t="shared" si="24"/>
        <v>33</v>
      </c>
      <c r="V51" s="323">
        <f t="shared" si="24"/>
        <v>34</v>
      </c>
      <c r="W51" s="323">
        <f t="shared" si="24"/>
        <v>35</v>
      </c>
      <c r="X51" s="323">
        <f t="shared" si="24"/>
        <v>36</v>
      </c>
      <c r="Y51" s="323">
        <f t="shared" si="24"/>
        <v>37</v>
      </c>
      <c r="Z51" s="323">
        <f t="shared" si="24"/>
        <v>38</v>
      </c>
      <c r="AA51" s="323">
        <f t="shared" si="24"/>
        <v>39</v>
      </c>
      <c r="AB51" s="323">
        <f t="shared" si="24"/>
        <v>40</v>
      </c>
      <c r="AC51" s="323">
        <f t="shared" si="24"/>
        <v>41</v>
      </c>
      <c r="AD51" s="323">
        <f t="shared" si="24"/>
        <v>42</v>
      </c>
      <c r="AE51" s="323">
        <f t="shared" si="24"/>
        <v>43</v>
      </c>
      <c r="AF51" s="323">
        <f t="shared" si="24"/>
        <v>44</v>
      </c>
      <c r="AG51" s="323">
        <f t="shared" si="24"/>
        <v>45</v>
      </c>
      <c r="AH51" s="323">
        <f t="shared" si="24"/>
        <v>46</v>
      </c>
      <c r="AI51" s="323">
        <f t="shared" si="24"/>
        <v>47</v>
      </c>
      <c r="AJ51" s="323">
        <f t="shared" si="24"/>
        <v>48</v>
      </c>
      <c r="AK51" s="323">
        <f t="shared" si="24"/>
        <v>49</v>
      </c>
      <c r="AL51" s="297">
        <f t="shared" si="24"/>
        <v>50</v>
      </c>
      <c r="AM51" s="297">
        <f t="shared" si="24"/>
        <v>51</v>
      </c>
      <c r="AN51" s="297">
        <f t="shared" si="24"/>
        <v>52</v>
      </c>
      <c r="AO51" s="297">
        <f t="shared" si="24"/>
        <v>53</v>
      </c>
      <c r="AP51" s="297">
        <f t="shared" si="24"/>
        <v>54</v>
      </c>
      <c r="AQ51" s="297">
        <f t="shared" si="24"/>
        <v>55</v>
      </c>
      <c r="AR51" s="297">
        <f t="shared" si="24"/>
        <v>56</v>
      </c>
      <c r="AS51" s="297">
        <f t="shared" si="24"/>
        <v>57</v>
      </c>
      <c r="AT51" s="297">
        <f t="shared" si="24"/>
        <v>58</v>
      </c>
      <c r="AU51" s="297">
        <f t="shared" si="24"/>
        <v>59</v>
      </c>
      <c r="AV51" s="297">
        <f t="shared" si="24"/>
        <v>60</v>
      </c>
      <c r="AW51" s="297">
        <f t="shared" si="24"/>
        <v>61</v>
      </c>
      <c r="AX51" s="297">
        <f t="shared" si="24"/>
        <v>62</v>
      </c>
      <c r="AY51" s="297">
        <f t="shared" si="24"/>
        <v>63</v>
      </c>
      <c r="AZ51" s="297">
        <f t="shared" si="24"/>
        <v>64</v>
      </c>
      <c r="BA51" s="324">
        <f t="shared" si="24"/>
        <v>65</v>
      </c>
    </row>
    <row r="52" spans="2:53" ht="12.75">
      <c r="B52" s="285">
        <f t="shared" si="3"/>
        <v>57</v>
      </c>
      <c r="C52" s="287">
        <f t="shared" si="0"/>
        <v>0.03</v>
      </c>
      <c r="D52" s="291">
        <f t="shared" si="1"/>
        <v>0.00043492059660195966</v>
      </c>
      <c r="E52" s="291">
        <f t="shared" si="2"/>
        <v>0.0006608288158383577</v>
      </c>
      <c r="G52" s="301" t="s">
        <v>297</v>
      </c>
      <c r="H52" s="540" t="s">
        <v>299</v>
      </c>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c r="AK52" s="540"/>
      <c r="AL52" s="540"/>
      <c r="AM52" s="540"/>
      <c r="AN52" s="540"/>
      <c r="AO52" s="540"/>
      <c r="AP52" s="540"/>
      <c r="AQ52" s="540"/>
      <c r="AR52" s="540"/>
      <c r="AS52" s="540"/>
      <c r="AT52" s="540"/>
      <c r="AU52" s="540"/>
      <c r="AV52" s="540"/>
      <c r="AW52" s="540"/>
      <c r="AX52" s="540"/>
      <c r="AY52" s="540"/>
      <c r="AZ52" s="540"/>
      <c r="BA52" s="540"/>
    </row>
    <row r="53" spans="2:53" ht="12.75">
      <c r="B53" s="285">
        <f t="shared" si="3"/>
        <v>58</v>
      </c>
      <c r="C53" s="287">
        <f t="shared" si="0"/>
        <v>0.03</v>
      </c>
      <c r="D53" s="291">
        <f t="shared" si="1"/>
        <v>0.0002760420474580221</v>
      </c>
      <c r="E53" s="291">
        <f t="shared" si="2"/>
        <v>0.00041942492668432655</v>
      </c>
      <c r="G53" s="325">
        <v>50</v>
      </c>
      <c r="H53" s="317">
        <f aca="true" t="shared" si="25" ref="H53:AK53">IF(H35&lt;&gt;"",1-H35,"")</f>
        <v>0.7505548226750026</v>
      </c>
      <c r="I53" s="317">
        <f t="shared" si="25"/>
        <v>0.7430720473827144</v>
      </c>
      <c r="J53" s="317">
        <f t="shared" si="25"/>
        <v>0.7343181382036601</v>
      </c>
      <c r="K53" s="317">
        <f t="shared" si="25"/>
        <v>0.724140987140442</v>
      </c>
      <c r="L53" s="317">
        <f t="shared" si="25"/>
        <v>0.7123789523324813</v>
      </c>
      <c r="M53" s="317">
        <f t="shared" si="25"/>
        <v>0.6988630318780654</v>
      </c>
      <c r="N53" s="317">
        <f t="shared" si="25"/>
        <v>0.6834204737372723</v>
      </c>
      <c r="O53" s="317">
        <f t="shared" si="25"/>
        <v>0.6658802126554428</v>
      </c>
      <c r="P53" s="317">
        <f t="shared" si="25"/>
        <v>0.6460805065861208</v>
      </c>
      <c r="Q53" s="317">
        <f t="shared" si="25"/>
        <v>0.6238790531840361</v>
      </c>
      <c r="R53" s="317">
        <f t="shared" si="25"/>
        <v>0.5991656713685656</v>
      </c>
      <c r="S53" s="317">
        <f t="shared" si="25"/>
        <v>0.5718773087494649</v>
      </c>
      <c r="T53" s="317">
        <f t="shared" si="25"/>
        <v>0.5420146753121646</v>
      </c>
      <c r="U53" s="317">
        <f t="shared" si="25"/>
        <v>0.5096592326253859</v>
      </c>
      <c r="V53" s="317">
        <f t="shared" si="25"/>
        <v>0.47498865918014743</v>
      </c>
      <c r="W53" s="317">
        <f t="shared" si="25"/>
        <v>0.43828839384242824</v>
      </c>
      <c r="X53" s="317">
        <f t="shared" si="25"/>
        <v>0.39995660171211844</v>
      </c>
      <c r="Y53" s="317">
        <f t="shared" si="25"/>
        <v>0.36050008868406835</v>
      </c>
      <c r="Z53" s="317">
        <f t="shared" si="25"/>
        <v>0.32051944040292546</v>
      </c>
      <c r="AA53" s="317">
        <f t="shared" si="25"/>
        <v>0.2806829868828902</v>
      </c>
      <c r="AB53" s="317">
        <f t="shared" si="25"/>
        <v>0.24169093615898063</v>
      </c>
      <c r="AC53" s="317">
        <f t="shared" si="25"/>
        <v>0.2042328504274219</v>
      </c>
      <c r="AD53" s="317">
        <f t="shared" si="25"/>
        <v>0.1689431256214713</v>
      </c>
      <c r="AE53" s="317">
        <f t="shared" si="25"/>
        <v>0.13635987130194893</v>
      </c>
      <c r="AF53" s="317">
        <f t="shared" si="25"/>
        <v>0.1068923239096683</v>
      </c>
      <c r="AG53" s="317">
        <f t="shared" si="25"/>
        <v>0.08080067232805488</v>
      </c>
      <c r="AH53" s="317">
        <f t="shared" si="25"/>
        <v>0.05819020716999812</v>
      </c>
      <c r="AI53" s="317">
        <f t="shared" si="25"/>
        <v>0.03901948278195322</v>
      </c>
      <c r="AJ53" s="317">
        <f t="shared" si="25"/>
        <v>0.023120198035577744</v>
      </c>
      <c r="AK53" s="317">
        <f t="shared" si="25"/>
        <v>0.010225142511187335</v>
      </c>
      <c r="AL53" s="326">
        <f aca="true" t="shared" si="26" ref="AL53:BA53">IF(AL35&lt;&gt;"",1-AL35,0)</f>
        <v>0</v>
      </c>
      <c r="AM53" s="327">
        <f t="shared" si="26"/>
        <v>0</v>
      </c>
      <c r="AN53" s="327">
        <f t="shared" si="26"/>
        <v>0</v>
      </c>
      <c r="AO53" s="327">
        <f t="shared" si="26"/>
        <v>0</v>
      </c>
      <c r="AP53" s="327">
        <f t="shared" si="26"/>
        <v>0</v>
      </c>
      <c r="AQ53" s="327">
        <f t="shared" si="26"/>
        <v>0</v>
      </c>
      <c r="AR53" s="327">
        <f t="shared" si="26"/>
        <v>0</v>
      </c>
      <c r="AS53" s="327">
        <f t="shared" si="26"/>
        <v>0</v>
      </c>
      <c r="AT53" s="327">
        <f t="shared" si="26"/>
        <v>0</v>
      </c>
      <c r="AU53" s="327">
        <f t="shared" si="26"/>
        <v>0</v>
      </c>
      <c r="AV53" s="327">
        <f t="shared" si="26"/>
        <v>0</v>
      </c>
      <c r="AW53" s="327">
        <f t="shared" si="26"/>
        <v>0</v>
      </c>
      <c r="AX53" s="327">
        <f t="shared" si="26"/>
        <v>0</v>
      </c>
      <c r="AY53" s="327">
        <f t="shared" si="26"/>
        <v>0</v>
      </c>
      <c r="AZ53" s="327">
        <f t="shared" si="26"/>
        <v>0</v>
      </c>
      <c r="BA53" s="328">
        <f t="shared" si="26"/>
        <v>0</v>
      </c>
    </row>
    <row r="54" spans="2:53" ht="12.75">
      <c r="B54" s="285">
        <f t="shared" si="3"/>
        <v>59</v>
      </c>
      <c r="C54" s="287">
        <f t="shared" si="0"/>
        <v>0.03</v>
      </c>
      <c r="D54" s="291">
        <f t="shared" si="1"/>
        <v>0.00017040004353800338</v>
      </c>
      <c r="E54" s="291">
        <f t="shared" si="2"/>
        <v>0.0002589099248686076</v>
      </c>
      <c r="G54" s="329">
        <f aca="true" t="shared" si="27" ref="G54:G68">G53+1</f>
        <v>51</v>
      </c>
      <c r="H54" s="317">
        <f aca="true" t="shared" si="28" ref="H54:AK54">IF(H36&lt;&gt;"",1-H36,"")</f>
        <v>0.7525161282566631</v>
      </c>
      <c r="I54" s="317">
        <f t="shared" si="28"/>
        <v>0.7450921875712592</v>
      </c>
      <c r="J54" s="317">
        <f t="shared" si="28"/>
        <v>0.7364071075077578</v>
      </c>
      <c r="K54" s="317">
        <f t="shared" si="28"/>
        <v>0.7263099760440354</v>
      </c>
      <c r="L54" s="317">
        <f t="shared" si="28"/>
        <v>0.7146404222564251</v>
      </c>
      <c r="M54" s="317">
        <f t="shared" si="28"/>
        <v>0.7012307730497152</v>
      </c>
      <c r="N54" s="317">
        <f t="shared" si="28"/>
        <v>0.6859096346765899</v>
      </c>
      <c r="O54" s="317">
        <f t="shared" si="28"/>
        <v>0.6685072869123578</v>
      </c>
      <c r="P54" s="317">
        <f t="shared" si="28"/>
        <v>0.6488632594352037</v>
      </c>
      <c r="Q54" s="317">
        <f t="shared" si="28"/>
        <v>0.626836368776506</v>
      </c>
      <c r="R54" s="317">
        <f t="shared" si="28"/>
        <v>0.6023173001733257</v>
      </c>
      <c r="S54" s="317">
        <f t="shared" si="28"/>
        <v>0.575243496995675</v>
      </c>
      <c r="T54" s="317">
        <f t="shared" si="28"/>
        <v>0.5456156636466016</v>
      </c>
      <c r="U54" s="317">
        <f t="shared" si="28"/>
        <v>0.5135146211892407</v>
      </c>
      <c r="V54" s="317">
        <f t="shared" si="28"/>
        <v>0.47911665108693613</v>
      </c>
      <c r="W54" s="317">
        <f t="shared" si="28"/>
        <v>0.44270494789352133</v>
      </c>
      <c r="X54" s="317">
        <f t="shared" si="28"/>
        <v>0.40467454606735154</v>
      </c>
      <c r="Y54" s="317">
        <f t="shared" si="28"/>
        <v>0.3655282666548184</v>
      </c>
      <c r="Z54" s="317">
        <f t="shared" si="28"/>
        <v>0.3258619730927088</v>
      </c>
      <c r="AA54" s="317">
        <f t="shared" si="28"/>
        <v>0.28633874053561326</v>
      </c>
      <c r="AB54" s="317">
        <f t="shared" si="28"/>
        <v>0.24765327151252192</v>
      </c>
      <c r="AC54" s="317">
        <f t="shared" si="28"/>
        <v>0.21048970641836928</v>
      </c>
      <c r="AD54" s="317">
        <f t="shared" si="28"/>
        <v>0.1754774531393467</v>
      </c>
      <c r="AE54" s="317">
        <f t="shared" si="28"/>
        <v>0.14315039025736132</v>
      </c>
      <c r="AF54" s="317">
        <f t="shared" si="28"/>
        <v>0.11391453652137062</v>
      </c>
      <c r="AG54" s="317">
        <f t="shared" si="28"/>
        <v>0.08802803503498269</v>
      </c>
      <c r="AH54" s="317">
        <f t="shared" si="28"/>
        <v>0.0655953485455456</v>
      </c>
      <c r="AI54" s="317">
        <f t="shared" si="28"/>
        <v>0.04657535727308926</v>
      </c>
      <c r="AJ54" s="317">
        <f t="shared" si="28"/>
        <v>0.03080108338582077</v>
      </c>
      <c r="AK54" s="317">
        <f t="shared" si="28"/>
        <v>0.018007417451908814</v>
      </c>
      <c r="AL54" s="330">
        <f aca="true" t="shared" si="29" ref="AL54:BA54">IF(AL36&lt;&gt;"",1-AL36,0)</f>
        <v>0.007862671881225691</v>
      </c>
      <c r="AM54" s="331">
        <f t="shared" si="29"/>
        <v>0</v>
      </c>
      <c r="AN54" s="331">
        <f t="shared" si="29"/>
        <v>0</v>
      </c>
      <c r="AO54" s="331">
        <f t="shared" si="29"/>
        <v>0</v>
      </c>
      <c r="AP54" s="331">
        <f t="shared" si="29"/>
        <v>0</v>
      </c>
      <c r="AQ54" s="331">
        <f t="shared" si="29"/>
        <v>0</v>
      </c>
      <c r="AR54" s="331">
        <f t="shared" si="29"/>
        <v>0</v>
      </c>
      <c r="AS54" s="331">
        <f t="shared" si="29"/>
        <v>0</v>
      </c>
      <c r="AT54" s="331">
        <f t="shared" si="29"/>
        <v>0</v>
      </c>
      <c r="AU54" s="331">
        <f t="shared" si="29"/>
        <v>0</v>
      </c>
      <c r="AV54" s="331">
        <f t="shared" si="29"/>
        <v>0</v>
      </c>
      <c r="AW54" s="331">
        <f t="shared" si="29"/>
        <v>0</v>
      </c>
      <c r="AX54" s="331">
        <f t="shared" si="29"/>
        <v>0</v>
      </c>
      <c r="AY54" s="331">
        <f t="shared" si="29"/>
        <v>0</v>
      </c>
      <c r="AZ54" s="331">
        <f t="shared" si="29"/>
        <v>0</v>
      </c>
      <c r="BA54" s="332">
        <f t="shared" si="29"/>
        <v>0</v>
      </c>
    </row>
    <row r="55" spans="2:53" ht="12.75">
      <c r="B55" s="285">
        <f t="shared" si="3"/>
        <v>60</v>
      </c>
      <c r="C55" s="287">
        <f t="shared" si="0"/>
        <v>0.03</v>
      </c>
      <c r="D55" s="291">
        <f t="shared" si="1"/>
        <v>0.0001022115679212521</v>
      </c>
      <c r="E55" s="291">
        <f t="shared" si="2"/>
        <v>0.00015530271484521033</v>
      </c>
      <c r="G55" s="329">
        <f t="shared" si="27"/>
        <v>52</v>
      </c>
      <c r="H55" s="317">
        <f aca="true" t="shared" si="30" ref="H55:AK55">IF(H37&lt;&gt;"",1-H37,"")</f>
        <v>0.7539810476498561</v>
      </c>
      <c r="I55" s="317">
        <f t="shared" si="30"/>
        <v>0.7466010511399144</v>
      </c>
      <c r="J55" s="317">
        <f t="shared" si="30"/>
        <v>0.7379673802536124</v>
      </c>
      <c r="K55" s="317">
        <f t="shared" si="30"/>
        <v>0.7279300162551096</v>
      </c>
      <c r="L55" s="317">
        <f t="shared" si="30"/>
        <v>0.7163295374966435</v>
      </c>
      <c r="M55" s="317">
        <f t="shared" si="30"/>
        <v>0.7029992633822999</v>
      </c>
      <c r="N55" s="317">
        <f t="shared" si="30"/>
        <v>0.6877688146875383</v>
      </c>
      <c r="O55" s="317">
        <f t="shared" si="30"/>
        <v>0.6704694758044398</v>
      </c>
      <c r="P55" s="317">
        <f t="shared" si="30"/>
        <v>0.6509417262754567</v>
      </c>
      <c r="Q55" s="317">
        <f t="shared" si="30"/>
        <v>0.6290452183324905</v>
      </c>
      <c r="R55" s="317">
        <f t="shared" si="30"/>
        <v>0.6046712842742276</v>
      </c>
      <c r="S55" s="317">
        <f t="shared" si="30"/>
        <v>0.5777577377591344</v>
      </c>
      <c r="T55" s="317">
        <f t="shared" si="30"/>
        <v>0.5483052790207199</v>
      </c>
      <c r="U55" s="317">
        <f t="shared" si="30"/>
        <v>0.5163942507218828</v>
      </c>
      <c r="V55" s="317">
        <f t="shared" si="30"/>
        <v>0.482199890871569</v>
      </c>
      <c r="W55" s="317">
        <f t="shared" si="30"/>
        <v>0.44600371772369396</v>
      </c>
      <c r="X55" s="317">
        <f t="shared" si="30"/>
        <v>0.4081984274281206</v>
      </c>
      <c r="Y55" s="317">
        <f t="shared" si="30"/>
        <v>0.36928386470677543</v>
      </c>
      <c r="Z55" s="317">
        <f t="shared" si="30"/>
        <v>0.3298523659306287</v>
      </c>
      <c r="AA55" s="317">
        <f t="shared" si="30"/>
        <v>0.29056308134536146</v>
      </c>
      <c r="AB55" s="317">
        <f t="shared" si="30"/>
        <v>0.25210660136065666</v>
      </c>
      <c r="AC55" s="317">
        <f t="shared" si="30"/>
        <v>0.21516301677207428</v>
      </c>
      <c r="AD55" s="317">
        <f t="shared" si="30"/>
        <v>0.18035800984194106</v>
      </c>
      <c r="AE55" s="317">
        <f t="shared" si="30"/>
        <v>0.14822229899032113</v>
      </c>
      <c r="AF55" s="317">
        <f t="shared" si="30"/>
        <v>0.11915949963889583</v>
      </c>
      <c r="AG55" s="317">
        <f t="shared" si="30"/>
        <v>0.09342622687720092</v>
      </c>
      <c r="AH55" s="317">
        <f t="shared" si="30"/>
        <v>0.07112632511126238</v>
      </c>
      <c r="AI55" s="317">
        <f t="shared" si="30"/>
        <v>0.05221891795944833</v>
      </c>
      <c r="AJ55" s="317">
        <f t="shared" si="30"/>
        <v>0.03653801597382422</v>
      </c>
      <c r="AK55" s="317">
        <f t="shared" si="30"/>
        <v>0.023820078972083047</v>
      </c>
      <c r="AL55" s="330">
        <f aca="true" t="shared" si="31" ref="AL55:BA55">IF(AL37&lt;&gt;"",1-AL37,0)</f>
        <v>0.013735382706515531</v>
      </c>
      <c r="AM55" s="331">
        <f t="shared" si="31"/>
        <v>0.0059192519612434324</v>
      </c>
      <c r="AN55" s="331">
        <f t="shared" si="31"/>
        <v>0</v>
      </c>
      <c r="AO55" s="331">
        <f t="shared" si="31"/>
        <v>0</v>
      </c>
      <c r="AP55" s="331">
        <f t="shared" si="31"/>
        <v>0</v>
      </c>
      <c r="AQ55" s="331">
        <f t="shared" si="31"/>
        <v>0</v>
      </c>
      <c r="AR55" s="331">
        <f t="shared" si="31"/>
        <v>0</v>
      </c>
      <c r="AS55" s="331">
        <f t="shared" si="31"/>
        <v>0</v>
      </c>
      <c r="AT55" s="331">
        <f t="shared" si="31"/>
        <v>0</v>
      </c>
      <c r="AU55" s="331">
        <f t="shared" si="31"/>
        <v>0</v>
      </c>
      <c r="AV55" s="331">
        <f t="shared" si="31"/>
        <v>0</v>
      </c>
      <c r="AW55" s="331">
        <f t="shared" si="31"/>
        <v>0</v>
      </c>
      <c r="AX55" s="331">
        <f t="shared" si="31"/>
        <v>0</v>
      </c>
      <c r="AY55" s="331">
        <f t="shared" si="31"/>
        <v>0</v>
      </c>
      <c r="AZ55" s="331">
        <f t="shared" si="31"/>
        <v>0</v>
      </c>
      <c r="BA55" s="332">
        <f t="shared" si="31"/>
        <v>0</v>
      </c>
    </row>
    <row r="56" spans="2:53" ht="12.75">
      <c r="B56" s="285">
        <f t="shared" si="3"/>
        <v>61</v>
      </c>
      <c r="C56" s="287">
        <f t="shared" si="0"/>
        <v>0.03</v>
      </c>
      <c r="D56" s="291">
        <f t="shared" si="1"/>
        <v>5.9520337689995276E-05</v>
      </c>
      <c r="E56" s="291">
        <f t="shared" si="2"/>
        <v>9.04366327584531E-05</v>
      </c>
      <c r="G56" s="329">
        <f t="shared" si="27"/>
        <v>53</v>
      </c>
      <c r="H56" s="317">
        <f aca="true" t="shared" si="32" ref="H56:AK56">IF(H38&lt;&gt;"",1-H38,"")</f>
        <v>0.7550535479897134</v>
      </c>
      <c r="I56" s="317">
        <f t="shared" si="32"/>
        <v>0.7477057239961142</v>
      </c>
      <c r="J56" s="317">
        <f t="shared" si="32"/>
        <v>0.7391096909213358</v>
      </c>
      <c r="K56" s="317">
        <f t="shared" si="32"/>
        <v>0.7291160840244579</v>
      </c>
      <c r="L56" s="317">
        <f t="shared" si="32"/>
        <v>0.7175661766438963</v>
      </c>
      <c r="M56" s="317">
        <f t="shared" si="32"/>
        <v>0.7042940148147303</v>
      </c>
      <c r="N56" s="317">
        <f t="shared" si="32"/>
        <v>0.6891299620672942</v>
      </c>
      <c r="O56" s="317">
        <f t="shared" si="32"/>
        <v>0.671906038296138</v>
      </c>
      <c r="P56" s="317">
        <f t="shared" si="32"/>
        <v>0.6524634184606455</v>
      </c>
      <c r="Q56" s="317">
        <f t="shared" si="32"/>
        <v>0.630662366627813</v>
      </c>
      <c r="R56" s="317">
        <f t="shared" si="32"/>
        <v>0.6063946888246534</v>
      </c>
      <c r="S56" s="317">
        <f t="shared" si="32"/>
        <v>0.5795984698061147</v>
      </c>
      <c r="T56" s="317">
        <f t="shared" si="32"/>
        <v>0.5502744067530928</v>
      </c>
      <c r="U56" s="317">
        <f t="shared" si="32"/>
        <v>0.5185024920809449</v>
      </c>
      <c r="V56" s="317">
        <f t="shared" si="32"/>
        <v>0.4844571998622519</v>
      </c>
      <c r="W56" s="317">
        <f t="shared" si="32"/>
        <v>0.44841882109416675</v>
      </c>
      <c r="X56" s="317">
        <f t="shared" si="32"/>
        <v>0.41077833999846636</v>
      </c>
      <c r="Y56" s="317">
        <f t="shared" si="32"/>
        <v>0.3720334222631898</v>
      </c>
      <c r="Z56" s="317">
        <f t="shared" si="32"/>
        <v>0.3327738220153251</v>
      </c>
      <c r="AA56" s="317">
        <f t="shared" si="32"/>
        <v>0.29365581598672164</v>
      </c>
      <c r="AB56" s="317">
        <f t="shared" si="32"/>
        <v>0.2553669840122995</v>
      </c>
      <c r="AC56" s="317">
        <f t="shared" si="32"/>
        <v>0.2185844520851008</v>
      </c>
      <c r="AD56" s="317">
        <f t="shared" si="32"/>
        <v>0.18393117485467048</v>
      </c>
      <c r="AE56" s="317">
        <f t="shared" si="32"/>
        <v>0.15193555711571805</v>
      </c>
      <c r="AF56" s="317">
        <f t="shared" si="32"/>
        <v>0.1229994547601293</v>
      </c>
      <c r="AG56" s="317">
        <f t="shared" si="32"/>
        <v>0.09737836418407064</v>
      </c>
      <c r="AH56" s="317">
        <f t="shared" si="32"/>
        <v>0.07517567709201911</v>
      </c>
      <c r="AI56" s="317">
        <f t="shared" si="32"/>
        <v>0.05635069529972492</v>
      </c>
      <c r="AJ56" s="317">
        <f t="shared" si="32"/>
        <v>0.04073815297724137</v>
      </c>
      <c r="AK56" s="317">
        <f t="shared" si="32"/>
        <v>0.02807565882503016</v>
      </c>
      <c r="AL56" s="330">
        <f aca="true" t="shared" si="33" ref="AL56:BA56">IF(AL38&lt;&gt;"",1-AL38,0)</f>
        <v>0.01803492600239609</v>
      </c>
      <c r="AM56" s="331">
        <f t="shared" si="33"/>
        <v>0.010252869066481263</v>
      </c>
      <c r="AN56" s="331">
        <f t="shared" si="33"/>
        <v>0.004359421620213189</v>
      </c>
      <c r="AO56" s="331">
        <f t="shared" si="33"/>
        <v>0</v>
      </c>
      <c r="AP56" s="331">
        <f t="shared" si="33"/>
        <v>0</v>
      </c>
      <c r="AQ56" s="331">
        <f t="shared" si="33"/>
        <v>0</v>
      </c>
      <c r="AR56" s="331">
        <f t="shared" si="33"/>
        <v>0</v>
      </c>
      <c r="AS56" s="331">
        <f t="shared" si="33"/>
        <v>0</v>
      </c>
      <c r="AT56" s="331">
        <f t="shared" si="33"/>
        <v>0</v>
      </c>
      <c r="AU56" s="331">
        <f t="shared" si="33"/>
        <v>0</v>
      </c>
      <c r="AV56" s="331">
        <f t="shared" si="33"/>
        <v>0</v>
      </c>
      <c r="AW56" s="331">
        <f t="shared" si="33"/>
        <v>0</v>
      </c>
      <c r="AX56" s="331">
        <f t="shared" si="33"/>
        <v>0</v>
      </c>
      <c r="AY56" s="331">
        <f t="shared" si="33"/>
        <v>0</v>
      </c>
      <c r="AZ56" s="331">
        <f t="shared" si="33"/>
        <v>0</v>
      </c>
      <c r="BA56" s="332">
        <f t="shared" si="33"/>
        <v>0</v>
      </c>
    </row>
    <row r="57" spans="2:53" ht="12.75">
      <c r="B57" s="285">
        <f t="shared" si="3"/>
        <v>62</v>
      </c>
      <c r="C57" s="287">
        <f t="shared" si="0"/>
        <v>0.03</v>
      </c>
      <c r="D57" s="291">
        <f t="shared" si="1"/>
        <v>3.361686884224485E-05</v>
      </c>
      <c r="E57" s="291">
        <f t="shared" si="2"/>
        <v>5.107827912216644E-05</v>
      </c>
      <c r="G57" s="329">
        <f t="shared" si="27"/>
        <v>54</v>
      </c>
      <c r="H57" s="317">
        <f aca="true" t="shared" si="34" ref="H57:AK57">IF(H39&lt;&gt;"",1-H39,"")</f>
        <v>0.7558223045323682</v>
      </c>
      <c r="I57" s="317">
        <f t="shared" si="34"/>
        <v>0.7484975414474819</v>
      </c>
      <c r="J57" s="317">
        <f t="shared" si="34"/>
        <v>0.7399284867453759</v>
      </c>
      <c r="K57" s="317">
        <f t="shared" si="34"/>
        <v>0.7299662444615538</v>
      </c>
      <c r="L57" s="317">
        <f t="shared" si="34"/>
        <v>0.7184525860929416</v>
      </c>
      <c r="M57" s="317">
        <f t="shared" si="34"/>
        <v>0.705222078515787</v>
      </c>
      <c r="N57" s="317">
        <f t="shared" si="34"/>
        <v>0.6901056176590153</v>
      </c>
      <c r="O57" s="317">
        <f t="shared" si="34"/>
        <v>0.6729357506173224</v>
      </c>
      <c r="P57" s="317">
        <f t="shared" si="34"/>
        <v>0.653554150817361</v>
      </c>
      <c r="Q57" s="317">
        <f t="shared" si="34"/>
        <v>0.6318215208828484</v>
      </c>
      <c r="R57" s="317">
        <f t="shared" si="34"/>
        <v>0.6076300064040933</v>
      </c>
      <c r="S57" s="317">
        <f t="shared" si="34"/>
        <v>0.5809178864550444</v>
      </c>
      <c r="T57" s="317">
        <f t="shared" si="34"/>
        <v>0.5516858560285179</v>
      </c>
      <c r="U57" s="317">
        <f t="shared" si="34"/>
        <v>0.5200136564862542</v>
      </c>
      <c r="V57" s="317">
        <f t="shared" si="34"/>
        <v>0.48607521431958245</v>
      </c>
      <c r="W57" s="317">
        <f t="shared" si="34"/>
        <v>0.4501499408413975</v>
      </c>
      <c r="X57" s="317">
        <f t="shared" si="34"/>
        <v>0.4126275931821013</v>
      </c>
      <c r="Y57" s="317">
        <f t="shared" si="34"/>
        <v>0.3740042751220156</v>
      </c>
      <c r="Z57" s="317">
        <f t="shared" si="34"/>
        <v>0.33486788986381444</v>
      </c>
      <c r="AA57" s="317">
        <f t="shared" si="34"/>
        <v>0.2958726544359822</v>
      </c>
      <c r="AB57" s="317">
        <f t="shared" si="34"/>
        <v>0.2577039907262946</v>
      </c>
      <c r="AC57" s="317">
        <f t="shared" si="34"/>
        <v>0.22103689958969475</v>
      </c>
      <c r="AD57" s="317">
        <f t="shared" si="34"/>
        <v>0.18649238055264383</v>
      </c>
      <c r="AE57" s="317">
        <f t="shared" si="34"/>
        <v>0.1545971800284387</v>
      </c>
      <c r="AF57" s="317">
        <f t="shared" si="34"/>
        <v>0.1257518926972041</v>
      </c>
      <c r="AG57" s="317">
        <f t="shared" si="34"/>
        <v>0.10021121308790426</v>
      </c>
      <c r="AH57" s="317">
        <f t="shared" si="34"/>
        <v>0.07807820841348512</v>
      </c>
      <c r="AI57" s="317">
        <f t="shared" si="34"/>
        <v>0.059312308219635845</v>
      </c>
      <c r="AJ57" s="317">
        <f t="shared" si="34"/>
        <v>0.043748765357889075</v>
      </c>
      <c r="AK57" s="317">
        <f t="shared" si="34"/>
        <v>0.0311260120353406</v>
      </c>
      <c r="AL57" s="330">
        <f aca="true" t="shared" si="35" ref="AL57:BA57">IF(AL39&lt;&gt;"",1-AL39,0)</f>
        <v>0.02111679172896097</v>
      </c>
      <c r="AM57" s="331">
        <f t="shared" si="35"/>
        <v>0.01335915852784908</v>
      </c>
      <c r="AN57" s="331">
        <f t="shared" si="35"/>
        <v>0.00748420747638856</v>
      </c>
      <c r="AO57" s="331">
        <f t="shared" si="35"/>
        <v>0.003138467760384289</v>
      </c>
      <c r="AP57" s="331">
        <f t="shared" si="35"/>
        <v>0</v>
      </c>
      <c r="AQ57" s="331">
        <f t="shared" si="35"/>
        <v>0</v>
      </c>
      <c r="AR57" s="331">
        <f t="shared" si="35"/>
        <v>0</v>
      </c>
      <c r="AS57" s="331">
        <f t="shared" si="35"/>
        <v>0</v>
      </c>
      <c r="AT57" s="331">
        <f t="shared" si="35"/>
        <v>0</v>
      </c>
      <c r="AU57" s="331">
        <f t="shared" si="35"/>
        <v>0</v>
      </c>
      <c r="AV57" s="331">
        <f t="shared" si="35"/>
        <v>0</v>
      </c>
      <c r="AW57" s="331">
        <f t="shared" si="35"/>
        <v>0</v>
      </c>
      <c r="AX57" s="331">
        <f t="shared" si="35"/>
        <v>0</v>
      </c>
      <c r="AY57" s="331">
        <f t="shared" si="35"/>
        <v>0</v>
      </c>
      <c r="AZ57" s="331">
        <f t="shared" si="35"/>
        <v>0</v>
      </c>
      <c r="BA57" s="332">
        <f t="shared" si="35"/>
        <v>0</v>
      </c>
    </row>
    <row r="58" spans="2:53" ht="12.75">
      <c r="B58" s="285">
        <f t="shared" si="3"/>
        <v>63</v>
      </c>
      <c r="C58" s="287">
        <f t="shared" si="0"/>
        <v>0.03</v>
      </c>
      <c r="D58" s="291">
        <f t="shared" si="1"/>
        <v>1.839753801815086E-05</v>
      </c>
      <c r="E58" s="291">
        <f t="shared" si="2"/>
        <v>2.79536617899071E-05</v>
      </c>
      <c r="G58" s="329">
        <f t="shared" si="27"/>
        <v>55</v>
      </c>
      <c r="H58" s="317">
        <f aca="true" t="shared" si="36" ref="H58:AK58">IF(H40&lt;&gt;"",1-H40,"")</f>
        <v>0.7563611851627057</v>
      </c>
      <c r="I58" s="317">
        <f t="shared" si="36"/>
        <v>0.7490525872436863</v>
      </c>
      <c r="J58" s="317">
        <f t="shared" si="36"/>
        <v>0.7405024437594556</v>
      </c>
      <c r="K58" s="317">
        <f t="shared" si="36"/>
        <v>0.7305621873469934</v>
      </c>
      <c r="L58" s="317">
        <f t="shared" si="36"/>
        <v>0.7190739387008673</v>
      </c>
      <c r="M58" s="317">
        <f t="shared" si="36"/>
        <v>0.7058726297949887</v>
      </c>
      <c r="N58" s="317">
        <f t="shared" si="36"/>
        <v>0.6907895297574326</v>
      </c>
      <c r="O58" s="317">
        <f t="shared" si="36"/>
        <v>0.6736575552380543</v>
      </c>
      <c r="P58" s="317">
        <f t="shared" si="36"/>
        <v>0.6543187290775816</v>
      </c>
      <c r="Q58" s="317">
        <f t="shared" si="36"/>
        <v>0.6326340613178925</v>
      </c>
      <c r="R58" s="317">
        <f t="shared" si="36"/>
        <v>0.6084959355753452</v>
      </c>
      <c r="S58" s="317">
        <f t="shared" si="36"/>
        <v>0.5818427671370321</v>
      </c>
      <c r="T58" s="317">
        <f t="shared" si="36"/>
        <v>0.5526752494619759</v>
      </c>
      <c r="U58" s="317">
        <f t="shared" si="36"/>
        <v>0.521072947929114</v>
      </c>
      <c r="V58" s="317">
        <f t="shared" si="36"/>
        <v>0.48720940518793</v>
      </c>
      <c r="W58" s="317">
        <f t="shared" si="36"/>
        <v>0.45136341591291473</v>
      </c>
      <c r="X58" s="317">
        <f t="shared" si="36"/>
        <v>0.4139238770716789</v>
      </c>
      <c r="Y58" s="317">
        <f t="shared" si="36"/>
        <v>0.37538579758320834</v>
      </c>
      <c r="Z58" s="317">
        <f t="shared" si="36"/>
        <v>0.33633578319486357</v>
      </c>
      <c r="AA58" s="317">
        <f t="shared" si="36"/>
        <v>0.2974266071305095</v>
      </c>
      <c r="AB58" s="317">
        <f t="shared" si="36"/>
        <v>0.2593421786066754</v>
      </c>
      <c r="AC58" s="317">
        <f t="shared" si="36"/>
        <v>0.22275600880544355</v>
      </c>
      <c r="AD58" s="317">
        <f t="shared" si="36"/>
        <v>0.18828772675702388</v>
      </c>
      <c r="AE58" s="317">
        <f t="shared" si="36"/>
        <v>0.15646291638753906</v>
      </c>
      <c r="AF58" s="317">
        <f t="shared" si="36"/>
        <v>0.12768128829671777</v>
      </c>
      <c r="AG58" s="317">
        <f t="shared" si="36"/>
        <v>0.10219697492308388</v>
      </c>
      <c r="AH58" s="317">
        <f t="shared" si="36"/>
        <v>0.08011281601849385</v>
      </c>
      <c r="AI58" s="317">
        <f t="shared" si="36"/>
        <v>0.06138833066438221</v>
      </c>
      <c r="AJ58" s="317">
        <f t="shared" si="36"/>
        <v>0.045859135296052345</v>
      </c>
      <c r="AK58" s="317">
        <f t="shared" si="36"/>
        <v>0.0332642393797834</v>
      </c>
      <c r="AL58" s="330">
        <f aca="true" t="shared" si="37" ref="AL58:BA58">IF(AL40&lt;&gt;"",1-AL40,0)</f>
        <v>0.023277108621499232</v>
      </c>
      <c r="AM58" s="331">
        <f t="shared" si="37"/>
        <v>0.015536595895954575</v>
      </c>
      <c r="AN58" s="331">
        <f t="shared" si="37"/>
        <v>0.009674610391243732</v>
      </c>
      <c r="AO58" s="331">
        <f t="shared" si="37"/>
        <v>0.005338461374967296</v>
      </c>
      <c r="AP58" s="331">
        <f t="shared" si="37"/>
        <v>0.002206919961732612</v>
      </c>
      <c r="AQ58" s="331">
        <f t="shared" si="37"/>
        <v>0</v>
      </c>
      <c r="AR58" s="331">
        <f t="shared" si="37"/>
        <v>0</v>
      </c>
      <c r="AS58" s="331">
        <f t="shared" si="37"/>
        <v>0</v>
      </c>
      <c r="AT58" s="331">
        <f t="shared" si="37"/>
        <v>0</v>
      </c>
      <c r="AU58" s="331">
        <f t="shared" si="37"/>
        <v>0</v>
      </c>
      <c r="AV58" s="331">
        <f t="shared" si="37"/>
        <v>0</v>
      </c>
      <c r="AW58" s="331">
        <f t="shared" si="37"/>
        <v>0</v>
      </c>
      <c r="AX58" s="331">
        <f t="shared" si="37"/>
        <v>0</v>
      </c>
      <c r="AY58" s="331">
        <f t="shared" si="37"/>
        <v>0</v>
      </c>
      <c r="AZ58" s="331">
        <f t="shared" si="37"/>
        <v>0</v>
      </c>
      <c r="BA58" s="332">
        <f t="shared" si="37"/>
        <v>0</v>
      </c>
    </row>
    <row r="59" spans="2:53" ht="12.75">
      <c r="B59" s="285">
        <f t="shared" si="3"/>
        <v>64</v>
      </c>
      <c r="C59" s="287">
        <f t="shared" si="0"/>
        <v>0.03</v>
      </c>
      <c r="D59" s="291">
        <f t="shared" si="1"/>
        <v>9.746513714445455E-06</v>
      </c>
      <c r="E59" s="291">
        <f t="shared" si="2"/>
        <v>1.4809087375468489E-05</v>
      </c>
      <c r="G59" s="329">
        <f t="shared" si="27"/>
        <v>56</v>
      </c>
      <c r="H59" s="317">
        <f aca="true" t="shared" si="38" ref="H59:AK59">IF(H41&lt;&gt;"",1-H41,"")</f>
        <v>0.7567301861343535</v>
      </c>
      <c r="I59" s="317">
        <f t="shared" si="38"/>
        <v>0.7494326573864566</v>
      </c>
      <c r="J59" s="317">
        <f t="shared" si="38"/>
        <v>0.7408954634449969</v>
      </c>
      <c r="K59" s="317">
        <f t="shared" si="38"/>
        <v>0.7309702619583152</v>
      </c>
      <c r="L59" s="317">
        <f t="shared" si="38"/>
        <v>0.7194994127356586</v>
      </c>
      <c r="M59" s="317">
        <f t="shared" si="38"/>
        <v>0.7063180977532297</v>
      </c>
      <c r="N59" s="317">
        <f t="shared" si="38"/>
        <v>0.6912578416889259</v>
      </c>
      <c r="O59" s="317">
        <f t="shared" si="38"/>
        <v>0.6741518142471842</v>
      </c>
      <c r="P59" s="317">
        <f t="shared" si="38"/>
        <v>0.654842277531616</v>
      </c>
      <c r="Q59" s="317">
        <f t="shared" si="38"/>
        <v>0.6331904520900875</v>
      </c>
      <c r="R59" s="317">
        <f t="shared" si="38"/>
        <v>0.6090888845283813</v>
      </c>
      <c r="S59" s="317">
        <f t="shared" si="38"/>
        <v>0.582476083406162</v>
      </c>
      <c r="T59" s="317">
        <f t="shared" si="38"/>
        <v>0.5533527411321799</v>
      </c>
      <c r="U59" s="317">
        <f t="shared" si="38"/>
        <v>0.5217983025803447</v>
      </c>
      <c r="V59" s="317">
        <f t="shared" si="38"/>
        <v>0.48798604756268404</v>
      </c>
      <c r="W59" s="317">
        <f t="shared" si="38"/>
        <v>0.45219434850772666</v>
      </c>
      <c r="X59" s="317">
        <f t="shared" si="38"/>
        <v>0.4148115133826852</v>
      </c>
      <c r="Y59" s="317">
        <f t="shared" si="38"/>
        <v>0.3763318013952476</v>
      </c>
      <c r="Z59" s="317">
        <f t="shared" si="38"/>
        <v>0.3373409298543255</v>
      </c>
      <c r="AA59" s="317">
        <f t="shared" si="38"/>
        <v>0.2984906833319796</v>
      </c>
      <c r="AB59" s="317">
        <f t="shared" si="38"/>
        <v>0.2604639352361977</v>
      </c>
      <c r="AC59" s="317">
        <f t="shared" si="38"/>
        <v>0.2239331766887701</v>
      </c>
      <c r="AD59" s="317">
        <f t="shared" si="38"/>
        <v>0.18951709826634244</v>
      </c>
      <c r="AE59" s="317">
        <f t="shared" si="38"/>
        <v>0.15774048787663786</v>
      </c>
      <c r="AF59" s="317">
        <f t="shared" si="38"/>
        <v>0.1290024507412979</v>
      </c>
      <c r="AG59" s="317">
        <f t="shared" si="38"/>
        <v>0.1035567344048518</v>
      </c>
      <c r="AH59" s="317">
        <f t="shared" si="38"/>
        <v>0.08150602286413622</v>
      </c>
      <c r="AI59" s="317">
        <f t="shared" si="38"/>
        <v>0.06280989651059643</v>
      </c>
      <c r="AJ59" s="317">
        <f t="shared" si="38"/>
        <v>0.04730422074518226</v>
      </c>
      <c r="AK59" s="317">
        <f t="shared" si="38"/>
        <v>0.0347284003150341</v>
      </c>
      <c r="AL59" s="330">
        <f aca="true" t="shared" si="39" ref="AL59:BA59">IF(AL41&lt;&gt;"",1-AL41,0)</f>
        <v>0.024756395475648563</v>
      </c>
      <c r="AM59" s="331">
        <f t="shared" si="39"/>
        <v>0.017027606073904744</v>
      </c>
      <c r="AN59" s="331">
        <f t="shared" si="39"/>
        <v>0.011174498786519327</v>
      </c>
      <c r="AO59" s="331">
        <f t="shared" si="39"/>
        <v>0.00684491704566359</v>
      </c>
      <c r="AP59" s="331">
        <f t="shared" si="39"/>
        <v>0.003718118480258936</v>
      </c>
      <c r="AQ59" s="331">
        <f t="shared" si="39"/>
        <v>0.001514540989268398</v>
      </c>
      <c r="AR59" s="331">
        <f t="shared" si="39"/>
        <v>0</v>
      </c>
      <c r="AS59" s="331">
        <f t="shared" si="39"/>
        <v>0</v>
      </c>
      <c r="AT59" s="331">
        <f t="shared" si="39"/>
        <v>0</v>
      </c>
      <c r="AU59" s="331">
        <f t="shared" si="39"/>
        <v>0</v>
      </c>
      <c r="AV59" s="331">
        <f t="shared" si="39"/>
        <v>0</v>
      </c>
      <c r="AW59" s="331">
        <f t="shared" si="39"/>
        <v>0</v>
      </c>
      <c r="AX59" s="331">
        <f t="shared" si="39"/>
        <v>0</v>
      </c>
      <c r="AY59" s="331">
        <f t="shared" si="39"/>
        <v>0</v>
      </c>
      <c r="AZ59" s="331">
        <f t="shared" si="39"/>
        <v>0</v>
      </c>
      <c r="BA59" s="332">
        <f t="shared" si="39"/>
        <v>0</v>
      </c>
    </row>
    <row r="60" spans="2:53" ht="12.75">
      <c r="B60" s="285">
        <f t="shared" si="3"/>
        <v>65</v>
      </c>
      <c r="C60" s="287">
        <f t="shared" si="0"/>
        <v>0.03</v>
      </c>
      <c r="D60" s="291">
        <f t="shared" si="1"/>
        <v>4.993386105586448E-06</v>
      </c>
      <c r="E60" s="291">
        <f t="shared" si="2"/>
        <v>7.587070957226616E-06</v>
      </c>
      <c r="G60" s="329">
        <f t="shared" si="27"/>
        <v>57</v>
      </c>
      <c r="H60" s="317">
        <f aca="true" t="shared" si="40" ref="H60:AK60">IF(H42&lt;&gt;"",1-H42,"")</f>
        <v>0.7569767485058153</v>
      </c>
      <c r="I60" s="317">
        <f t="shared" si="40"/>
        <v>0.749686616055738</v>
      </c>
      <c r="J60" s="317">
        <f t="shared" si="40"/>
        <v>0.7411580748556539</v>
      </c>
      <c r="K60" s="317">
        <f t="shared" si="40"/>
        <v>0.7312429329040082</v>
      </c>
      <c r="L60" s="317">
        <f t="shared" si="40"/>
        <v>0.7197837097838347</v>
      </c>
      <c r="M60" s="317">
        <f t="shared" si="40"/>
        <v>0.7066157545201042</v>
      </c>
      <c r="N60" s="317">
        <f t="shared" si="40"/>
        <v>0.6915707625462808</v>
      </c>
      <c r="O60" s="317">
        <f t="shared" si="40"/>
        <v>0.6744820726550774</v>
      </c>
      <c r="P60" s="317">
        <f t="shared" si="40"/>
        <v>0.6551921068229195</v>
      </c>
      <c r="Q60" s="317">
        <f t="shared" si="40"/>
        <v>0.6335622262554488</v>
      </c>
      <c r="R60" s="317">
        <f t="shared" si="40"/>
        <v>0.6094850864661798</v>
      </c>
      <c r="S60" s="317">
        <f t="shared" si="40"/>
        <v>0.5828992583384791</v>
      </c>
      <c r="T60" s="317">
        <f t="shared" si="40"/>
        <v>0.5538054335793168</v>
      </c>
      <c r="U60" s="317">
        <f t="shared" si="40"/>
        <v>0.5222829765424746</v>
      </c>
      <c r="V60" s="317">
        <f t="shared" si="40"/>
        <v>0.48850499141489667</v>
      </c>
      <c r="W60" s="317">
        <f t="shared" si="40"/>
        <v>0.4527495684850261</v>
      </c>
      <c r="X60" s="317">
        <f t="shared" si="40"/>
        <v>0.4154046221565185</v>
      </c>
      <c r="Y60" s="317">
        <f t="shared" si="40"/>
        <v>0.37696391068825774</v>
      </c>
      <c r="Z60" s="317">
        <f t="shared" si="40"/>
        <v>0.33801255774440175</v>
      </c>
      <c r="AA60" s="317">
        <f t="shared" si="40"/>
        <v>0.2992016872908011</v>
      </c>
      <c r="AB60" s="317">
        <f t="shared" si="40"/>
        <v>0.261213480619623</v>
      </c>
      <c r="AC60" s="317">
        <f t="shared" si="40"/>
        <v>0.22471974725964317</v>
      </c>
      <c r="AD60" s="317">
        <f t="shared" si="40"/>
        <v>0.19033855072320627</v>
      </c>
      <c r="AE60" s="317">
        <f t="shared" si="40"/>
        <v>0.15859414702733765</v>
      </c>
      <c r="AF60" s="317">
        <f t="shared" si="40"/>
        <v>0.12988523688673104</v>
      </c>
      <c r="AG60" s="317">
        <f t="shared" si="40"/>
        <v>0.10446531066400166</v>
      </c>
      <c r="AH60" s="317">
        <f t="shared" si="40"/>
        <v>0.08243694828220349</v>
      </c>
      <c r="AI60" s="317">
        <f t="shared" si="40"/>
        <v>0.06375977109945319</v>
      </c>
      <c r="AJ60" s="317">
        <f t="shared" si="40"/>
        <v>0.04826981087279447</v>
      </c>
      <c r="AK60" s="317">
        <f t="shared" si="40"/>
        <v>0.035706736471670886</v>
      </c>
      <c r="AL60" s="330">
        <f aca="true" t="shared" si="41" ref="AL60:BA60">IF(AL42&lt;&gt;"",1-AL42,0)</f>
        <v>0.025744838604138343</v>
      </c>
      <c r="AM60" s="331">
        <f t="shared" si="41"/>
        <v>0.018023882597804963</v>
      </c>
      <c r="AN60" s="331">
        <f t="shared" si="41"/>
        <v>0.012176707637124085</v>
      </c>
      <c r="AO60" s="331">
        <f t="shared" si="41"/>
        <v>0.00785151407713014</v>
      </c>
      <c r="AP60" s="331">
        <f t="shared" si="41"/>
        <v>0.004727884630232659</v>
      </c>
      <c r="AQ60" s="331">
        <f t="shared" si="41"/>
        <v>0.0025265405412546738</v>
      </c>
      <c r="AR60" s="331">
        <f t="shared" si="41"/>
        <v>0.0010135345916694183</v>
      </c>
      <c r="AS60" s="331">
        <f t="shared" si="41"/>
        <v>0</v>
      </c>
      <c r="AT60" s="331">
        <f t="shared" si="41"/>
        <v>0</v>
      </c>
      <c r="AU60" s="331">
        <f t="shared" si="41"/>
        <v>0</v>
      </c>
      <c r="AV60" s="331">
        <f t="shared" si="41"/>
        <v>0</v>
      </c>
      <c r="AW60" s="331">
        <f t="shared" si="41"/>
        <v>0</v>
      </c>
      <c r="AX60" s="331">
        <f t="shared" si="41"/>
        <v>0</v>
      </c>
      <c r="AY60" s="331">
        <f t="shared" si="41"/>
        <v>0</v>
      </c>
      <c r="AZ60" s="331">
        <f t="shared" si="41"/>
        <v>0</v>
      </c>
      <c r="BA60" s="332">
        <f t="shared" si="41"/>
        <v>0</v>
      </c>
    </row>
    <row r="61" spans="7:53" ht="12.75">
      <c r="G61" s="329">
        <f t="shared" si="27"/>
        <v>58</v>
      </c>
      <c r="H61" s="317">
        <f aca="true" t="shared" si="42" ref="H61:AK61">IF(H43&lt;&gt;"",1-H43,"")</f>
        <v>0.7571373452733212</v>
      </c>
      <c r="I61" s="317">
        <f t="shared" si="42"/>
        <v>0.7498520303528383</v>
      </c>
      <c r="J61" s="317">
        <f t="shared" si="42"/>
        <v>0.7413291250585361</v>
      </c>
      <c r="K61" s="317">
        <f t="shared" si="42"/>
        <v>0.7314205353184051</v>
      </c>
      <c r="L61" s="317">
        <f t="shared" si="42"/>
        <v>0.7199688847830765</v>
      </c>
      <c r="M61" s="317">
        <f t="shared" si="42"/>
        <v>0.7068096312836301</v>
      </c>
      <c r="N61" s="317">
        <f t="shared" si="42"/>
        <v>0.691774581474037</v>
      </c>
      <c r="O61" s="317">
        <f t="shared" si="42"/>
        <v>0.6746971842815388</v>
      </c>
      <c r="P61" s="317">
        <f t="shared" si="42"/>
        <v>0.6554199658146593</v>
      </c>
      <c r="Q61" s="317">
        <f t="shared" si="42"/>
        <v>0.6338043788955507</v>
      </c>
      <c r="R61" s="317">
        <f t="shared" si="42"/>
        <v>0.6097431499740575</v>
      </c>
      <c r="S61" s="317">
        <f t="shared" si="42"/>
        <v>0.5831748905276766</v>
      </c>
      <c r="T61" s="317">
        <f t="shared" si="42"/>
        <v>0.5541002918062778</v>
      </c>
      <c r="U61" s="317">
        <f t="shared" si="42"/>
        <v>0.5225986657173917</v>
      </c>
      <c r="V61" s="317">
        <f t="shared" si="42"/>
        <v>0.48884300205572706</v>
      </c>
      <c r="W61" s="317">
        <f t="shared" si="42"/>
        <v>0.45311120733965105</v>
      </c>
      <c r="X61" s="317">
        <f t="shared" si="42"/>
        <v>0.41579093962780334</v>
      </c>
      <c r="Y61" s="317">
        <f t="shared" si="42"/>
        <v>0.3773756308893821</v>
      </c>
      <c r="Z61" s="317">
        <f t="shared" si="42"/>
        <v>0.3384500181219673</v>
      </c>
      <c r="AA61" s="317">
        <f t="shared" si="42"/>
        <v>0.29966479500993015</v>
      </c>
      <c r="AB61" s="317">
        <f t="shared" si="42"/>
        <v>0.2617016920403824</v>
      </c>
      <c r="AC61" s="317">
        <f t="shared" si="42"/>
        <v>0.22523207479100438</v>
      </c>
      <c r="AD61" s="317">
        <f t="shared" si="42"/>
        <v>0.19087359833996176</v>
      </c>
      <c r="AE61" s="317">
        <f t="shared" si="42"/>
        <v>0.15915017226079697</v>
      </c>
      <c r="AF61" s="317">
        <f t="shared" si="42"/>
        <v>0.1304602337952826</v>
      </c>
      <c r="AG61" s="317">
        <f t="shared" si="42"/>
        <v>0.10505710579229777</v>
      </c>
      <c r="AH61" s="317">
        <f t="shared" si="42"/>
        <v>0.08304330038712726</v>
      </c>
      <c r="AI61" s="317">
        <f t="shared" si="42"/>
        <v>0.06437846562125782</v>
      </c>
      <c r="AJ61" s="317">
        <f t="shared" si="42"/>
        <v>0.04889874160667307</v>
      </c>
      <c r="AK61" s="317">
        <f t="shared" si="42"/>
        <v>0.03634396924712924</v>
      </c>
      <c r="AL61" s="330">
        <f aca="true" t="shared" si="43" ref="AL61:BA61">IF(AL43&lt;&gt;"",1-AL43,0)</f>
        <v>0.026388654488768037</v>
      </c>
      <c r="AM61" s="331">
        <f t="shared" si="43"/>
        <v>0.01867280071264943</v>
      </c>
      <c r="AN61" s="331">
        <f t="shared" si="43"/>
        <v>0.012829489733673816</v>
      </c>
      <c r="AO61" s="331">
        <f t="shared" si="43"/>
        <v>0.008507154386218407</v>
      </c>
      <c r="AP61" s="331">
        <f t="shared" si="43"/>
        <v>0.0053855891236693765</v>
      </c>
      <c r="AQ61" s="331">
        <f t="shared" si="43"/>
        <v>0.003185699746299009</v>
      </c>
      <c r="AR61" s="331">
        <f t="shared" si="43"/>
        <v>0.001673693634643758</v>
      </c>
      <c r="AS61" s="331">
        <f t="shared" si="43"/>
        <v>0.000660828815838399</v>
      </c>
      <c r="AT61" s="331">
        <f t="shared" si="43"/>
        <v>0</v>
      </c>
      <c r="AU61" s="331">
        <f t="shared" si="43"/>
        <v>0</v>
      </c>
      <c r="AV61" s="331">
        <f t="shared" si="43"/>
        <v>0</v>
      </c>
      <c r="AW61" s="331">
        <f t="shared" si="43"/>
        <v>0</v>
      </c>
      <c r="AX61" s="331">
        <f t="shared" si="43"/>
        <v>0</v>
      </c>
      <c r="AY61" s="331">
        <f t="shared" si="43"/>
        <v>0</v>
      </c>
      <c r="AZ61" s="331">
        <f t="shared" si="43"/>
        <v>0</v>
      </c>
      <c r="BA61" s="332">
        <f t="shared" si="43"/>
        <v>0</v>
      </c>
    </row>
    <row r="62" spans="7:53" ht="12.75">
      <c r="G62" s="329">
        <f t="shared" si="27"/>
        <v>59</v>
      </c>
      <c r="H62" s="317">
        <f aca="true" t="shared" si="44" ref="H62:AK62">IF(H44&lt;&gt;"",1-H44,"")</f>
        <v>0.7572392079244745</v>
      </c>
      <c r="I62" s="317">
        <f t="shared" si="44"/>
        <v>0.749956948646668</v>
      </c>
      <c r="J62" s="317">
        <f t="shared" si="44"/>
        <v>0.741437618071294</v>
      </c>
      <c r="K62" s="317">
        <f t="shared" si="44"/>
        <v>0.7315331842406883</v>
      </c>
      <c r="L62" s="317">
        <f t="shared" si="44"/>
        <v>0.7200863368130459</v>
      </c>
      <c r="M62" s="317">
        <f t="shared" si="44"/>
        <v>0.7069326026325335</v>
      </c>
      <c r="N62" s="317">
        <f t="shared" si="44"/>
        <v>0.6919038588976048</v>
      </c>
      <c r="O62" s="317">
        <f t="shared" si="44"/>
        <v>0.6748336243911718</v>
      </c>
      <c r="P62" s="317">
        <f t="shared" si="44"/>
        <v>0.6555644912702345</v>
      </c>
      <c r="Q62" s="317">
        <f t="shared" si="44"/>
        <v>0.6339579704670848</v>
      </c>
      <c r="R62" s="317">
        <f t="shared" si="44"/>
        <v>0.6099068334247679</v>
      </c>
      <c r="S62" s="317">
        <f t="shared" si="44"/>
        <v>0.5833497173686573</v>
      </c>
      <c r="T62" s="317">
        <f t="shared" si="44"/>
        <v>0.5542873132586957</v>
      </c>
      <c r="U62" s="317">
        <f t="shared" si="44"/>
        <v>0.5227988997370223</v>
      </c>
      <c r="V62" s="317">
        <f t="shared" si="44"/>
        <v>0.4890573940421141</v>
      </c>
      <c r="W62" s="317">
        <f t="shared" si="44"/>
        <v>0.45334058613141714</v>
      </c>
      <c r="X62" s="317">
        <f t="shared" si="44"/>
        <v>0.4160359714701183</v>
      </c>
      <c r="Y62" s="317">
        <f t="shared" si="44"/>
        <v>0.37763677506974824</v>
      </c>
      <c r="Z62" s="317">
        <f t="shared" si="44"/>
        <v>0.33872748867461455</v>
      </c>
      <c r="AA62" s="317">
        <f t="shared" si="44"/>
        <v>0.29995853305193754</v>
      </c>
      <c r="AB62" s="317">
        <f t="shared" si="44"/>
        <v>0.2620113527540695</v>
      </c>
      <c r="AC62" s="317">
        <f t="shared" si="44"/>
        <v>0.22555703177123254</v>
      </c>
      <c r="AD62" s="317">
        <f t="shared" si="44"/>
        <v>0.1912129661216564</v>
      </c>
      <c r="AE62" s="317">
        <f t="shared" si="44"/>
        <v>0.1595028456381491</v>
      </c>
      <c r="AF62" s="317">
        <f t="shared" si="44"/>
        <v>0.13082494044797222</v>
      </c>
      <c r="AG62" s="317">
        <f t="shared" si="44"/>
        <v>0.10543246715008758</v>
      </c>
      <c r="AH62" s="317">
        <f t="shared" si="44"/>
        <v>0.08342789488363522</v>
      </c>
      <c r="AI62" s="317">
        <f t="shared" si="44"/>
        <v>0.06477088861471902</v>
      </c>
      <c r="AJ62" s="317">
        <f t="shared" si="44"/>
        <v>0.0492976571822441</v>
      </c>
      <c r="AK62" s="317">
        <f t="shared" si="44"/>
        <v>0.03674815060717673</v>
      </c>
      <c r="AL62" s="330">
        <f aca="true" t="shared" si="45" ref="AL62:BA62">IF(AL44&lt;&gt;"",1-AL44,0)</f>
        <v>0.02679701135597823</v>
      </c>
      <c r="AM62" s="331">
        <f t="shared" si="45"/>
        <v>0.01908439380126392</v>
      </c>
      <c r="AN62" s="331">
        <f t="shared" si="45"/>
        <v>0.013243533652567252</v>
      </c>
      <c r="AO62" s="331">
        <f t="shared" si="45"/>
        <v>0.008923011200298037</v>
      </c>
      <c r="AP62" s="331">
        <f t="shared" si="45"/>
        <v>0.005802755200030485</v>
      </c>
      <c r="AQ62" s="331">
        <f t="shared" si="45"/>
        <v>0.0036037885111008805</v>
      </c>
      <c r="AR62" s="331">
        <f t="shared" si="45"/>
        <v>0.002092416572498146</v>
      </c>
      <c r="AS62" s="331">
        <f t="shared" si="45"/>
        <v>0.0010799765744451406</v>
      </c>
      <c r="AT62" s="331">
        <f t="shared" si="45"/>
        <v>0.00041942492668434195</v>
      </c>
      <c r="AU62" s="331">
        <f t="shared" si="45"/>
        <v>0</v>
      </c>
      <c r="AV62" s="331">
        <f t="shared" si="45"/>
        <v>0</v>
      </c>
      <c r="AW62" s="331">
        <f t="shared" si="45"/>
        <v>0</v>
      </c>
      <c r="AX62" s="331">
        <f t="shared" si="45"/>
        <v>0</v>
      </c>
      <c r="AY62" s="331">
        <f t="shared" si="45"/>
        <v>0</v>
      </c>
      <c r="AZ62" s="331">
        <f t="shared" si="45"/>
        <v>0</v>
      </c>
      <c r="BA62" s="332">
        <f t="shared" si="45"/>
        <v>0</v>
      </c>
    </row>
    <row r="63" spans="7:53" ht="12.75">
      <c r="G63" s="329">
        <f t="shared" si="27"/>
        <v>60</v>
      </c>
      <c r="H63" s="317">
        <f aca="true" t="shared" si="46" ref="H63:AK63">IF(H45&lt;&gt;"",1-H45,"")</f>
        <v>0.7573020611029119</v>
      </c>
      <c r="I63" s="317">
        <f t="shared" si="46"/>
        <v>0.750021687274308</v>
      </c>
      <c r="J63" s="317">
        <f t="shared" si="46"/>
        <v>0.7415045624381731</v>
      </c>
      <c r="K63" s="317">
        <f t="shared" si="46"/>
        <v>0.7316026929637864</v>
      </c>
      <c r="L63" s="317">
        <f t="shared" si="46"/>
        <v>0.7201588092385516</v>
      </c>
      <c r="M63" s="317">
        <f t="shared" si="46"/>
        <v>0.7070084806903676</v>
      </c>
      <c r="N63" s="317">
        <f t="shared" si="46"/>
        <v>0.69198362804635</v>
      </c>
      <c r="O63" s="317">
        <f t="shared" si="46"/>
        <v>0.6749178131930507</v>
      </c>
      <c r="P63" s="317">
        <f t="shared" si="46"/>
        <v>0.6556536690419219</v>
      </c>
      <c r="Q63" s="317">
        <f t="shared" si="46"/>
        <v>0.63405274238145</v>
      </c>
      <c r="R63" s="317">
        <f t="shared" si="46"/>
        <v>0.6100078324172178</v>
      </c>
      <c r="S63" s="317">
        <f t="shared" si="46"/>
        <v>0.58345759226203</v>
      </c>
      <c r="T63" s="317">
        <f t="shared" si="46"/>
        <v>0.5544027126969331</v>
      </c>
      <c r="U63" s="317">
        <f t="shared" si="46"/>
        <v>0.5229224518380388</v>
      </c>
      <c r="V63" s="317">
        <f t="shared" si="46"/>
        <v>0.48918968215383507</v>
      </c>
      <c r="W63" s="317">
        <f t="shared" si="46"/>
        <v>0.4534821216791908</v>
      </c>
      <c r="X63" s="317">
        <f t="shared" si="46"/>
        <v>0.41618716555287116</v>
      </c>
      <c r="Y63" s="317">
        <f t="shared" si="46"/>
        <v>0.37779791108555616</v>
      </c>
      <c r="Z63" s="317">
        <f t="shared" si="46"/>
        <v>0.33889869869083966</v>
      </c>
      <c r="AA63" s="317">
        <f t="shared" si="46"/>
        <v>0.30013978073555014</v>
      </c>
      <c r="AB63" s="317">
        <f t="shared" si="46"/>
        <v>0.26220242533928195</v>
      </c>
      <c r="AC63" s="317">
        <f t="shared" si="46"/>
        <v>0.2257575427419518</v>
      </c>
      <c r="AD63" s="317">
        <f t="shared" si="46"/>
        <v>0.19142236911183264</v>
      </c>
      <c r="AE63" s="317">
        <f t="shared" si="46"/>
        <v>0.15972045869323725</v>
      </c>
      <c r="AF63" s="317">
        <f t="shared" si="46"/>
        <v>0.13104997849733857</v>
      </c>
      <c r="AG63" s="317">
        <f t="shared" si="46"/>
        <v>0.10566407956280766</v>
      </c>
      <c r="AH63" s="317">
        <f t="shared" si="46"/>
        <v>0.08366520449850756</v>
      </c>
      <c r="AI63" s="317">
        <f t="shared" si="46"/>
        <v>0.06501302871368275</v>
      </c>
      <c r="AJ63" s="317">
        <f t="shared" si="46"/>
        <v>0.049543803454395574</v>
      </c>
      <c r="AK63" s="317">
        <f t="shared" si="46"/>
        <v>0.0369975460711327</v>
      </c>
      <c r="AL63" s="330">
        <f aca="true" t="shared" si="47" ref="AL63:BA63">IF(AL45&lt;&gt;"",1-AL45,0)</f>
        <v>0.027048983268650018</v>
      </c>
      <c r="AM63" s="331">
        <f t="shared" si="47"/>
        <v>0.019338362587167368</v>
      </c>
      <c r="AN63" s="331">
        <f t="shared" si="47"/>
        <v>0.013499014695132927</v>
      </c>
      <c r="AO63" s="331">
        <f t="shared" si="47"/>
        <v>0.009179610869007204</v>
      </c>
      <c r="AP63" s="331">
        <f t="shared" si="47"/>
        <v>0.006060162733986241</v>
      </c>
      <c r="AQ63" s="331">
        <f t="shared" si="47"/>
        <v>0.0038617653793568962</v>
      </c>
      <c r="AR63" s="331">
        <f t="shared" si="47"/>
        <v>0.0023507847499492085</v>
      </c>
      <c r="AS63" s="331">
        <f t="shared" si="47"/>
        <v>0.001338606882659965</v>
      </c>
      <c r="AT63" s="331">
        <f t="shared" si="47"/>
        <v>0.0006782262582767373</v>
      </c>
      <c r="AU63" s="331">
        <f t="shared" si="47"/>
        <v>0.0002589099248686555</v>
      </c>
      <c r="AV63" s="331">
        <f t="shared" si="47"/>
        <v>0</v>
      </c>
      <c r="AW63" s="331">
        <f t="shared" si="47"/>
        <v>0</v>
      </c>
      <c r="AX63" s="331">
        <f t="shared" si="47"/>
        <v>0</v>
      </c>
      <c r="AY63" s="331">
        <f t="shared" si="47"/>
        <v>0</v>
      </c>
      <c r="AZ63" s="331">
        <f t="shared" si="47"/>
        <v>0</v>
      </c>
      <c r="BA63" s="332">
        <f t="shared" si="47"/>
        <v>0</v>
      </c>
    </row>
    <row r="64" spans="7:53" ht="12.75">
      <c r="G64" s="329">
        <f t="shared" si="27"/>
        <v>61</v>
      </c>
      <c r="H64" s="317">
        <f aca="true" t="shared" si="48" ref="H64:AK64">IF(H46&lt;&gt;"",1-H46,"")</f>
        <v>0.7573397527517101</v>
      </c>
      <c r="I64" s="317">
        <f t="shared" si="48"/>
        <v>0.7500605095849268</v>
      </c>
      <c r="J64" s="317">
        <f t="shared" si="48"/>
        <v>0.7415447074814017</v>
      </c>
      <c r="K64" s="317">
        <f t="shared" si="48"/>
        <v>0.7316443757942264</v>
      </c>
      <c r="L64" s="317">
        <f t="shared" si="48"/>
        <v>0.7202022693352024</v>
      </c>
      <c r="M64" s="317">
        <f t="shared" si="48"/>
        <v>0.7070539830687431</v>
      </c>
      <c r="N64" s="317">
        <f t="shared" si="48"/>
        <v>0.6920314638251313</v>
      </c>
      <c r="O64" s="317">
        <f t="shared" si="48"/>
        <v>0.6749682993392097</v>
      </c>
      <c r="P64" s="317">
        <f t="shared" si="48"/>
        <v>0.6557071469619669</v>
      </c>
      <c r="Q64" s="317">
        <f t="shared" si="48"/>
        <v>0.6341095749840484</v>
      </c>
      <c r="R64" s="317">
        <f t="shared" si="48"/>
        <v>0.6100683992596119</v>
      </c>
      <c r="S64" s="317">
        <f t="shared" si="48"/>
        <v>0.5835222824288</v>
      </c>
      <c r="T64" s="317">
        <f t="shared" si="48"/>
        <v>0.554471915165379</v>
      </c>
      <c r="U64" s="317">
        <f t="shared" si="48"/>
        <v>0.5229965432764601</v>
      </c>
      <c r="V64" s="317">
        <f t="shared" si="48"/>
        <v>0.4892690123829676</v>
      </c>
      <c r="W64" s="317">
        <f t="shared" si="48"/>
        <v>0.45356699738940554</v>
      </c>
      <c r="X64" s="317">
        <f t="shared" si="48"/>
        <v>0.4162778332710223</v>
      </c>
      <c r="Y64" s="317">
        <f t="shared" si="48"/>
        <v>0.37789454075914697</v>
      </c>
      <c r="Z64" s="317">
        <f t="shared" si="48"/>
        <v>0.33900136951772075</v>
      </c>
      <c r="AA64" s="317">
        <f t="shared" si="48"/>
        <v>0.3002484709276142</v>
      </c>
      <c r="AB64" s="317">
        <f t="shared" si="48"/>
        <v>0.2623170073056331</v>
      </c>
      <c r="AC64" s="317">
        <f t="shared" si="48"/>
        <v>0.22587778469751252</v>
      </c>
      <c r="AD64" s="317">
        <f t="shared" si="48"/>
        <v>0.1915479434130728</v>
      </c>
      <c r="AE64" s="317">
        <f t="shared" si="48"/>
        <v>0.15985095638723124</v>
      </c>
      <c r="AF64" s="317">
        <f t="shared" si="48"/>
        <v>0.13118492879474286</v>
      </c>
      <c r="AG64" s="317">
        <f t="shared" si="48"/>
        <v>0.1058029723592353</v>
      </c>
      <c r="AH64" s="317">
        <f t="shared" si="48"/>
        <v>0.08380751377995621</v>
      </c>
      <c r="AI64" s="317">
        <f t="shared" si="48"/>
        <v>0.06515823472866855</v>
      </c>
      <c r="AJ64" s="317">
        <f t="shared" si="48"/>
        <v>0.04969141188206061</v>
      </c>
      <c r="AK64" s="317">
        <f t="shared" si="48"/>
        <v>0.037147102966630485</v>
      </c>
      <c r="AL64" s="330">
        <f aca="true" t="shared" si="49" ref="AL64:BA64">IF(AL46&lt;&gt;"",1-AL46,0)</f>
        <v>0.0272000852029598</v>
      </c>
      <c r="AM64" s="331">
        <f t="shared" si="49"/>
        <v>0.01949066200180216</v>
      </c>
      <c r="AN64" s="331">
        <f t="shared" si="49"/>
        <v>0.013652220976348328</v>
      </c>
      <c r="AO64" s="331">
        <f t="shared" si="49"/>
        <v>0.009333487965363374</v>
      </c>
      <c r="AP64" s="331">
        <f t="shared" si="49"/>
        <v>0.0062145242891065156</v>
      </c>
      <c r="AQ64" s="331">
        <f t="shared" si="49"/>
        <v>0.0040164683515546695</v>
      </c>
      <c r="AR64" s="331">
        <f t="shared" si="49"/>
        <v>0.002505722381540787</v>
      </c>
      <c r="AS64" s="331">
        <f t="shared" si="49"/>
        <v>0.0014937017082222726</v>
      </c>
      <c r="AT64" s="331">
        <f t="shared" si="49"/>
        <v>0.0008334236427427477</v>
      </c>
      <c r="AU64" s="331">
        <f t="shared" si="49"/>
        <v>0.0004141724302996197</v>
      </c>
      <c r="AV64" s="331">
        <f t="shared" si="49"/>
        <v>0.00015530271484520686</v>
      </c>
      <c r="AW64" s="331">
        <f t="shared" si="49"/>
        <v>0</v>
      </c>
      <c r="AX64" s="331">
        <f t="shared" si="49"/>
        <v>0</v>
      </c>
      <c r="AY64" s="331">
        <f t="shared" si="49"/>
        <v>0</v>
      </c>
      <c r="AZ64" s="331">
        <f t="shared" si="49"/>
        <v>0</v>
      </c>
      <c r="BA64" s="332">
        <f t="shared" si="49"/>
        <v>0</v>
      </c>
    </row>
    <row r="65" spans="7:53" ht="12.75">
      <c r="G65" s="329">
        <f t="shared" si="27"/>
        <v>62</v>
      </c>
      <c r="H65" s="317">
        <f aca="true" t="shared" si="50" ref="H65:AK65">IF(H47&lt;&gt;"",1-H47,"")</f>
        <v>0.7573616981273753</v>
      </c>
      <c r="I65" s="317">
        <f t="shared" si="50"/>
        <v>0.750083113270833</v>
      </c>
      <c r="J65" s="317">
        <f t="shared" si="50"/>
        <v>0.7415680813077754</v>
      </c>
      <c r="K65" s="317">
        <f t="shared" si="50"/>
        <v>0.7316686449732612</v>
      </c>
      <c r="L65" s="317">
        <f t="shared" si="50"/>
        <v>0.7202275732998169</v>
      </c>
      <c r="M65" s="317">
        <f t="shared" si="50"/>
        <v>0.7070804761200942</v>
      </c>
      <c r="N65" s="317">
        <f t="shared" si="50"/>
        <v>0.6920593154625383</v>
      </c>
      <c r="O65" s="317">
        <f t="shared" si="50"/>
        <v>0.674997694111757</v>
      </c>
      <c r="P65" s="317">
        <f t="shared" si="50"/>
        <v>0.6557382836482782</v>
      </c>
      <c r="Q65" s="317">
        <f t="shared" si="50"/>
        <v>0.6341426648820453</v>
      </c>
      <c r="R65" s="317">
        <f t="shared" si="50"/>
        <v>0.6101036633605887</v>
      </c>
      <c r="S65" s="317">
        <f t="shared" si="50"/>
        <v>0.5835599472711959</v>
      </c>
      <c r="T65" s="317">
        <f t="shared" si="50"/>
        <v>0.5545122072251707</v>
      </c>
      <c r="U65" s="317">
        <f t="shared" si="50"/>
        <v>0.5230396818629002</v>
      </c>
      <c r="V65" s="317">
        <f t="shared" si="50"/>
        <v>0.48931520117373295</v>
      </c>
      <c r="W65" s="317">
        <f t="shared" si="50"/>
        <v>0.4536164149501897</v>
      </c>
      <c r="X65" s="317">
        <f t="shared" si="50"/>
        <v>0.41633062313824776</v>
      </c>
      <c r="Y65" s="317">
        <f t="shared" si="50"/>
        <v>0.3779508018821013</v>
      </c>
      <c r="Z65" s="317">
        <f t="shared" si="50"/>
        <v>0.3390611480081195</v>
      </c>
      <c r="AA65" s="317">
        <f t="shared" si="50"/>
        <v>0.30031175409967104</v>
      </c>
      <c r="AB65" s="317">
        <f t="shared" si="50"/>
        <v>0.2623837208715355</v>
      </c>
      <c r="AC65" s="317">
        <f t="shared" si="50"/>
        <v>0.22594779370400797</v>
      </c>
      <c r="AD65" s="317">
        <f t="shared" si="50"/>
        <v>0.19162105709481714</v>
      </c>
      <c r="AE65" s="317">
        <f t="shared" si="50"/>
        <v>0.1599269366377507</v>
      </c>
      <c r="AF65" s="317">
        <f t="shared" si="50"/>
        <v>0.13126350150427235</v>
      </c>
      <c r="AG65" s="317">
        <f t="shared" si="50"/>
        <v>0.1058838405274376</v>
      </c>
      <c r="AH65" s="317">
        <f t="shared" si="50"/>
        <v>0.08389037114336839</v>
      </c>
      <c r="AI65" s="317">
        <f t="shared" si="50"/>
        <v>0.06524277867008155</v>
      </c>
      <c r="AJ65" s="317">
        <f t="shared" si="50"/>
        <v>0.04977735459085131</v>
      </c>
      <c r="AK65" s="317">
        <f t="shared" si="50"/>
        <v>0.037234180140479856</v>
      </c>
      <c r="AL65" s="330">
        <f aca="true" t="shared" si="51" ref="AL65:BA65">IF(AL47&lt;&gt;"",1-AL47,0)</f>
        <v>0.027288061951601716</v>
      </c>
      <c r="AM65" s="331">
        <f t="shared" si="51"/>
        <v>0.019579335964718947</v>
      </c>
      <c r="AN65" s="331">
        <f t="shared" si="51"/>
        <v>0.013741422948212012</v>
      </c>
      <c r="AO65" s="331">
        <f t="shared" si="51"/>
        <v>0.009423080508898285</v>
      </c>
      <c r="AP65" s="331">
        <f t="shared" si="51"/>
        <v>0.006304398901214037</v>
      </c>
      <c r="AQ65" s="331">
        <f t="shared" si="51"/>
        <v>0.004106541748439718</v>
      </c>
      <c r="AR65" s="331">
        <f t="shared" si="51"/>
        <v>0.002595932405204393</v>
      </c>
      <c r="AS65" s="331">
        <f t="shared" si="51"/>
        <v>0.0015840032556279082</v>
      </c>
      <c r="AT65" s="331">
        <f t="shared" si="51"/>
        <v>0.0009237849034733348</v>
      </c>
      <c r="AU65" s="331">
        <f t="shared" si="51"/>
        <v>0.0005045716066981454</v>
      </c>
      <c r="AV65" s="331">
        <f t="shared" si="51"/>
        <v>0.0002457253025490713</v>
      </c>
      <c r="AW65" s="331">
        <f t="shared" si="51"/>
        <v>9.043663275842828E-05</v>
      </c>
      <c r="AX65" s="331">
        <f t="shared" si="51"/>
        <v>0</v>
      </c>
      <c r="AY65" s="331">
        <f t="shared" si="51"/>
        <v>0</v>
      </c>
      <c r="AZ65" s="331">
        <f t="shared" si="51"/>
        <v>0</v>
      </c>
      <c r="BA65" s="332">
        <f t="shared" si="51"/>
        <v>0</v>
      </c>
    </row>
    <row r="66" spans="7:53" ht="12.75">
      <c r="G66" s="329">
        <f t="shared" si="27"/>
        <v>63</v>
      </c>
      <c r="H66" s="317">
        <f aca="true" t="shared" si="52" ref="H66:AK66">IF(H48&lt;&gt;"",1-H48,"")</f>
        <v>0.757374091674284</v>
      </c>
      <c r="I66" s="317">
        <f t="shared" si="52"/>
        <v>0.7500958785953307</v>
      </c>
      <c r="J66" s="317">
        <f t="shared" si="52"/>
        <v>0.7415812815654524</v>
      </c>
      <c r="K66" s="317">
        <f t="shared" si="52"/>
        <v>0.7316823508771104</v>
      </c>
      <c r="L66" s="317">
        <f t="shared" si="52"/>
        <v>0.7202418635939185</v>
      </c>
      <c r="M66" s="317">
        <f t="shared" si="52"/>
        <v>0.7070954379452952</v>
      </c>
      <c r="N66" s="317">
        <f t="shared" si="52"/>
        <v>0.6920750445427761</v>
      </c>
      <c r="O66" s="317">
        <f t="shared" si="52"/>
        <v>0.6750142946702524</v>
      </c>
      <c r="P66" s="317">
        <f t="shared" si="52"/>
        <v>0.655755867944317</v>
      </c>
      <c r="Q66" s="317">
        <f t="shared" si="52"/>
        <v>0.6341613522451273</v>
      </c>
      <c r="R66" s="317">
        <f t="shared" si="52"/>
        <v>0.6101235785945003</v>
      </c>
      <c r="S66" s="317">
        <f t="shared" si="52"/>
        <v>0.5835812183124467</v>
      </c>
      <c r="T66" s="317">
        <f t="shared" si="52"/>
        <v>0.5545349619749954</v>
      </c>
      <c r="U66" s="317">
        <f t="shared" si="52"/>
        <v>0.5230640441751601</v>
      </c>
      <c r="V66" s="317">
        <f t="shared" si="52"/>
        <v>0.4893412860744307</v>
      </c>
      <c r="W66" s="317">
        <f t="shared" si="52"/>
        <v>0.4536443232834544</v>
      </c>
      <c r="X66" s="317">
        <f t="shared" si="52"/>
        <v>0.4163604359655939</v>
      </c>
      <c r="Y66" s="317">
        <f t="shared" si="52"/>
        <v>0.37798257508467026</v>
      </c>
      <c r="Z66" s="317">
        <f t="shared" si="52"/>
        <v>0.339094907627284</v>
      </c>
      <c r="AA66" s="317">
        <f t="shared" si="52"/>
        <v>0.30034749297119345</v>
      </c>
      <c r="AB66" s="317">
        <f t="shared" si="52"/>
        <v>0.26242139704172573</v>
      </c>
      <c r="AC66" s="317">
        <f t="shared" si="52"/>
        <v>0.22598733095865609</v>
      </c>
      <c r="AD66" s="317">
        <f t="shared" si="52"/>
        <v>0.19166234770009916</v>
      </c>
      <c r="AE66" s="317">
        <f t="shared" si="52"/>
        <v>0.15996984612416398</v>
      </c>
      <c r="AF66" s="317">
        <f t="shared" si="52"/>
        <v>0.13130787506962605</v>
      </c>
      <c r="AG66" s="317">
        <f t="shared" si="52"/>
        <v>0.10592951044219878</v>
      </c>
      <c r="AH66" s="317">
        <f t="shared" si="52"/>
        <v>0.08393716444669763</v>
      </c>
      <c r="AI66" s="317">
        <f t="shared" si="52"/>
        <v>0.065290524460344</v>
      </c>
      <c r="AJ66" s="317">
        <f t="shared" si="52"/>
        <v>0.04982589032836171</v>
      </c>
      <c r="AK66" s="317">
        <f t="shared" si="52"/>
        <v>0.037283356561755854</v>
      </c>
      <c r="AL66" s="330">
        <f aca="true" t="shared" si="53" ref="AL66:BA66">IF(AL48&lt;&gt;"",1-AL48,0)</f>
        <v>0.027337746403478747</v>
      </c>
      <c r="AM66" s="331">
        <f t="shared" si="53"/>
        <v>0.019629414165053594</v>
      </c>
      <c r="AN66" s="331">
        <f t="shared" si="53"/>
        <v>0.013791799339097133</v>
      </c>
      <c r="AO66" s="331">
        <f t="shared" si="53"/>
        <v>0.00947367747328387</v>
      </c>
      <c r="AP66" s="331">
        <f t="shared" si="53"/>
        <v>0.006355155162489301</v>
      </c>
      <c r="AQ66" s="331">
        <f t="shared" si="53"/>
        <v>0.004157410272476181</v>
      </c>
      <c r="AR66" s="331">
        <f t="shared" si="53"/>
        <v>0.002646878088566562</v>
      </c>
      <c r="AS66" s="331">
        <f t="shared" si="53"/>
        <v>0.001635000626589611</v>
      </c>
      <c r="AT66" s="331">
        <f t="shared" si="53"/>
        <v>0.000974815997252354</v>
      </c>
      <c r="AU66" s="331">
        <f t="shared" si="53"/>
        <v>0.0005556241131708939</v>
      </c>
      <c r="AV66" s="331">
        <f t="shared" si="53"/>
        <v>0.00029679103044566446</v>
      </c>
      <c r="AW66" s="331">
        <f t="shared" si="53"/>
        <v>0.00014151029253306469</v>
      </c>
      <c r="AX66" s="331">
        <f t="shared" si="53"/>
        <v>5.1078279122207526E-05</v>
      </c>
      <c r="AY66" s="331">
        <f t="shared" si="53"/>
        <v>0</v>
      </c>
      <c r="AZ66" s="331">
        <f t="shared" si="53"/>
        <v>0</v>
      </c>
      <c r="BA66" s="332">
        <f t="shared" si="53"/>
        <v>0</v>
      </c>
    </row>
    <row r="67" spans="7:53" ht="12.75">
      <c r="G67" s="329">
        <f t="shared" si="27"/>
        <v>64</v>
      </c>
      <c r="H67" s="317">
        <f aca="true" t="shared" si="54" ref="H67:AK67">IF(H49&lt;&gt;"",1-H49,"")</f>
        <v>0.7573808739568668</v>
      </c>
      <c r="I67" s="317">
        <f t="shared" si="54"/>
        <v>0.7501028643306203</v>
      </c>
      <c r="J67" s="317">
        <f t="shared" si="54"/>
        <v>0.7415885053149078</v>
      </c>
      <c r="K67" s="317">
        <f t="shared" si="54"/>
        <v>0.7316898513379262</v>
      </c>
      <c r="L67" s="317">
        <f t="shared" si="54"/>
        <v>0.7202496838582466</v>
      </c>
      <c r="M67" s="317">
        <f t="shared" si="54"/>
        <v>0.7071036257003596</v>
      </c>
      <c r="N67" s="317">
        <f t="shared" si="54"/>
        <v>0.6920836521728376</v>
      </c>
      <c r="O67" s="317">
        <f t="shared" si="54"/>
        <v>0.6750233792107458</v>
      </c>
      <c r="P67" s="317">
        <f t="shared" si="54"/>
        <v>0.6557654908283577</v>
      </c>
      <c r="Q67" s="317">
        <f t="shared" si="54"/>
        <v>0.6341715787749562</v>
      </c>
      <c r="R67" s="317">
        <f t="shared" si="54"/>
        <v>0.6101344770681241</v>
      </c>
      <c r="S67" s="317">
        <f t="shared" si="54"/>
        <v>0.583592858742233</v>
      </c>
      <c r="T67" s="317">
        <f t="shared" si="54"/>
        <v>0.5545474143540076</v>
      </c>
      <c r="U67" s="317">
        <f t="shared" si="54"/>
        <v>0.5230773762815646</v>
      </c>
      <c r="V67" s="317">
        <f t="shared" si="54"/>
        <v>0.4893555608554099</v>
      </c>
      <c r="W67" s="317">
        <f t="shared" si="54"/>
        <v>0.4536595959252584</v>
      </c>
      <c r="X67" s="317">
        <f t="shared" si="54"/>
        <v>0.41637675082857417</v>
      </c>
      <c r="Y67" s="317">
        <f t="shared" si="54"/>
        <v>0.37799996274939385</v>
      </c>
      <c r="Z67" s="317">
        <f t="shared" si="54"/>
        <v>0.33911338234471144</v>
      </c>
      <c r="AA67" s="317">
        <f t="shared" si="54"/>
        <v>0.30036705082074544</v>
      </c>
      <c r="AB67" s="317">
        <f t="shared" si="54"/>
        <v>0.26244201506453635</v>
      </c>
      <c r="AC67" s="317">
        <f t="shared" si="54"/>
        <v>0.2260089674470276</v>
      </c>
      <c r="AD67" s="317">
        <f t="shared" si="54"/>
        <v>0.1916849436974436</v>
      </c>
      <c r="AE67" s="317">
        <f t="shared" si="54"/>
        <v>0.15999332804297872</v>
      </c>
      <c r="AF67" s="317">
        <f t="shared" si="54"/>
        <v>0.13133215819548583</v>
      </c>
      <c r="AG67" s="317">
        <f t="shared" si="54"/>
        <v>0.10595450298628006</v>
      </c>
      <c r="AH67" s="317">
        <f t="shared" si="54"/>
        <v>0.08396277175738087</v>
      </c>
      <c r="AI67" s="317">
        <f t="shared" si="54"/>
        <v>0.06531665301289502</v>
      </c>
      <c r="AJ67" s="317">
        <f t="shared" si="54"/>
        <v>0.04985245117406489</v>
      </c>
      <c r="AK67" s="317">
        <f t="shared" si="54"/>
        <v>0.03731026801720594</v>
      </c>
      <c r="AL67" s="330">
        <f aca="true" t="shared" si="55" ref="AL67:BA67">IF(AL49&lt;&gt;"",1-AL49,0)</f>
        <v>0.02736493587515154</v>
      </c>
      <c r="AM67" s="331">
        <f t="shared" si="55"/>
        <v>0.019656819112838675</v>
      </c>
      <c r="AN67" s="331">
        <f t="shared" si="55"/>
        <v>0.01381936746959278</v>
      </c>
      <c r="AO67" s="331">
        <f t="shared" si="55"/>
        <v>0.00950136631109777</v>
      </c>
      <c r="AP67" s="331">
        <f t="shared" si="55"/>
        <v>0.006382931174421125</v>
      </c>
      <c r="AQ67" s="331">
        <f t="shared" si="55"/>
        <v>0.0041852477194253</v>
      </c>
      <c r="AR67" s="331">
        <f t="shared" si="55"/>
        <v>0.0026747577604214756</v>
      </c>
      <c r="AS67" s="331">
        <f t="shared" si="55"/>
        <v>0.001662908584124878</v>
      </c>
      <c r="AT67" s="331">
        <f t="shared" si="55"/>
        <v>0.0010027424093654869</v>
      </c>
      <c r="AU67" s="331">
        <f t="shared" si="55"/>
        <v>0.0005835622432321941</v>
      </c>
      <c r="AV67" s="331">
        <f t="shared" si="55"/>
        <v>0.00032473639583940894</v>
      </c>
      <c r="AW67" s="331">
        <f t="shared" si="55"/>
        <v>0.00016945999859208083</v>
      </c>
      <c r="AX67" s="331">
        <f t="shared" si="55"/>
        <v>7.903051308710829E-05</v>
      </c>
      <c r="AY67" s="331">
        <f t="shared" si="55"/>
        <v>2.7953661789870132E-05</v>
      </c>
      <c r="AZ67" s="331">
        <f t="shared" si="55"/>
        <v>0</v>
      </c>
      <c r="BA67" s="332">
        <f t="shared" si="55"/>
        <v>0</v>
      </c>
    </row>
    <row r="68" spans="7:53" ht="12.75">
      <c r="G68" s="333">
        <f t="shared" si="27"/>
        <v>65</v>
      </c>
      <c r="H68" s="334">
        <f aca="true" t="shared" si="56" ref="H68:AK68">IF(H50&lt;&gt;"",1-H50,"")</f>
        <v>0.7573844669247034</v>
      </c>
      <c r="I68" s="334">
        <f t="shared" si="56"/>
        <v>0.7501065650791374</v>
      </c>
      <c r="J68" s="334">
        <f t="shared" si="56"/>
        <v>0.7415923321533114</v>
      </c>
      <c r="K68" s="334">
        <f t="shared" si="56"/>
        <v>0.7316938247663616</v>
      </c>
      <c r="L68" s="334">
        <f t="shared" si="56"/>
        <v>0.7202538267051217</v>
      </c>
      <c r="M68" s="334">
        <f t="shared" si="56"/>
        <v>0.7071079632283586</v>
      </c>
      <c r="N68" s="334">
        <f t="shared" si="56"/>
        <v>0.692088212132937</v>
      </c>
      <c r="O68" s="334">
        <f t="shared" si="56"/>
        <v>0.6750281918179181</v>
      </c>
      <c r="P68" s="334">
        <f t="shared" si="56"/>
        <v>0.6557705886272817</v>
      </c>
      <c r="Q68" s="334">
        <f t="shared" si="56"/>
        <v>0.6341769963600106</v>
      </c>
      <c r="R68" s="334">
        <f t="shared" si="56"/>
        <v>0.6101402506207179</v>
      </c>
      <c r="S68" s="334">
        <f t="shared" si="56"/>
        <v>0.5835990253519716</v>
      </c>
      <c r="T68" s="334">
        <f t="shared" si="56"/>
        <v>0.55455401110027</v>
      </c>
      <c r="U68" s="334">
        <f t="shared" si="56"/>
        <v>0.5230844390703706</v>
      </c>
      <c r="V68" s="334">
        <f t="shared" si="56"/>
        <v>0.4893631230335269</v>
      </c>
      <c r="W68" s="334">
        <f t="shared" si="56"/>
        <v>0.45366768672803903</v>
      </c>
      <c r="X68" s="334">
        <f t="shared" si="56"/>
        <v>0.4163853937562655</v>
      </c>
      <c r="Y68" s="334">
        <f t="shared" si="56"/>
        <v>0.37800917400229295</v>
      </c>
      <c r="Z68" s="334">
        <f t="shared" si="56"/>
        <v>0.33912316947237753</v>
      </c>
      <c r="AA68" s="334">
        <f t="shared" si="56"/>
        <v>0.30037741174622046</v>
      </c>
      <c r="AB68" s="334">
        <f t="shared" si="56"/>
        <v>0.2624529376251796</v>
      </c>
      <c r="AC68" s="334">
        <f t="shared" si="56"/>
        <v>0.2260204295478564</v>
      </c>
      <c r="AD68" s="334">
        <f t="shared" si="56"/>
        <v>0.1916969141057392</v>
      </c>
      <c r="AE68" s="334">
        <f t="shared" si="56"/>
        <v>0.16000576777517972</v>
      </c>
      <c r="AF68" s="334">
        <f t="shared" si="56"/>
        <v>0.13134502237345536</v>
      </c>
      <c r="AG68" s="334">
        <f t="shared" si="56"/>
        <v>0.105967742984163</v>
      </c>
      <c r="AH68" s="334">
        <f t="shared" si="56"/>
        <v>0.08397633743273314</v>
      </c>
      <c r="AI68" s="334">
        <f t="shared" si="56"/>
        <v>0.065330494820249</v>
      </c>
      <c r="AJ68" s="334">
        <f t="shared" si="56"/>
        <v>0.04986652199213515</v>
      </c>
      <c r="AK68" s="334">
        <f t="shared" si="56"/>
        <v>0.0373245245735625</v>
      </c>
      <c r="AL68" s="335">
        <f aca="true" t="shared" si="57" ref="AL68:BA68">IF(AL50&lt;&gt;"",1-AL50,0)</f>
        <v>0.02737933971280071</v>
      </c>
      <c r="AM68" s="336">
        <f t="shared" si="57"/>
        <v>0.01967133710066249</v>
      </c>
      <c r="AN68" s="336">
        <f t="shared" si="57"/>
        <v>0.013833971904748</v>
      </c>
      <c r="AO68" s="336">
        <f t="shared" si="57"/>
        <v>0.009516034691909425</v>
      </c>
      <c r="AP68" s="336">
        <f t="shared" si="57"/>
        <v>0.006397645736411217</v>
      </c>
      <c r="AQ68" s="336">
        <f t="shared" si="57"/>
        <v>0.004199994827101761</v>
      </c>
      <c r="AR68" s="336">
        <f t="shared" si="57"/>
        <v>0.0026895272370757173</v>
      </c>
      <c r="AS68" s="336">
        <f t="shared" si="57"/>
        <v>0.0016776930453419325</v>
      </c>
      <c r="AT68" s="336">
        <f t="shared" si="57"/>
        <v>0.001017536647041073</v>
      </c>
      <c r="AU68" s="336">
        <f t="shared" si="57"/>
        <v>0.000598362688583487</v>
      </c>
      <c r="AV68" s="336">
        <f t="shared" si="57"/>
        <v>0.0003395406741653062</v>
      </c>
      <c r="AW68" s="336">
        <f t="shared" si="57"/>
        <v>0.00018426657641967825</v>
      </c>
      <c r="AX68" s="336">
        <f t="shared" si="57"/>
        <v>9.383843009291848E-05</v>
      </c>
      <c r="AY68" s="336">
        <f t="shared" si="57"/>
        <v>4.2762335197177315E-05</v>
      </c>
      <c r="AZ68" s="336">
        <f t="shared" si="57"/>
        <v>1.480908737550024E-05</v>
      </c>
      <c r="BA68" s="337">
        <f t="shared" si="57"/>
        <v>0</v>
      </c>
    </row>
    <row r="73" spans="3:5" ht="38.25">
      <c r="C73" s="286" t="s">
        <v>300</v>
      </c>
      <c r="E73" s="287">
        <f>Input!E100</f>
        <v>0.05</v>
      </c>
    </row>
    <row r="76" spans="3:5" ht="12.75">
      <c r="C76" s="288" t="s">
        <v>290</v>
      </c>
      <c r="E76" s="289">
        <v>4</v>
      </c>
    </row>
    <row r="77" spans="3:5" ht="12.75">
      <c r="C77" s="288" t="s">
        <v>291</v>
      </c>
      <c r="E77" s="289">
        <v>35</v>
      </c>
    </row>
    <row r="79" spans="2:5" ht="12.75">
      <c r="B79" s="288"/>
      <c r="C79" s="290" t="s">
        <v>292</v>
      </c>
      <c r="D79" s="290" t="s">
        <v>292</v>
      </c>
      <c r="E79" s="290" t="s">
        <v>292</v>
      </c>
    </row>
    <row r="80" spans="2:5" ht="12.75">
      <c r="B80" s="288"/>
      <c r="C80" s="291">
        <f>AVERAGE(C83:C128)</f>
        <v>0.049999999999999996</v>
      </c>
      <c r="D80" s="291">
        <f>AVERAGE(D83:D128)</f>
        <v>0.01974432346977181</v>
      </c>
      <c r="E80" s="291">
        <f>AVERAGE(E83:E128)</f>
        <v>0.049999999999999996</v>
      </c>
    </row>
    <row r="81" spans="2:5" ht="12.75">
      <c r="B81" s="288"/>
      <c r="C81" s="292"/>
      <c r="D81" s="292"/>
      <c r="E81" s="292"/>
    </row>
    <row r="82" spans="2:5" ht="12.75">
      <c r="B82" s="293" t="s">
        <v>90</v>
      </c>
      <c r="C82" s="293" t="s">
        <v>293</v>
      </c>
      <c r="D82" s="293" t="s">
        <v>294</v>
      </c>
      <c r="E82" s="290" t="s">
        <v>295</v>
      </c>
    </row>
    <row r="83" spans="2:5" ht="12.75">
      <c r="B83" s="285">
        <v>20</v>
      </c>
      <c r="C83" s="287">
        <f aca="true" t="shared" si="58" ref="C83:C128">$E$73</f>
        <v>0.05</v>
      </c>
      <c r="D83" s="291">
        <f aca="true" t="shared" si="59" ref="D83:D128">WEIBULL(B83,$E$76,$E$77,FALSE)</f>
        <v>0.01916780357003138</v>
      </c>
      <c r="E83" s="291">
        <f aca="true" t="shared" si="60" ref="E83:E128">D83/$D$80*$C$80</f>
        <v>0.04854003632835769</v>
      </c>
    </row>
    <row r="84" spans="2:5" ht="12.75">
      <c r="B84" s="285">
        <f aca="true" t="shared" si="61" ref="B84:B128">B83+1</f>
        <v>21</v>
      </c>
      <c r="C84" s="287">
        <f t="shared" si="58"/>
        <v>0.05</v>
      </c>
      <c r="D84" s="291">
        <f t="shared" si="59"/>
        <v>0.02168508522280976</v>
      </c>
      <c r="E84" s="291">
        <f t="shared" si="60"/>
        <v>0.05491473348278866</v>
      </c>
    </row>
    <row r="85" spans="2:5" ht="12.75">
      <c r="B85" s="285">
        <f t="shared" si="61"/>
        <v>22</v>
      </c>
      <c r="C85" s="287">
        <f t="shared" si="58"/>
        <v>0.05</v>
      </c>
      <c r="D85" s="291">
        <f t="shared" si="59"/>
        <v>0.024280635303514417</v>
      </c>
      <c r="E85" s="291">
        <f t="shared" si="60"/>
        <v>0.06148763552392062</v>
      </c>
    </row>
    <row r="86" spans="2:5" ht="12.75">
      <c r="B86" s="285">
        <f t="shared" si="61"/>
        <v>23</v>
      </c>
      <c r="C86" s="287">
        <f t="shared" si="58"/>
        <v>0.05</v>
      </c>
      <c r="D86" s="291">
        <f t="shared" si="59"/>
        <v>0.02691428203816603</v>
      </c>
      <c r="E86" s="291">
        <f t="shared" si="60"/>
        <v>0.06815701251899386</v>
      </c>
    </row>
    <row r="87" spans="2:5" ht="12.75">
      <c r="B87" s="285">
        <f t="shared" si="61"/>
        <v>24</v>
      </c>
      <c r="C87" s="287">
        <f t="shared" si="58"/>
        <v>0.05</v>
      </c>
      <c r="D87" s="291">
        <f t="shared" si="59"/>
        <v>0.02953946030029693</v>
      </c>
      <c r="E87" s="291">
        <f t="shared" si="60"/>
        <v>0.0748049441793265</v>
      </c>
    </row>
    <row r="88" spans="2:5" ht="12.75">
      <c r="B88" s="285">
        <f t="shared" si="61"/>
        <v>25</v>
      </c>
      <c r="C88" s="287">
        <f t="shared" si="58"/>
        <v>0.05</v>
      </c>
      <c r="D88" s="291">
        <f t="shared" si="59"/>
        <v>0.032103872575295025</v>
      </c>
      <c r="E88" s="291">
        <f t="shared" si="60"/>
        <v>0.08129899366885235</v>
      </c>
    </row>
    <row r="89" spans="2:5" ht="12.75">
      <c r="B89" s="285">
        <f t="shared" si="61"/>
        <v>26</v>
      </c>
      <c r="C89" s="287">
        <f t="shared" si="58"/>
        <v>0.05</v>
      </c>
      <c r="D89" s="291">
        <f t="shared" si="59"/>
        <v>0.03455054161825228</v>
      </c>
      <c r="E89" s="291">
        <f t="shared" si="60"/>
        <v>0.08749487332687926</v>
      </c>
    </row>
    <row r="90" spans="2:5" ht="12.75">
      <c r="B90" s="285">
        <f t="shared" si="61"/>
        <v>27</v>
      </c>
      <c r="C90" s="287">
        <f t="shared" si="58"/>
        <v>0.05</v>
      </c>
      <c r="D90" s="291">
        <f t="shared" si="59"/>
        <v>0.0368192775018032</v>
      </c>
      <c r="E90" s="291">
        <f t="shared" si="60"/>
        <v>0.09324015978104498</v>
      </c>
    </row>
    <row r="91" spans="2:5" ht="12.75">
      <c r="B91" s="285">
        <f t="shared" si="61"/>
        <v>28</v>
      </c>
      <c r="C91" s="287">
        <f t="shared" si="58"/>
        <v>0.05</v>
      </c>
      <c r="D91" s="291">
        <f t="shared" si="59"/>
        <v>0.03884855666602998</v>
      </c>
      <c r="E91" s="291">
        <f t="shared" si="60"/>
        <v>0.09837905240335632</v>
      </c>
    </row>
    <row r="92" spans="2:5" ht="12.75">
      <c r="B92" s="285">
        <f t="shared" si="61"/>
        <v>29</v>
      </c>
      <c r="C92" s="287">
        <f t="shared" si="58"/>
        <v>0.05</v>
      </c>
      <c r="D92" s="291">
        <f t="shared" si="59"/>
        <v>0.04057777904258092</v>
      </c>
      <c r="E92" s="291">
        <f t="shared" si="60"/>
        <v>0.10275808919131806</v>
      </c>
    </row>
    <row r="93" spans="2:5" ht="12.75">
      <c r="B93" s="285">
        <f t="shared" si="61"/>
        <v>30</v>
      </c>
      <c r="C93" s="287">
        <f t="shared" si="58"/>
        <v>0.05</v>
      </c>
      <c r="D93" s="291">
        <f t="shared" si="59"/>
        <v>0.04194983272498834</v>
      </c>
      <c r="E93" s="291">
        <f t="shared" si="60"/>
        <v>0.10623264147088338</v>
      </c>
    </row>
    <row r="94" spans="2:5" ht="12.75">
      <c r="B94" s="285">
        <f t="shared" si="61"/>
        <v>31</v>
      </c>
      <c r="C94" s="287">
        <f t="shared" si="58"/>
        <v>0.05</v>
      </c>
      <c r="D94" s="291">
        <f t="shared" si="59"/>
        <v>0.04291385643904386</v>
      </c>
      <c r="E94" s="291">
        <f t="shared" si="60"/>
        <v>0.10867390950301276</v>
      </c>
    </row>
    <row r="95" spans="2:5" ht="12.75">
      <c r="B95" s="285">
        <f t="shared" si="61"/>
        <v>32</v>
      </c>
      <c r="C95" s="287">
        <f t="shared" si="58"/>
        <v>0.05</v>
      </c>
      <c r="D95" s="291">
        <f t="shared" si="59"/>
        <v>0.043428051736066724</v>
      </c>
      <c r="E95" s="291">
        <f t="shared" si="60"/>
        <v>0.10997604400716555</v>
      </c>
    </row>
    <row r="96" spans="2:5" ht="12.75">
      <c r="B96" s="285">
        <f t="shared" si="61"/>
        <v>33</v>
      </c>
      <c r="C96" s="287">
        <f t="shared" si="58"/>
        <v>0.05</v>
      </c>
      <c r="D96" s="291">
        <f t="shared" si="59"/>
        <v>0.04346236381080113</v>
      </c>
      <c r="E96" s="291">
        <f t="shared" si="60"/>
        <v>0.11006293499329364</v>
      </c>
    </row>
    <row r="97" spans="2:5" ht="12.75">
      <c r="B97" s="285">
        <f t="shared" si="61"/>
        <v>34</v>
      </c>
      <c r="C97" s="287">
        <f t="shared" si="58"/>
        <v>0.05</v>
      </c>
      <c r="D97" s="291">
        <f t="shared" si="59"/>
        <v>0.04300082713329295</v>
      </c>
      <c r="E97" s="291">
        <f t="shared" si="60"/>
        <v>0.10889415177766514</v>
      </c>
    </row>
    <row r="98" spans="2:5" ht="12.75">
      <c r="B98" s="285">
        <f t="shared" si="61"/>
        <v>35</v>
      </c>
      <c r="C98" s="287">
        <f t="shared" si="58"/>
        <v>0.05</v>
      </c>
      <c r="D98" s="291">
        <f t="shared" si="59"/>
        <v>0.04204336470530772</v>
      </c>
      <c r="E98" s="291">
        <f t="shared" si="60"/>
        <v>0.10646949937199754</v>
      </c>
    </row>
    <row r="99" spans="2:53" ht="12.75">
      <c r="B99" s="285">
        <f t="shared" si="61"/>
        <v>36</v>
      </c>
      <c r="C99" s="287">
        <f t="shared" si="58"/>
        <v>0.05</v>
      </c>
      <c r="D99" s="291">
        <f t="shared" si="59"/>
        <v>0.04060684202504474</v>
      </c>
      <c r="E99" s="291">
        <f t="shared" si="60"/>
        <v>0.10283168751568787</v>
      </c>
      <c r="G99" s="294" t="s">
        <v>301</v>
      </c>
      <c r="H99" s="541"/>
      <c r="I99" s="541"/>
      <c r="J99" s="541"/>
      <c r="K99" s="541"/>
      <c r="L99" s="541"/>
      <c r="M99" s="541"/>
      <c r="N99" s="541"/>
      <c r="O99" s="541"/>
      <c r="P99" s="541"/>
      <c r="Q99" s="541"/>
      <c r="R99" s="541"/>
      <c r="S99" s="541"/>
      <c r="T99" s="541"/>
      <c r="U99" s="541"/>
      <c r="V99" s="541"/>
      <c r="W99" s="541"/>
      <c r="X99" s="541"/>
      <c r="Y99" s="541"/>
      <c r="Z99" s="541"/>
      <c r="AA99" s="541"/>
      <c r="AB99" s="541"/>
      <c r="AC99" s="541"/>
      <c r="AD99" s="541"/>
      <c r="AE99" s="541"/>
      <c r="AF99" s="541"/>
      <c r="AG99" s="541"/>
      <c r="AH99" s="541"/>
      <c r="AI99" s="541"/>
      <c r="AJ99" s="541"/>
      <c r="AK99" s="541"/>
      <c r="AL99" s="541"/>
      <c r="AM99" s="541"/>
      <c r="AN99" s="541"/>
      <c r="AO99" s="541"/>
      <c r="AP99" s="541"/>
      <c r="AQ99" s="541"/>
      <c r="AR99" s="541"/>
      <c r="AS99" s="541"/>
      <c r="AT99" s="541"/>
      <c r="AU99" s="541"/>
      <c r="AV99" s="541"/>
      <c r="AW99" s="541"/>
      <c r="AX99" s="541"/>
      <c r="AY99" s="541"/>
      <c r="AZ99" s="541"/>
      <c r="BA99" s="541"/>
    </row>
    <row r="100" spans="2:53" ht="12.75">
      <c r="B100" s="285">
        <f t="shared" si="61"/>
        <v>37</v>
      </c>
      <c r="C100" s="287">
        <f t="shared" si="58"/>
        <v>0.05</v>
      </c>
      <c r="D100" s="291">
        <f t="shared" si="59"/>
        <v>0.038725211538166826</v>
      </c>
      <c r="E100" s="291">
        <f t="shared" si="60"/>
        <v>0.09806669647976139</v>
      </c>
      <c r="G100" s="301" t="s">
        <v>90</v>
      </c>
      <c r="H100" s="322">
        <v>20</v>
      </c>
      <c r="I100" s="323">
        <f aca="true" t="shared" si="62" ref="I100:BA100">H100+1</f>
        <v>21</v>
      </c>
      <c r="J100" s="323">
        <f t="shared" si="62"/>
        <v>22</v>
      </c>
      <c r="K100" s="323">
        <f t="shared" si="62"/>
        <v>23</v>
      </c>
      <c r="L100" s="323">
        <f t="shared" si="62"/>
        <v>24</v>
      </c>
      <c r="M100" s="323">
        <f t="shared" si="62"/>
        <v>25</v>
      </c>
      <c r="N100" s="323">
        <f t="shared" si="62"/>
        <v>26</v>
      </c>
      <c r="O100" s="323">
        <f t="shared" si="62"/>
        <v>27</v>
      </c>
      <c r="P100" s="323">
        <f t="shared" si="62"/>
        <v>28</v>
      </c>
      <c r="Q100" s="323">
        <f t="shared" si="62"/>
        <v>29</v>
      </c>
      <c r="R100" s="323">
        <f t="shared" si="62"/>
        <v>30</v>
      </c>
      <c r="S100" s="323">
        <f t="shared" si="62"/>
        <v>31</v>
      </c>
      <c r="T100" s="323">
        <f t="shared" si="62"/>
        <v>32</v>
      </c>
      <c r="U100" s="323">
        <f t="shared" si="62"/>
        <v>33</v>
      </c>
      <c r="V100" s="323">
        <f t="shared" si="62"/>
        <v>34</v>
      </c>
      <c r="W100" s="323">
        <f t="shared" si="62"/>
        <v>35</v>
      </c>
      <c r="X100" s="323">
        <f t="shared" si="62"/>
        <v>36</v>
      </c>
      <c r="Y100" s="323">
        <f t="shared" si="62"/>
        <v>37</v>
      </c>
      <c r="Z100" s="323">
        <f t="shared" si="62"/>
        <v>38</v>
      </c>
      <c r="AA100" s="323">
        <f t="shared" si="62"/>
        <v>39</v>
      </c>
      <c r="AB100" s="323">
        <f t="shared" si="62"/>
        <v>40</v>
      </c>
      <c r="AC100" s="323">
        <f t="shared" si="62"/>
        <v>41</v>
      </c>
      <c r="AD100" s="323">
        <f t="shared" si="62"/>
        <v>42</v>
      </c>
      <c r="AE100" s="323">
        <f t="shared" si="62"/>
        <v>43</v>
      </c>
      <c r="AF100" s="323">
        <f t="shared" si="62"/>
        <v>44</v>
      </c>
      <c r="AG100" s="323">
        <f t="shared" si="62"/>
        <v>45</v>
      </c>
      <c r="AH100" s="323">
        <f t="shared" si="62"/>
        <v>46</v>
      </c>
      <c r="AI100" s="323">
        <f t="shared" si="62"/>
        <v>47</v>
      </c>
      <c r="AJ100" s="323">
        <f t="shared" si="62"/>
        <v>48</v>
      </c>
      <c r="AK100" s="323">
        <f t="shared" si="62"/>
        <v>49</v>
      </c>
      <c r="AL100" s="298">
        <f t="shared" si="62"/>
        <v>50</v>
      </c>
      <c r="AM100" s="299">
        <f t="shared" si="62"/>
        <v>51</v>
      </c>
      <c r="AN100" s="299">
        <f t="shared" si="62"/>
        <v>52</v>
      </c>
      <c r="AO100" s="299">
        <f t="shared" si="62"/>
        <v>53</v>
      </c>
      <c r="AP100" s="299">
        <f t="shared" si="62"/>
        <v>54</v>
      </c>
      <c r="AQ100" s="299">
        <f t="shared" si="62"/>
        <v>55</v>
      </c>
      <c r="AR100" s="299">
        <f t="shared" si="62"/>
        <v>56</v>
      </c>
      <c r="AS100" s="299">
        <f t="shared" si="62"/>
        <v>57</v>
      </c>
      <c r="AT100" s="299">
        <f t="shared" si="62"/>
        <v>58</v>
      </c>
      <c r="AU100" s="299">
        <f t="shared" si="62"/>
        <v>59</v>
      </c>
      <c r="AV100" s="299">
        <f t="shared" si="62"/>
        <v>60</v>
      </c>
      <c r="AW100" s="299">
        <f t="shared" si="62"/>
        <v>61</v>
      </c>
      <c r="AX100" s="299">
        <f t="shared" si="62"/>
        <v>62</v>
      </c>
      <c r="AY100" s="299">
        <f t="shared" si="62"/>
        <v>63</v>
      </c>
      <c r="AZ100" s="299">
        <f t="shared" si="62"/>
        <v>64</v>
      </c>
      <c r="BA100" s="300">
        <f t="shared" si="62"/>
        <v>65</v>
      </c>
    </row>
    <row r="101" spans="2:53" ht="12.75">
      <c r="B101" s="285">
        <f t="shared" si="61"/>
        <v>38</v>
      </c>
      <c r="C101" s="287">
        <f t="shared" si="58"/>
        <v>0.05</v>
      </c>
      <c r="D101" s="291">
        <f t="shared" si="59"/>
        <v>0.03644864085630677</v>
      </c>
      <c r="E101" s="291">
        <f t="shared" si="60"/>
        <v>0.09230156939058702</v>
      </c>
      <c r="G101" s="301" t="s">
        <v>296</v>
      </c>
      <c r="H101" s="302">
        <f aca="true" t="shared" si="63" ref="H101:BA101">VLOOKUP(H100,$B$83:$E$128,4,FALSE)</f>
        <v>0.04854003632835769</v>
      </c>
      <c r="I101" s="302">
        <f t="shared" si="63"/>
        <v>0.05491473348278866</v>
      </c>
      <c r="J101" s="302">
        <f t="shared" si="63"/>
        <v>0.06148763552392062</v>
      </c>
      <c r="K101" s="302">
        <f t="shared" si="63"/>
        <v>0.06815701251899386</v>
      </c>
      <c r="L101" s="302">
        <f t="shared" si="63"/>
        <v>0.0748049441793265</v>
      </c>
      <c r="M101" s="302">
        <f t="shared" si="63"/>
        <v>0.08129899366885235</v>
      </c>
      <c r="N101" s="302">
        <f t="shared" si="63"/>
        <v>0.08749487332687926</v>
      </c>
      <c r="O101" s="302">
        <f t="shared" si="63"/>
        <v>0.09324015978104498</v>
      </c>
      <c r="P101" s="302">
        <f t="shared" si="63"/>
        <v>0.09837905240335632</v>
      </c>
      <c r="Q101" s="302">
        <f t="shared" si="63"/>
        <v>0.10275808919131806</v>
      </c>
      <c r="R101" s="302">
        <f t="shared" si="63"/>
        <v>0.10623264147088338</v>
      </c>
      <c r="S101" s="302">
        <f t="shared" si="63"/>
        <v>0.10867390950301276</v>
      </c>
      <c r="T101" s="302">
        <f t="shared" si="63"/>
        <v>0.10997604400716555</v>
      </c>
      <c r="U101" s="302">
        <f t="shared" si="63"/>
        <v>0.11006293499329364</v>
      </c>
      <c r="V101" s="302">
        <f t="shared" si="63"/>
        <v>0.10889415177766514</v>
      </c>
      <c r="W101" s="302">
        <f t="shared" si="63"/>
        <v>0.10646949937199754</v>
      </c>
      <c r="X101" s="302">
        <f t="shared" si="63"/>
        <v>0.10283168751568787</v>
      </c>
      <c r="Y101" s="302">
        <f t="shared" si="63"/>
        <v>0.09806669647976139</v>
      </c>
      <c r="Z101" s="302">
        <f t="shared" si="63"/>
        <v>0.09230156939058702</v>
      </c>
      <c r="AA101" s="302">
        <f t="shared" si="63"/>
        <v>0.08569955748299012</v>
      </c>
      <c r="AB101" s="302">
        <f t="shared" si="63"/>
        <v>0.07845277719677628</v>
      </c>
      <c r="AC101" s="302">
        <f t="shared" si="63"/>
        <v>0.07077278321522917</v>
      </c>
      <c r="AD101" s="302">
        <f t="shared" si="63"/>
        <v>0.0628796903494244</v>
      </c>
      <c r="AE101" s="302">
        <f t="shared" si="63"/>
        <v>0.05499065823969809</v>
      </c>
      <c r="AF101" s="302">
        <f t="shared" si="63"/>
        <v>0.04730865728491423</v>
      </c>
      <c r="AG101" s="302">
        <f t="shared" si="63"/>
        <v>0.040012440817297004</v>
      </c>
      <c r="AH101" s="302">
        <f t="shared" si="63"/>
        <v>0.033248548478281445</v>
      </c>
      <c r="AI101" s="302">
        <f t="shared" si="63"/>
        <v>0.027125965607374413</v>
      </c>
      <c r="AJ101" s="302">
        <f t="shared" si="63"/>
        <v>0.02171378576118275</v>
      </c>
      <c r="AK101" s="302">
        <f t="shared" si="63"/>
        <v>0.017041904185312137</v>
      </c>
      <c r="AL101" s="303">
        <f t="shared" si="63"/>
        <v>0.013104453135376136</v>
      </c>
      <c r="AM101" s="304">
        <f t="shared" si="63"/>
        <v>0.009865419935405666</v>
      </c>
      <c r="AN101" s="304">
        <f t="shared" si="63"/>
        <v>0.0072657027003552544</v>
      </c>
      <c r="AO101" s="304">
        <f t="shared" si="63"/>
        <v>0.005230779600640539</v>
      </c>
      <c r="AP101" s="304">
        <f t="shared" si="63"/>
        <v>0.00367819993622093</v>
      </c>
      <c r="AQ101" s="304">
        <f t="shared" si="63"/>
        <v>0.0025242349821139615</v>
      </c>
      <c r="AR101" s="304">
        <f t="shared" si="63"/>
        <v>0.0016892243194490723</v>
      </c>
      <c r="AS101" s="304">
        <f t="shared" si="63"/>
        <v>0.0011013813597305954</v>
      </c>
      <c r="AT101" s="304">
        <f t="shared" si="63"/>
        <v>0.000699041544473877</v>
      </c>
      <c r="AU101" s="304">
        <f t="shared" si="63"/>
        <v>0.000431516541447679</v>
      </c>
      <c r="AV101" s="304">
        <f t="shared" si="63"/>
        <v>0.00025883785807535035</v>
      </c>
      <c r="AW101" s="304">
        <f t="shared" si="63"/>
        <v>0.00015072772126408838</v>
      </c>
      <c r="AX101" s="304">
        <f t="shared" si="63"/>
        <v>8.513046520361067E-05</v>
      </c>
      <c r="AY101" s="304">
        <f t="shared" si="63"/>
        <v>4.6589436316511794E-05</v>
      </c>
      <c r="AZ101" s="304">
        <f t="shared" si="63"/>
        <v>2.468181229244746E-05</v>
      </c>
      <c r="BA101" s="305">
        <f t="shared" si="63"/>
        <v>1.264511826204435E-05</v>
      </c>
    </row>
    <row r="102" spans="2:53" ht="12.75">
      <c r="B102" s="285">
        <f t="shared" si="61"/>
        <v>39</v>
      </c>
      <c r="C102" s="287">
        <f t="shared" si="58"/>
        <v>0.05</v>
      </c>
      <c r="D102" s="291">
        <f t="shared" si="59"/>
        <v>0.03384159568320921</v>
      </c>
      <c r="E102" s="291">
        <f t="shared" si="60"/>
        <v>0.08569955748299012</v>
      </c>
      <c r="G102" s="301" t="s">
        <v>297</v>
      </c>
      <c r="H102" s="542" t="s">
        <v>298</v>
      </c>
      <c r="I102" s="542"/>
      <c r="J102" s="542"/>
      <c r="K102" s="542"/>
      <c r="L102" s="542"/>
      <c r="M102" s="542"/>
      <c r="N102" s="542"/>
      <c r="O102" s="542"/>
      <c r="P102" s="542"/>
      <c r="Q102" s="542"/>
      <c r="R102" s="542"/>
      <c r="S102" s="542"/>
      <c r="T102" s="542"/>
      <c r="U102" s="542"/>
      <c r="V102" s="542"/>
      <c r="W102" s="542"/>
      <c r="X102" s="542"/>
      <c r="Y102" s="542"/>
      <c r="Z102" s="542"/>
      <c r="AA102" s="542"/>
      <c r="AB102" s="542"/>
      <c r="AC102" s="542"/>
      <c r="AD102" s="542"/>
      <c r="AE102" s="542"/>
      <c r="AF102" s="542"/>
      <c r="AG102" s="542"/>
      <c r="AH102" s="542"/>
      <c r="AI102" s="542"/>
      <c r="AJ102" s="542"/>
      <c r="AK102" s="542"/>
      <c r="AL102" s="542"/>
      <c r="AM102" s="542"/>
      <c r="AN102" s="542"/>
      <c r="AO102" s="542"/>
      <c r="AP102" s="542"/>
      <c r="AQ102" s="542"/>
      <c r="AR102" s="542"/>
      <c r="AS102" s="542"/>
      <c r="AT102" s="542"/>
      <c r="AU102" s="542"/>
      <c r="AV102" s="542"/>
      <c r="AW102" s="542"/>
      <c r="AX102" s="542"/>
      <c r="AY102" s="542"/>
      <c r="AZ102" s="542"/>
      <c r="BA102" s="542"/>
    </row>
    <row r="103" spans="2:53" ht="12.75">
      <c r="B103" s="285">
        <f t="shared" si="61"/>
        <v>40</v>
      </c>
      <c r="C103" s="287">
        <f t="shared" si="58"/>
        <v>0.05</v>
      </c>
      <c r="D103" s="291">
        <f t="shared" si="59"/>
        <v>0.03097994020150177</v>
      </c>
      <c r="E103" s="291">
        <f t="shared" si="60"/>
        <v>0.07845277719677628</v>
      </c>
      <c r="G103" s="309">
        <v>50</v>
      </c>
      <c r="H103" s="310">
        <f aca="true" t="shared" si="64" ref="H103:AL103">IF($G103-H$100&gt;0,(1-H$101)*IF(I103&lt;&gt;"",I103,1),"")</f>
        <v>0.09469208867563163</v>
      </c>
      <c r="I103" s="311">
        <f t="shared" si="64"/>
        <v>0.09952293558440337</v>
      </c>
      <c r="J103" s="311">
        <f t="shared" si="64"/>
        <v>0.10530577410349556</v>
      </c>
      <c r="K103" s="311">
        <f t="shared" si="64"/>
        <v>0.11220499387057312</v>
      </c>
      <c r="L103" s="311">
        <f t="shared" si="64"/>
        <v>0.120411909922604</v>
      </c>
      <c r="M103" s="311">
        <f t="shared" si="64"/>
        <v>0.13014759338050647</v>
      </c>
      <c r="N103" s="311">
        <f t="shared" si="64"/>
        <v>0.1416647989755162</v>
      </c>
      <c r="O103" s="311">
        <f t="shared" si="64"/>
        <v>0.1552482225409607</v>
      </c>
      <c r="P103" s="311">
        <f t="shared" si="64"/>
        <v>0.17121206261568991</v>
      </c>
      <c r="Q103" s="311">
        <f t="shared" si="64"/>
        <v>0.1898936166823452</v>
      </c>
      <c r="R103" s="311">
        <f t="shared" si="64"/>
        <v>0.21164149199316218</v>
      </c>
      <c r="S103" s="311">
        <f t="shared" si="64"/>
        <v>0.23679707025938276</v>
      </c>
      <c r="T103" s="311">
        <f t="shared" si="64"/>
        <v>0.26566828098496365</v>
      </c>
      <c r="U103" s="311">
        <f t="shared" si="64"/>
        <v>0.29849565193849964</v>
      </c>
      <c r="V103" s="311">
        <f t="shared" si="64"/>
        <v>0.3354120911193313</v>
      </c>
      <c r="W103" s="311">
        <f t="shared" si="64"/>
        <v>0.376399831499753</v>
      </c>
      <c r="X103" s="311">
        <f t="shared" si="64"/>
        <v>0.42125012099218423</v>
      </c>
      <c r="Y103" s="311">
        <f t="shared" si="64"/>
        <v>0.46953299077819377</v>
      </c>
      <c r="Z103" s="311">
        <f t="shared" si="64"/>
        <v>0.520585046527953</v>
      </c>
      <c r="AA103" s="311">
        <f t="shared" si="64"/>
        <v>0.5735220299746924</v>
      </c>
      <c r="AB103" s="311">
        <f t="shared" si="64"/>
        <v>0.6272796154356257</v>
      </c>
      <c r="AC103" s="311">
        <f t="shared" si="64"/>
        <v>0.680680924334539</v>
      </c>
      <c r="AD103" s="311">
        <f t="shared" si="64"/>
        <v>0.7325236627159614</v>
      </c>
      <c r="AE103" s="311">
        <f t="shared" si="64"/>
        <v>0.7816751543770274</v>
      </c>
      <c r="AF103" s="311">
        <f t="shared" si="64"/>
        <v>0.8271612986607876</v>
      </c>
      <c r="AG103" s="311">
        <f t="shared" si="64"/>
        <v>0.8682363967992521</v>
      </c>
      <c r="AH103" s="311">
        <f t="shared" si="64"/>
        <v>0.9044246339384187</v>
      </c>
      <c r="AI103" s="311">
        <f t="shared" si="64"/>
        <v>0.9355296364073783</v>
      </c>
      <c r="AJ103" s="311">
        <f t="shared" si="64"/>
        <v>0.9616143543099476</v>
      </c>
      <c r="AK103" s="311">
        <f t="shared" si="64"/>
        <v>0.9829580958146878</v>
      </c>
      <c r="AL103" s="312">
        <f t="shared" si="64"/>
      </c>
      <c r="AM103" s="313">
        <f aca="true" t="shared" si="65" ref="AM103:AZ103">IF($G103-AM$32&gt;0,(1-AM$33)*IF(AN103&lt;&gt;"",AN103,1),"")</f>
      </c>
      <c r="AN103" s="313">
        <f t="shared" si="65"/>
      </c>
      <c r="AO103" s="313">
        <f t="shared" si="65"/>
      </c>
      <c r="AP103" s="313">
        <f t="shared" si="65"/>
      </c>
      <c r="AQ103" s="313">
        <f t="shared" si="65"/>
      </c>
      <c r="AR103" s="313">
        <f t="shared" si="65"/>
      </c>
      <c r="AS103" s="313">
        <f t="shared" si="65"/>
      </c>
      <c r="AT103" s="313">
        <f t="shared" si="65"/>
      </c>
      <c r="AU103" s="313">
        <f t="shared" si="65"/>
      </c>
      <c r="AV103" s="313">
        <f t="shared" si="65"/>
      </c>
      <c r="AW103" s="313">
        <f t="shared" si="65"/>
      </c>
      <c r="AX103" s="313">
        <f t="shared" si="65"/>
      </c>
      <c r="AY103" s="313">
        <f t="shared" si="65"/>
      </c>
      <c r="AZ103" s="313">
        <f t="shared" si="65"/>
      </c>
      <c r="BA103" s="314">
        <f aca="true" t="shared" si="66" ref="BA103:BA117">IF($G103-BA$32&gt;0,(1-BA$33),"")</f>
      </c>
    </row>
    <row r="104" spans="2:53" ht="12.75">
      <c r="B104" s="285">
        <f t="shared" si="61"/>
        <v>41</v>
      </c>
      <c r="C104" s="287">
        <f t="shared" si="58"/>
        <v>0.05</v>
      </c>
      <c r="D104" s="291">
        <f t="shared" si="59"/>
        <v>0.027947214493150435</v>
      </c>
      <c r="E104" s="291">
        <f t="shared" si="60"/>
        <v>0.07077278321522917</v>
      </c>
      <c r="G104" s="315">
        <f aca="true" t="shared" si="67" ref="G104:G118">G103+1</f>
        <v>51</v>
      </c>
      <c r="H104" s="316">
        <f aca="true" t="shared" si="68" ref="H104:AL104">IF($G104-H$100&gt;0,(1-H$101)*IF(I104&lt;&gt;"",I104,1),"")</f>
        <v>0.09345120063729093</v>
      </c>
      <c r="I104" s="317">
        <f t="shared" si="68"/>
        <v>0.09821874193914248</v>
      </c>
      <c r="J104" s="317">
        <f t="shared" si="68"/>
        <v>0.1039257995218718</v>
      </c>
      <c r="K104" s="317">
        <f t="shared" si="68"/>
        <v>0.11073460878684102</v>
      </c>
      <c r="L104" s="317">
        <f t="shared" si="68"/>
        <v>0.1188339776920821</v>
      </c>
      <c r="M104" s="317">
        <f t="shared" si="68"/>
        <v>0.12844208034236962</v>
      </c>
      <c r="N104" s="317">
        <f t="shared" si="68"/>
        <v>0.13980835925640905</v>
      </c>
      <c r="O104" s="317">
        <f t="shared" si="68"/>
        <v>0.15321377948432224</v>
      </c>
      <c r="P104" s="317">
        <f t="shared" si="68"/>
        <v>0.16896842216493152</v>
      </c>
      <c r="Q104" s="317">
        <f t="shared" si="68"/>
        <v>0.18740516468182433</v>
      </c>
      <c r="R104" s="317">
        <f t="shared" si="68"/>
        <v>0.20886804597983671</v>
      </c>
      <c r="S104" s="317">
        <f t="shared" si="68"/>
        <v>0.23369397414957435</v>
      </c>
      <c r="T104" s="317">
        <f t="shared" si="68"/>
        <v>0.2621868434472403</v>
      </c>
      <c r="U104" s="317">
        <f t="shared" si="68"/>
        <v>0.2945840296565581</v>
      </c>
      <c r="V104" s="317">
        <f t="shared" si="68"/>
        <v>0.3310166990902196</v>
      </c>
      <c r="W104" s="317">
        <f t="shared" si="68"/>
        <v>0.37146731754770107</v>
      </c>
      <c r="X104" s="317">
        <f t="shared" si="68"/>
        <v>0.41572986852337074</v>
      </c>
      <c r="Y104" s="317">
        <f t="shared" si="68"/>
        <v>0.46338001770502807</v>
      </c>
      <c r="Z104" s="317">
        <f t="shared" si="68"/>
        <v>0.51376306418275</v>
      </c>
      <c r="AA104" s="317">
        <f t="shared" si="68"/>
        <v>0.5660063374107833</v>
      </c>
      <c r="AB104" s="317">
        <f t="shared" si="68"/>
        <v>0.6190594591123728</v>
      </c>
      <c r="AC104" s="317">
        <f t="shared" si="68"/>
        <v>0.6717609730614525</v>
      </c>
      <c r="AD104" s="317">
        <f t="shared" si="68"/>
        <v>0.722924340707346</v>
      </c>
      <c r="AE104" s="317">
        <f t="shared" si="68"/>
        <v>0.7714317289494057</v>
      </c>
      <c r="AF104" s="317">
        <f t="shared" si="68"/>
        <v>0.8163218021870904</v>
      </c>
      <c r="AG104" s="317">
        <f t="shared" si="68"/>
        <v>0.8568586336269685</v>
      </c>
      <c r="AH104" s="317">
        <f t="shared" si="68"/>
        <v>0.8925726437084929</v>
      </c>
      <c r="AI104" s="317">
        <f t="shared" si="68"/>
        <v>0.9232700321303223</v>
      </c>
      <c r="AJ104" s="317">
        <f t="shared" si="68"/>
        <v>0.9490129240695878</v>
      </c>
      <c r="AK104" s="317">
        <f t="shared" si="68"/>
        <v>0.9700769675140457</v>
      </c>
      <c r="AL104" s="318">
        <f t="shared" si="68"/>
        <v>0.9868955468646239</v>
      </c>
      <c r="AM104" s="319">
        <f aca="true" t="shared" si="69" ref="AM104:AZ104">IF($G104-AM$100&gt;0,(1-AM$101)*IF(AN104&lt;&gt;"",AN104,1),"")</f>
      </c>
      <c r="AN104" s="319">
        <f t="shared" si="69"/>
      </c>
      <c r="AO104" s="319">
        <f t="shared" si="69"/>
      </c>
      <c r="AP104" s="319">
        <f t="shared" si="69"/>
      </c>
      <c r="AQ104" s="319">
        <f t="shared" si="69"/>
      </c>
      <c r="AR104" s="319">
        <f t="shared" si="69"/>
      </c>
      <c r="AS104" s="319">
        <f t="shared" si="69"/>
      </c>
      <c r="AT104" s="319">
        <f t="shared" si="69"/>
      </c>
      <c r="AU104" s="319">
        <f t="shared" si="69"/>
      </c>
      <c r="AV104" s="319">
        <f t="shared" si="69"/>
      </c>
      <c r="AW104" s="319">
        <f t="shared" si="69"/>
      </c>
      <c r="AX104" s="319">
        <f t="shared" si="69"/>
      </c>
      <c r="AY104" s="319">
        <f t="shared" si="69"/>
      </c>
      <c r="AZ104" s="319">
        <f t="shared" si="69"/>
      </c>
      <c r="BA104" s="320">
        <f t="shared" si="66"/>
      </c>
    </row>
    <row r="105" spans="2:53" ht="12.75">
      <c r="B105" s="285">
        <f t="shared" si="61"/>
        <v>42</v>
      </c>
      <c r="C105" s="287">
        <f t="shared" si="58"/>
        <v>0.05</v>
      </c>
      <c r="D105" s="291">
        <f t="shared" si="59"/>
        <v>0.024830338918762483</v>
      </c>
      <c r="E105" s="291">
        <f t="shared" si="60"/>
        <v>0.0628796903494244</v>
      </c>
      <c r="G105" s="315">
        <f t="shared" si="67"/>
        <v>52</v>
      </c>
      <c r="H105" s="316">
        <f aca="true" t="shared" si="70" ref="H105:AL105">IF($G105-H$100&gt;0,(1-H$101)*IF(I105&lt;&gt;"",I105,1),"")</f>
        <v>0.09252926529953619</v>
      </c>
      <c r="I105" s="317">
        <f t="shared" si="70"/>
        <v>0.0972497728043856</v>
      </c>
      <c r="J105" s="317">
        <f t="shared" si="70"/>
        <v>0.10290052786746574</v>
      </c>
      <c r="K105" s="317">
        <f t="shared" si="70"/>
        <v>0.10964216536977596</v>
      </c>
      <c r="L105" s="317">
        <f t="shared" si="70"/>
        <v>0.11766163059955506</v>
      </c>
      <c r="M105" s="317">
        <f t="shared" si="70"/>
        <v>0.12717494528241502</v>
      </c>
      <c r="N105" s="317">
        <f t="shared" si="70"/>
        <v>0.13842909108186452</v>
      </c>
      <c r="O105" s="317">
        <f t="shared" si="70"/>
        <v>0.15170226120981875</v>
      </c>
      <c r="P105" s="317">
        <f t="shared" si="70"/>
        <v>0.16730147772445153</v>
      </c>
      <c r="Q105" s="317">
        <f t="shared" si="70"/>
        <v>0.18555633403417424</v>
      </c>
      <c r="R105" s="317">
        <f t="shared" si="70"/>
        <v>0.20680747499515795</v>
      </c>
      <c r="S105" s="317">
        <f t="shared" si="70"/>
        <v>0.2313884849582149</v>
      </c>
      <c r="T105" s="317">
        <f t="shared" si="70"/>
        <v>0.25960026013509474</v>
      </c>
      <c r="U105" s="317">
        <f t="shared" si="70"/>
        <v>0.29167783449773205</v>
      </c>
      <c r="V105" s="317">
        <f t="shared" si="70"/>
        <v>0.3277510803480626</v>
      </c>
      <c r="W105" s="317">
        <f t="shared" si="70"/>
        <v>0.36780263646781414</v>
      </c>
      <c r="X105" s="317">
        <f t="shared" si="70"/>
        <v>0.4116285187906965</v>
      </c>
      <c r="Y105" s="317">
        <f t="shared" si="70"/>
        <v>0.45880857924069207</v>
      </c>
      <c r="Z105" s="317">
        <f t="shared" si="70"/>
        <v>0.5086945758072862</v>
      </c>
      <c r="AA105" s="317">
        <f t="shared" si="70"/>
        <v>0.5604224472061249</v>
      </c>
      <c r="AB105" s="317">
        <f t="shared" si="70"/>
        <v>0.612952177583244</v>
      </c>
      <c r="AC105" s="317">
        <f t="shared" si="70"/>
        <v>0.6651337689659845</v>
      </c>
      <c r="AD105" s="317">
        <f t="shared" si="70"/>
        <v>0.7157923885047417</v>
      </c>
      <c r="AE105" s="317">
        <f t="shared" si="70"/>
        <v>0.7638212309918238</v>
      </c>
      <c r="AF105" s="317">
        <f t="shared" si="70"/>
        <v>0.8082684448060876</v>
      </c>
      <c r="AG105" s="317">
        <f t="shared" si="70"/>
        <v>0.8484053633809605</v>
      </c>
      <c r="AH105" s="317">
        <f t="shared" si="70"/>
        <v>0.8837670397554533</v>
      </c>
      <c r="AI105" s="317">
        <f t="shared" si="70"/>
        <v>0.9141615855495812</v>
      </c>
      <c r="AJ105" s="317">
        <f t="shared" si="70"/>
        <v>0.9396505130495141</v>
      </c>
      <c r="AK105" s="317">
        <f t="shared" si="70"/>
        <v>0.9605067508598547</v>
      </c>
      <c r="AL105" s="318">
        <f t="shared" si="70"/>
        <v>0.9771594078624225</v>
      </c>
      <c r="AM105" s="319">
        <f aca="true" t="shared" si="71" ref="AM105:AZ105">IF($G105-AM$100&gt;0,(1-AM$101)*IF(AN105&lt;&gt;"",AN105,1),"")</f>
        <v>0.9901345800645943</v>
      </c>
      <c r="AN105" s="319">
        <f t="shared" si="71"/>
      </c>
      <c r="AO105" s="319">
        <f t="shared" si="71"/>
      </c>
      <c r="AP105" s="319">
        <f t="shared" si="71"/>
      </c>
      <c r="AQ105" s="319">
        <f t="shared" si="71"/>
      </c>
      <c r="AR105" s="319">
        <f t="shared" si="71"/>
      </c>
      <c r="AS105" s="319">
        <f t="shared" si="71"/>
      </c>
      <c r="AT105" s="319">
        <f t="shared" si="71"/>
      </c>
      <c r="AU105" s="319">
        <f t="shared" si="71"/>
      </c>
      <c r="AV105" s="319">
        <f t="shared" si="71"/>
      </c>
      <c r="AW105" s="319">
        <f t="shared" si="71"/>
      </c>
      <c r="AX105" s="319">
        <f t="shared" si="71"/>
      </c>
      <c r="AY105" s="319">
        <f t="shared" si="71"/>
      </c>
      <c r="AZ105" s="319">
        <f t="shared" si="71"/>
      </c>
      <c r="BA105" s="320">
        <f t="shared" si="66"/>
      </c>
    </row>
    <row r="106" spans="2:53" ht="12.75">
      <c r="B106" s="285">
        <f t="shared" si="61"/>
        <v>43</v>
      </c>
      <c r="C106" s="287">
        <f t="shared" si="58"/>
        <v>0.05</v>
      </c>
      <c r="D106" s="291">
        <f t="shared" si="59"/>
        <v>0.021715066882005436</v>
      </c>
      <c r="E106" s="291">
        <f t="shared" si="60"/>
        <v>0.05499065823969809</v>
      </c>
      <c r="G106" s="315">
        <f t="shared" si="67"/>
        <v>53</v>
      </c>
      <c r="H106" s="316">
        <f aca="true" t="shared" si="72" ref="H106:AL106">IF($G106-H$100&gt;0,(1-H$101)*IF(I106&lt;&gt;"",I106,1),"")</f>
        <v>0.09185697516678745</v>
      </c>
      <c r="I106" s="317">
        <f t="shared" si="72"/>
        <v>0.09654318486751183</v>
      </c>
      <c r="J106" s="317">
        <f t="shared" si="72"/>
        <v>0.1021528832242711</v>
      </c>
      <c r="K106" s="317">
        <f t="shared" si="72"/>
        <v>0.10884553799277596</v>
      </c>
      <c r="L106" s="317">
        <f t="shared" si="72"/>
        <v>0.11680673617237966</v>
      </c>
      <c r="M106" s="317">
        <f t="shared" si="72"/>
        <v>0.12625092993905904</v>
      </c>
      <c r="N106" s="317">
        <f t="shared" si="72"/>
        <v>0.13742330646098327</v>
      </c>
      <c r="O106" s="317">
        <f t="shared" si="72"/>
        <v>0.15060003768089655</v>
      </c>
      <c r="P106" s="317">
        <f t="shared" si="72"/>
        <v>0.16608591492597555</v>
      </c>
      <c r="Q106" s="317">
        <f t="shared" si="72"/>
        <v>0.18420813687691412</v>
      </c>
      <c r="R106" s="317">
        <f t="shared" si="72"/>
        <v>0.20530487336563197</v>
      </c>
      <c r="S106" s="317">
        <f t="shared" si="72"/>
        <v>0.22970728501822285</v>
      </c>
      <c r="T106" s="317">
        <f t="shared" si="72"/>
        <v>0.2577140818240182</v>
      </c>
      <c r="U106" s="317">
        <f t="shared" si="72"/>
        <v>0.28955859006798806</v>
      </c>
      <c r="V106" s="317">
        <f t="shared" si="72"/>
        <v>0.32536973843853334</v>
      </c>
      <c r="W106" s="317">
        <f t="shared" si="72"/>
        <v>0.36513029185883217</v>
      </c>
      <c r="X106" s="317">
        <f t="shared" si="72"/>
        <v>0.4086377483501757</v>
      </c>
      <c r="Y106" s="317">
        <f t="shared" si="72"/>
        <v>0.4554750125075568</v>
      </c>
      <c r="Z106" s="317">
        <f t="shared" si="72"/>
        <v>0.5049985522541871</v>
      </c>
      <c r="AA106" s="317">
        <f t="shared" si="72"/>
        <v>0.5563505843181197</v>
      </c>
      <c r="AB106" s="317">
        <f t="shared" si="72"/>
        <v>0.6084986492913889</v>
      </c>
      <c r="AC106" s="317">
        <f t="shared" si="72"/>
        <v>0.6603011047447108</v>
      </c>
      <c r="AD106" s="317">
        <f t="shared" si="72"/>
        <v>0.710591653814689</v>
      </c>
      <c r="AE106" s="317">
        <f t="shared" si="72"/>
        <v>0.7582715330112177</v>
      </c>
      <c r="AF106" s="317">
        <f t="shared" si="72"/>
        <v>0.802395806584048</v>
      </c>
      <c r="AG106" s="317">
        <f t="shared" si="72"/>
        <v>0.8422411022412475</v>
      </c>
      <c r="AH106" s="317">
        <f t="shared" si="72"/>
        <v>0.8773458511882172</v>
      </c>
      <c r="AI106" s="317">
        <f t="shared" si="72"/>
        <v>0.9075195592488926</v>
      </c>
      <c r="AJ106" s="317">
        <f t="shared" si="72"/>
        <v>0.9328232917794601</v>
      </c>
      <c r="AK106" s="317">
        <f t="shared" si="72"/>
        <v>0.9535279943664229</v>
      </c>
      <c r="AL106" s="318">
        <f t="shared" si="72"/>
        <v>0.970059658114039</v>
      </c>
      <c r="AM106" s="319">
        <f aca="true" t="shared" si="73" ref="AM106:AZ106">IF($G106-AM$100&gt;0,(1-AM$101)*IF(AN106&lt;&gt;"",AN106,1),"")</f>
        <v>0.9829405565725039</v>
      </c>
      <c r="AN106" s="319">
        <f t="shared" si="73"/>
        <v>0.9927342972996448</v>
      </c>
      <c r="AO106" s="319">
        <f t="shared" si="73"/>
      </c>
      <c r="AP106" s="319">
        <f t="shared" si="73"/>
      </c>
      <c r="AQ106" s="319">
        <f t="shared" si="73"/>
      </c>
      <c r="AR106" s="319">
        <f t="shared" si="73"/>
      </c>
      <c r="AS106" s="319">
        <f t="shared" si="73"/>
      </c>
      <c r="AT106" s="319">
        <f t="shared" si="73"/>
      </c>
      <c r="AU106" s="319">
        <f t="shared" si="73"/>
      </c>
      <c r="AV106" s="319">
        <f t="shared" si="73"/>
      </c>
      <c r="AW106" s="319">
        <f t="shared" si="73"/>
      </c>
      <c r="AX106" s="319">
        <f t="shared" si="73"/>
      </c>
      <c r="AY106" s="319">
        <f t="shared" si="73"/>
      </c>
      <c r="AZ106" s="319">
        <f t="shared" si="73"/>
      </c>
      <c r="BA106" s="320">
        <f t="shared" si="66"/>
      </c>
    </row>
    <row r="107" spans="2:53" ht="12.75">
      <c r="B107" s="285">
        <f t="shared" si="61"/>
        <v>44</v>
      </c>
      <c r="C107" s="287">
        <f t="shared" si="58"/>
        <v>0.05</v>
      </c>
      <c r="D107" s="291">
        <f t="shared" si="59"/>
        <v>0.018681548647078463</v>
      </c>
      <c r="E107" s="291">
        <f t="shared" si="60"/>
        <v>0.04730865728491423</v>
      </c>
      <c r="G107" s="315">
        <f t="shared" si="67"/>
        <v>54</v>
      </c>
      <c r="H107" s="316">
        <f aca="true" t="shared" si="74" ref="H107:AL107">IF($G107-H$100&gt;0,(1-H$101)*IF(I107&lt;&gt;"",I107,1),"")</f>
        <v>0.09137649157490844</v>
      </c>
      <c r="I107" s="317">
        <f t="shared" si="74"/>
        <v>0.09603818874552594</v>
      </c>
      <c r="J107" s="317">
        <f t="shared" si="74"/>
        <v>0.10161854400655494</v>
      </c>
      <c r="K107" s="317">
        <f t="shared" si="74"/>
        <v>0.10827619097302259</v>
      </c>
      <c r="L107" s="317">
        <f t="shared" si="74"/>
        <v>0.11619574587959175</v>
      </c>
      <c r="M107" s="317">
        <f t="shared" si="74"/>
        <v>0.12559053915017188</v>
      </c>
      <c r="N107" s="317">
        <f t="shared" si="74"/>
        <v>0.13670447543289457</v>
      </c>
      <c r="O107" s="317">
        <f t="shared" si="74"/>
        <v>0.1498122820759396</v>
      </c>
      <c r="P107" s="317">
        <f t="shared" si="74"/>
        <v>0.16521715611022703</v>
      </c>
      <c r="Q107" s="317">
        <f t="shared" si="74"/>
        <v>0.18324458471226635</v>
      </c>
      <c r="R107" s="317">
        <f t="shared" si="74"/>
        <v>0.20423096882211894</v>
      </c>
      <c r="S107" s="317">
        <f t="shared" si="74"/>
        <v>0.22850573683763103</v>
      </c>
      <c r="T107" s="317">
        <f t="shared" si="74"/>
        <v>0.2563660362620154</v>
      </c>
      <c r="U107" s="317">
        <f t="shared" si="74"/>
        <v>0.2880439729018702</v>
      </c>
      <c r="V107" s="317">
        <f t="shared" si="74"/>
        <v>0.3236678010480433</v>
      </c>
      <c r="W107" s="317">
        <f t="shared" si="74"/>
        <v>0.3632203757766011</v>
      </c>
      <c r="X107" s="317">
        <f t="shared" si="74"/>
        <v>0.40650025435205395</v>
      </c>
      <c r="Y107" s="317">
        <f t="shared" si="74"/>
        <v>0.45309252310353076</v>
      </c>
      <c r="Z107" s="317">
        <f t="shared" si="74"/>
        <v>0.5023570161287029</v>
      </c>
      <c r="AA107" s="317">
        <f t="shared" si="74"/>
        <v>0.553440437030864</v>
      </c>
      <c r="AB107" s="317">
        <f t="shared" si="74"/>
        <v>0.6053157269696582</v>
      </c>
      <c r="AC107" s="317">
        <f t="shared" si="74"/>
        <v>0.6568472151957319</v>
      </c>
      <c r="AD107" s="317">
        <f t="shared" si="74"/>
        <v>0.7068747054875297</v>
      </c>
      <c r="AE107" s="317">
        <f t="shared" si="74"/>
        <v>0.7543051817445963</v>
      </c>
      <c r="AF107" s="317">
        <f t="shared" si="74"/>
        <v>0.7981986509673287</v>
      </c>
      <c r="AG107" s="317">
        <f t="shared" si="74"/>
        <v>0.837835524664823</v>
      </c>
      <c r="AH107" s="317">
        <f t="shared" si="74"/>
        <v>0.8727566484071153</v>
      </c>
      <c r="AI107" s="317">
        <f t="shared" si="74"/>
        <v>0.9027725244511913</v>
      </c>
      <c r="AJ107" s="317">
        <f t="shared" si="74"/>
        <v>0.9279438987338178</v>
      </c>
      <c r="AK107" s="317">
        <f t="shared" si="74"/>
        <v>0.9485402995848513</v>
      </c>
      <c r="AL107" s="318">
        <f t="shared" si="74"/>
        <v>0.9649854898429717</v>
      </c>
      <c r="AM107" s="319">
        <f aca="true" t="shared" si="75" ref="AM107:AZ107">IF($G107-AM$100&gt;0,(1-AM$101)*IF(AN107&lt;&gt;"",AN107,1),"")</f>
        <v>0.9777990111605421</v>
      </c>
      <c r="AN107" s="319">
        <f t="shared" si="75"/>
        <v>0.9875415229884735</v>
      </c>
      <c r="AO107" s="319">
        <f t="shared" si="75"/>
        <v>0.9947692203993594</v>
      </c>
      <c r="AP107" s="319">
        <f t="shared" si="75"/>
      </c>
      <c r="AQ107" s="319">
        <f t="shared" si="75"/>
      </c>
      <c r="AR107" s="319">
        <f t="shared" si="75"/>
      </c>
      <c r="AS107" s="319">
        <f t="shared" si="75"/>
      </c>
      <c r="AT107" s="319">
        <f t="shared" si="75"/>
      </c>
      <c r="AU107" s="319">
        <f t="shared" si="75"/>
      </c>
      <c r="AV107" s="319">
        <f t="shared" si="75"/>
      </c>
      <c r="AW107" s="319">
        <f t="shared" si="75"/>
      </c>
      <c r="AX107" s="319">
        <f t="shared" si="75"/>
      </c>
      <c r="AY107" s="319">
        <f t="shared" si="75"/>
      </c>
      <c r="AZ107" s="319">
        <f t="shared" si="75"/>
      </c>
      <c r="BA107" s="320">
        <f t="shared" si="66"/>
      </c>
    </row>
    <row r="108" spans="2:53" ht="12.75">
      <c r="B108" s="285">
        <f t="shared" si="61"/>
        <v>45</v>
      </c>
      <c r="C108" s="287">
        <f t="shared" si="58"/>
        <v>0.05</v>
      </c>
      <c r="D108" s="291">
        <f t="shared" si="59"/>
        <v>0.015800371486236257</v>
      </c>
      <c r="E108" s="291">
        <f t="shared" si="60"/>
        <v>0.040012440817297004</v>
      </c>
      <c r="G108" s="315">
        <f t="shared" si="67"/>
        <v>55</v>
      </c>
      <c r="H108" s="316">
        <f aca="true" t="shared" si="76" ref="H108:AL108">IF($G108-H$100&gt;0,(1-H$101)*IF(I108&lt;&gt;"",I108,1),"")</f>
        <v>0.09104039056942555</v>
      </c>
      <c r="I108" s="317">
        <f t="shared" si="76"/>
        <v>0.0956849410858074</v>
      </c>
      <c r="J108" s="317">
        <f t="shared" si="76"/>
        <v>0.10124477068447119</v>
      </c>
      <c r="K108" s="317">
        <f t="shared" si="76"/>
        <v>0.10787792949429138</v>
      </c>
      <c r="L108" s="317">
        <f t="shared" si="76"/>
        <v>0.1157683546945083</v>
      </c>
      <c r="M108" s="317">
        <f t="shared" si="76"/>
        <v>0.12512859203707977</v>
      </c>
      <c r="N108" s="317">
        <f t="shared" si="76"/>
        <v>0.13620164904007617</v>
      </c>
      <c r="O108" s="317">
        <f t="shared" si="76"/>
        <v>0.14926124254956277</v>
      </c>
      <c r="P108" s="317">
        <f t="shared" si="76"/>
        <v>0.16460945437715976</v>
      </c>
      <c r="Q108" s="317">
        <f t="shared" si="76"/>
        <v>0.18257057449246483</v>
      </c>
      <c r="R108" s="317">
        <f t="shared" si="76"/>
        <v>0.20347976648562305</v>
      </c>
      <c r="S108" s="317">
        <f t="shared" si="76"/>
        <v>0.22766524705096872</v>
      </c>
      <c r="T108" s="317">
        <f t="shared" si="76"/>
        <v>0.25542307072378717</v>
      </c>
      <c r="U108" s="317">
        <f t="shared" si="76"/>
        <v>0.2869844895791137</v>
      </c>
      <c r="V108" s="317">
        <f t="shared" si="76"/>
        <v>0.3224772861628716</v>
      </c>
      <c r="W108" s="317">
        <f t="shared" si="76"/>
        <v>0.3618843786135854</v>
      </c>
      <c r="X108" s="317">
        <f t="shared" si="76"/>
        <v>0.4050050651424224</v>
      </c>
      <c r="Y108" s="317">
        <f t="shared" si="76"/>
        <v>0.4514259582139492</v>
      </c>
      <c r="Z108" s="317">
        <f t="shared" si="76"/>
        <v>0.5005092465840182</v>
      </c>
      <c r="AA108" s="317">
        <f t="shared" si="76"/>
        <v>0.551404772450675</v>
      </c>
      <c r="AB108" s="317">
        <f t="shared" si="76"/>
        <v>0.6030892547013248</v>
      </c>
      <c r="AC108" s="317">
        <f t="shared" si="76"/>
        <v>0.654431199810692</v>
      </c>
      <c r="AD108" s="317">
        <f t="shared" si="76"/>
        <v>0.7042746789908892</v>
      </c>
      <c r="AE108" s="317">
        <f t="shared" si="76"/>
        <v>0.7515306964732121</v>
      </c>
      <c r="AF108" s="317">
        <f t="shared" si="76"/>
        <v>0.795262716740249</v>
      </c>
      <c r="AG108" s="317">
        <f t="shared" si="76"/>
        <v>0.8347537980914372</v>
      </c>
      <c r="AH108" s="317">
        <f t="shared" si="76"/>
        <v>0.8695464749586078</v>
      </c>
      <c r="AI108" s="317">
        <f t="shared" si="76"/>
        <v>0.8994519466093328</v>
      </c>
      <c r="AJ108" s="317">
        <f t="shared" si="76"/>
        <v>0.9245307355446784</v>
      </c>
      <c r="AK108" s="317">
        <f t="shared" si="76"/>
        <v>0.9450513787154152</v>
      </c>
      <c r="AL108" s="318">
        <f t="shared" si="76"/>
        <v>0.9614360802757771</v>
      </c>
      <c r="AM108" s="319">
        <f aca="true" t="shared" si="77" ref="AM108:AZ108">IF($G108-AM$100&gt;0,(1-AM$101)*IF(AN108&lt;&gt;"",AN108,1),"")</f>
        <v>0.9742024709000545</v>
      </c>
      <c r="AN108" s="319">
        <f t="shared" si="77"/>
        <v>0.9839091478216018</v>
      </c>
      <c r="AO108" s="319">
        <f t="shared" si="77"/>
        <v>0.9911102603163319</v>
      </c>
      <c r="AP108" s="319">
        <f t="shared" si="77"/>
        <v>0.996321800063779</v>
      </c>
      <c r="AQ108" s="319">
        <f t="shared" si="77"/>
      </c>
      <c r="AR108" s="319">
        <f t="shared" si="77"/>
      </c>
      <c r="AS108" s="319">
        <f t="shared" si="77"/>
      </c>
      <c r="AT108" s="319">
        <f t="shared" si="77"/>
      </c>
      <c r="AU108" s="319">
        <f t="shared" si="77"/>
      </c>
      <c r="AV108" s="319">
        <f t="shared" si="77"/>
      </c>
      <c r="AW108" s="319">
        <f t="shared" si="77"/>
      </c>
      <c r="AX108" s="319">
        <f t="shared" si="77"/>
      </c>
      <c r="AY108" s="319">
        <f t="shared" si="77"/>
      </c>
      <c r="AZ108" s="319">
        <f t="shared" si="77"/>
      </c>
      <c r="BA108" s="320">
        <f t="shared" si="66"/>
      </c>
    </row>
    <row r="109" spans="2:53" ht="12.75">
      <c r="B109" s="285">
        <f t="shared" si="61"/>
        <v>46</v>
      </c>
      <c r="C109" s="287">
        <f t="shared" si="58"/>
        <v>0.05</v>
      </c>
      <c r="D109" s="291">
        <f t="shared" si="59"/>
        <v>0.013129401921111564</v>
      </c>
      <c r="E109" s="291">
        <f t="shared" si="60"/>
        <v>0.033248548478281445</v>
      </c>
      <c r="G109" s="315">
        <f t="shared" si="67"/>
        <v>56</v>
      </c>
      <c r="H109" s="316">
        <f aca="true" t="shared" si="78" ref="H109:AL109">IF($G109-H$100&gt;0,(1-H$101)*IF(I109&lt;&gt;"",I109,1),"")</f>
        <v>0.0908105832307649</v>
      </c>
      <c r="I109" s="317">
        <f t="shared" si="78"/>
        <v>0.0954434098102571</v>
      </c>
      <c r="J109" s="317">
        <f t="shared" si="78"/>
        <v>0.10098920509255335</v>
      </c>
      <c r="K109" s="317">
        <f t="shared" si="78"/>
        <v>0.10760562025086388</v>
      </c>
      <c r="L109" s="317">
        <f t="shared" si="78"/>
        <v>0.11547612816376666</v>
      </c>
      <c r="M109" s="317">
        <f t="shared" si="78"/>
        <v>0.12481273806779712</v>
      </c>
      <c r="N109" s="317">
        <f t="shared" si="78"/>
        <v>0.13585784407294763</v>
      </c>
      <c r="O109" s="317">
        <f t="shared" si="78"/>
        <v>0.1488844720996454</v>
      </c>
      <c r="P109" s="317">
        <f t="shared" si="78"/>
        <v>0.1641939414340343</v>
      </c>
      <c r="Q109" s="317">
        <f t="shared" si="78"/>
        <v>0.18210972346162635</v>
      </c>
      <c r="R109" s="317">
        <f t="shared" si="78"/>
        <v>0.20296613574090772</v>
      </c>
      <c r="S109" s="317">
        <f t="shared" si="78"/>
        <v>0.22709056647015108</v>
      </c>
      <c r="T109" s="317">
        <f t="shared" si="78"/>
        <v>0.2547783228734273</v>
      </c>
      <c r="U109" s="317">
        <f t="shared" si="78"/>
        <v>0.2862600732911941</v>
      </c>
      <c r="V109" s="317">
        <f t="shared" si="78"/>
        <v>0.32166327771620223</v>
      </c>
      <c r="W109" s="317">
        <f t="shared" si="78"/>
        <v>0.36097089740560856</v>
      </c>
      <c r="X109" s="317">
        <f t="shared" si="78"/>
        <v>0.4039827371890567</v>
      </c>
      <c r="Y109" s="317">
        <f t="shared" si="78"/>
        <v>0.4502864530183914</v>
      </c>
      <c r="Z109" s="317">
        <f t="shared" si="78"/>
        <v>0.4992458436349194</v>
      </c>
      <c r="AA109" s="317">
        <f t="shared" si="78"/>
        <v>0.5500128972347506</v>
      </c>
      <c r="AB109" s="317">
        <f t="shared" si="78"/>
        <v>0.6015669157072708</v>
      </c>
      <c r="AC109" s="317">
        <f t="shared" si="78"/>
        <v>0.6527792616827431</v>
      </c>
      <c r="AD109" s="317">
        <f t="shared" si="78"/>
        <v>0.7024969242091635</v>
      </c>
      <c r="AE109" s="317">
        <f t="shared" si="78"/>
        <v>0.7496336563990421</v>
      </c>
      <c r="AF109" s="317">
        <f t="shared" si="78"/>
        <v>0.7932552867706824</v>
      </c>
      <c r="AG109" s="317">
        <f t="shared" si="78"/>
        <v>0.8326466833528424</v>
      </c>
      <c r="AH109" s="317">
        <f t="shared" si="78"/>
        <v>0.8673515353279435</v>
      </c>
      <c r="AI109" s="317">
        <f t="shared" si="78"/>
        <v>0.8971815185409712</v>
      </c>
      <c r="AJ109" s="317">
        <f t="shared" si="78"/>
        <v>0.9221970027199771</v>
      </c>
      <c r="AK109" s="317">
        <f t="shared" si="78"/>
        <v>0.9426658469653669</v>
      </c>
      <c r="AL109" s="318">
        <f t="shared" si="78"/>
        <v>0.9590091896888786</v>
      </c>
      <c r="AM109" s="319">
        <f aca="true" t="shared" si="79" ref="AM109:AZ109">IF($G109-AM$100&gt;0,(1-AM$101)*IF(AN109&lt;&gt;"",AN109,1),"")</f>
        <v>0.9717433549433468</v>
      </c>
      <c r="AN109" s="319">
        <f t="shared" si="79"/>
        <v>0.9814255299314486</v>
      </c>
      <c r="AO109" s="319">
        <f t="shared" si="79"/>
        <v>0.9886084651261093</v>
      </c>
      <c r="AP109" s="319">
        <f t="shared" si="79"/>
        <v>0.9938068497226152</v>
      </c>
      <c r="AQ109" s="319">
        <f t="shared" si="79"/>
        <v>0.997475765017886</v>
      </c>
      <c r="AR109" s="319">
        <f t="shared" si="79"/>
      </c>
      <c r="AS109" s="319">
        <f t="shared" si="79"/>
      </c>
      <c r="AT109" s="319">
        <f t="shared" si="79"/>
      </c>
      <c r="AU109" s="319">
        <f t="shared" si="79"/>
      </c>
      <c r="AV109" s="319">
        <f t="shared" si="79"/>
      </c>
      <c r="AW109" s="319">
        <f t="shared" si="79"/>
      </c>
      <c r="AX109" s="319">
        <f t="shared" si="79"/>
      </c>
      <c r="AY109" s="319">
        <f t="shared" si="79"/>
      </c>
      <c r="AZ109" s="319">
        <f t="shared" si="79"/>
      </c>
      <c r="BA109" s="320">
        <f t="shared" si="66"/>
      </c>
    </row>
    <row r="110" spans="2:53" ht="12.75">
      <c r="B110" s="285">
        <f t="shared" si="61"/>
        <v>47</v>
      </c>
      <c r="C110" s="287">
        <f t="shared" si="58"/>
        <v>0.05</v>
      </c>
      <c r="D110" s="291">
        <f t="shared" si="59"/>
        <v>0.01071167678763811</v>
      </c>
      <c r="E110" s="291">
        <f t="shared" si="60"/>
        <v>0.027125965607374413</v>
      </c>
      <c r="G110" s="315">
        <f t="shared" si="67"/>
        <v>57</v>
      </c>
      <c r="H110" s="316">
        <f aca="true" t="shared" si="80" ref="H110:AL110">IF($G110-H$100&gt;0,(1-H$101)*IF(I110&lt;&gt;"",I110,1),"")</f>
        <v>0.0906571837851081</v>
      </c>
      <c r="I110" s="317">
        <f t="shared" si="80"/>
        <v>0.09528218448127444</v>
      </c>
      <c r="J110" s="317">
        <f t="shared" si="80"/>
        <v>0.10081861167130915</v>
      </c>
      <c r="K110" s="317">
        <f t="shared" si="80"/>
        <v>0.1074238502202267</v>
      </c>
      <c r="L110" s="317">
        <f t="shared" si="80"/>
        <v>0.1152810630797566</v>
      </c>
      <c r="M110" s="317">
        <f t="shared" si="80"/>
        <v>0.12460190135527596</v>
      </c>
      <c r="N110" s="317">
        <f t="shared" si="80"/>
        <v>0.13562834969875168</v>
      </c>
      <c r="O110" s="317">
        <f t="shared" si="80"/>
        <v>0.1486329728285863</v>
      </c>
      <c r="P110" s="317">
        <f t="shared" si="80"/>
        <v>0.16391658103505768</v>
      </c>
      <c r="Q110" s="317">
        <f t="shared" si="80"/>
        <v>0.1818020992879468</v>
      </c>
      <c r="R110" s="317">
        <f t="shared" si="80"/>
        <v>0.20262328040838953</v>
      </c>
      <c r="S110" s="317">
        <f t="shared" si="80"/>
        <v>0.2267069595625522</v>
      </c>
      <c r="T110" s="317">
        <f t="shared" si="80"/>
        <v>0.254347945134361</v>
      </c>
      <c r="U110" s="317">
        <f t="shared" si="80"/>
        <v>0.2857765158137033</v>
      </c>
      <c r="V110" s="317">
        <f t="shared" si="80"/>
        <v>0.32111991628481024</v>
      </c>
      <c r="W110" s="317">
        <f t="shared" si="80"/>
        <v>0.36036113658709756</v>
      </c>
      <c r="X110" s="317">
        <f t="shared" si="80"/>
        <v>0.4033003197247592</v>
      </c>
      <c r="Y110" s="317">
        <f t="shared" si="80"/>
        <v>0.4495258181912341</v>
      </c>
      <c r="Z110" s="317">
        <f t="shared" si="80"/>
        <v>0.4984025054144673</v>
      </c>
      <c r="AA110" s="317">
        <f t="shared" si="80"/>
        <v>0.5490838020727308</v>
      </c>
      <c r="AB110" s="317">
        <f t="shared" si="80"/>
        <v>0.6005507342434819</v>
      </c>
      <c r="AC110" s="317">
        <f t="shared" si="80"/>
        <v>0.6516765710786765</v>
      </c>
      <c r="AD110" s="317">
        <f t="shared" si="80"/>
        <v>0.701310249320451</v>
      </c>
      <c r="AE110" s="317">
        <f t="shared" si="80"/>
        <v>0.7483673569959751</v>
      </c>
      <c r="AF110" s="317">
        <f t="shared" si="80"/>
        <v>0.7919153006487376</v>
      </c>
      <c r="AG110" s="317">
        <f t="shared" si="80"/>
        <v>0.831240156325814</v>
      </c>
      <c r="AH110" s="317">
        <f t="shared" si="80"/>
        <v>0.8658863840209559</v>
      </c>
      <c r="AI110" s="317">
        <f t="shared" si="80"/>
        <v>0.8956659777008913</v>
      </c>
      <c r="AJ110" s="317">
        <f t="shared" si="80"/>
        <v>0.9206392051156592</v>
      </c>
      <c r="AK110" s="317">
        <f t="shared" si="80"/>
        <v>0.9410734728915587</v>
      </c>
      <c r="AL110" s="318">
        <f t="shared" si="80"/>
        <v>0.9573892080430808</v>
      </c>
      <c r="AM110" s="319">
        <f aca="true" t="shared" si="81" ref="AM110:AZ110">IF($G110-AM$100&gt;0,(1-AM$101)*IF(AN110&lt;&gt;"",AN110,1),"")</f>
        <v>0.9701018624359133</v>
      </c>
      <c r="AN110" s="319">
        <f t="shared" si="81"/>
        <v>0.9797676820585601</v>
      </c>
      <c r="AO110" s="319">
        <f t="shared" si="81"/>
        <v>0.9869384836644051</v>
      </c>
      <c r="AP110" s="319">
        <f t="shared" si="81"/>
        <v>0.9921280870232287</v>
      </c>
      <c r="AQ110" s="319">
        <f t="shared" si="81"/>
        <v>0.9957908046975568</v>
      </c>
      <c r="AR110" s="319">
        <f t="shared" si="81"/>
        <v>0.9983107756805509</v>
      </c>
      <c r="AS110" s="319">
        <f t="shared" si="81"/>
      </c>
      <c r="AT110" s="319">
        <f t="shared" si="81"/>
      </c>
      <c r="AU110" s="319">
        <f t="shared" si="81"/>
      </c>
      <c r="AV110" s="319">
        <f t="shared" si="81"/>
      </c>
      <c r="AW110" s="319">
        <f t="shared" si="81"/>
      </c>
      <c r="AX110" s="319">
        <f t="shared" si="81"/>
      </c>
      <c r="AY110" s="319">
        <f t="shared" si="81"/>
      </c>
      <c r="AZ110" s="319">
        <f t="shared" si="81"/>
      </c>
      <c r="BA110" s="320">
        <f t="shared" si="66"/>
      </c>
    </row>
    <row r="111" spans="2:53" ht="12.75">
      <c r="B111" s="285">
        <f t="shared" si="61"/>
        <v>48</v>
      </c>
      <c r="C111" s="287">
        <f t="shared" si="58"/>
        <v>0.05</v>
      </c>
      <c r="D111" s="291">
        <f t="shared" si="59"/>
        <v>0.008574480196442353</v>
      </c>
      <c r="E111" s="291">
        <f t="shared" si="60"/>
        <v>0.02171378576118275</v>
      </c>
      <c r="G111" s="315">
        <f t="shared" si="67"/>
        <v>58</v>
      </c>
      <c r="H111" s="316">
        <f aca="true" t="shared" si="82" ref="H111:AL111">IF($G111-H$100&gt;0,(1-H$101)*IF(I111&lt;&gt;"",I111,1),"")</f>
        <v>0.09055733565276153</v>
      </c>
      <c r="I111" s="317">
        <f t="shared" si="82"/>
        <v>0.09517724245937237</v>
      </c>
      <c r="J111" s="317">
        <f t="shared" si="82"/>
        <v>0.10070757193170046</v>
      </c>
      <c r="K111" s="317">
        <f t="shared" si="82"/>
        <v>0.10730553559400366</v>
      </c>
      <c r="L111" s="317">
        <f t="shared" si="82"/>
        <v>0.11515409466575063</v>
      </c>
      <c r="M111" s="317">
        <f t="shared" si="82"/>
        <v>0.12446466714373627</v>
      </c>
      <c r="N111" s="317">
        <f t="shared" si="82"/>
        <v>0.13547897116254246</v>
      </c>
      <c r="O111" s="317">
        <f t="shared" si="82"/>
        <v>0.14846927124287157</v>
      </c>
      <c r="P111" s="317">
        <f t="shared" si="82"/>
        <v>0.16373604636815492</v>
      </c>
      <c r="Q111" s="317">
        <f t="shared" si="82"/>
        <v>0.18160186584463117</v>
      </c>
      <c r="R111" s="317">
        <f t="shared" si="82"/>
        <v>0.20240011490430027</v>
      </c>
      <c r="S111" s="317">
        <f t="shared" si="82"/>
        <v>0.22645726874316882</v>
      </c>
      <c r="T111" s="317">
        <f t="shared" si="82"/>
        <v>0.25406781104870424</v>
      </c>
      <c r="U111" s="317">
        <f t="shared" si="82"/>
        <v>0.2854617668861373</v>
      </c>
      <c r="V111" s="317">
        <f t="shared" si="82"/>
        <v>0.3207662407947759</v>
      </c>
      <c r="W111" s="317">
        <f t="shared" si="82"/>
        <v>0.3599642415484892</v>
      </c>
      <c r="X111" s="317">
        <f t="shared" si="82"/>
        <v>0.40285613227024103</v>
      </c>
      <c r="Y111" s="317">
        <f t="shared" si="82"/>
        <v>0.4490307188343607</v>
      </c>
      <c r="Z111" s="317">
        <f t="shared" si="82"/>
        <v>0.49785357418536086</v>
      </c>
      <c r="AA111" s="317">
        <f t="shared" si="82"/>
        <v>0.548479051408198</v>
      </c>
      <c r="AB111" s="317">
        <f t="shared" si="82"/>
        <v>0.5998892988592137</v>
      </c>
      <c r="AC111" s="317">
        <f t="shared" si="82"/>
        <v>0.6509588266507174</v>
      </c>
      <c r="AD111" s="317">
        <f t="shared" si="82"/>
        <v>0.7005378392844617</v>
      </c>
      <c r="AE111" s="317">
        <f t="shared" si="82"/>
        <v>0.747543119138749</v>
      </c>
      <c r="AF111" s="317">
        <f t="shared" si="82"/>
        <v>0.7910430998981177</v>
      </c>
      <c r="AG111" s="317">
        <f t="shared" si="82"/>
        <v>0.8303246439121773</v>
      </c>
      <c r="AH111" s="317">
        <f t="shared" si="82"/>
        <v>0.8649327128979507</v>
      </c>
      <c r="AI111" s="317">
        <f t="shared" si="82"/>
        <v>0.8946795078885067</v>
      </c>
      <c r="AJ111" s="317">
        <f t="shared" si="82"/>
        <v>0.9196252302561077</v>
      </c>
      <c r="AK111" s="317">
        <f t="shared" si="82"/>
        <v>0.940036992110379</v>
      </c>
      <c r="AL111" s="318">
        <f t="shared" si="82"/>
        <v>0.9563347574153349</v>
      </c>
      <c r="AM111" s="319">
        <f aca="true" t="shared" si="83" ref="AM111:AZ111">IF($G111-AM$100&gt;0,(1-AM$101)*IF(AN111&lt;&gt;"",AN111,1),"")</f>
        <v>0.9690334103275865</v>
      </c>
      <c r="AN111" s="319">
        <f t="shared" si="83"/>
        <v>0.9786885841966744</v>
      </c>
      <c r="AO111" s="319">
        <f t="shared" si="83"/>
        <v>0.9858514880152963</v>
      </c>
      <c r="AP111" s="319">
        <f t="shared" si="83"/>
        <v>0.9910353756417162</v>
      </c>
      <c r="AQ111" s="319">
        <f t="shared" si="83"/>
        <v>0.9946940592670717</v>
      </c>
      <c r="AR111" s="319">
        <f t="shared" si="83"/>
        <v>0.9972112548009981</v>
      </c>
      <c r="AS111" s="319">
        <f t="shared" si="83"/>
        <v>0.9988986186402694</v>
      </c>
      <c r="AT111" s="319">
        <f t="shared" si="83"/>
      </c>
      <c r="AU111" s="319">
        <f t="shared" si="83"/>
      </c>
      <c r="AV111" s="319">
        <f t="shared" si="83"/>
      </c>
      <c r="AW111" s="319">
        <f t="shared" si="83"/>
      </c>
      <c r="AX111" s="319">
        <f t="shared" si="83"/>
      </c>
      <c r="AY111" s="319">
        <f t="shared" si="83"/>
      </c>
      <c r="AZ111" s="319">
        <f t="shared" si="83"/>
      </c>
      <c r="BA111" s="320">
        <f t="shared" si="66"/>
      </c>
    </row>
    <row r="112" spans="2:53" ht="12.75">
      <c r="B112" s="285">
        <f t="shared" si="61"/>
        <v>49</v>
      </c>
      <c r="C112" s="287">
        <f t="shared" si="58"/>
        <v>0.05</v>
      </c>
      <c r="D112" s="291">
        <f t="shared" si="59"/>
        <v>0.006729617375513217</v>
      </c>
      <c r="E112" s="291">
        <f t="shared" si="60"/>
        <v>0.017041904185312137</v>
      </c>
      <c r="G112" s="315">
        <f t="shared" si="67"/>
        <v>59</v>
      </c>
      <c r="H112" s="316">
        <f aca="true" t="shared" si="84" ref="H112:AL112">IF($G112-H$100&gt;0,(1-H$101)*IF(I112&lt;&gt;"",I112,1),"")</f>
        <v>0.0904940323129834</v>
      </c>
      <c r="I112" s="317">
        <f t="shared" si="84"/>
        <v>0.09511070961280484</v>
      </c>
      <c r="J112" s="317">
        <f t="shared" si="84"/>
        <v>0.10063717315507714</v>
      </c>
      <c r="K112" s="317">
        <f t="shared" si="84"/>
        <v>0.10723052456667145</v>
      </c>
      <c r="L112" s="317">
        <f t="shared" si="84"/>
        <v>0.11507359716956302</v>
      </c>
      <c r="M112" s="317">
        <f t="shared" si="84"/>
        <v>0.12437766117058371</v>
      </c>
      <c r="N112" s="317">
        <f t="shared" si="84"/>
        <v>0.1353842657332973</v>
      </c>
      <c r="O112" s="317">
        <f t="shared" si="84"/>
        <v>0.14836548505419508</v>
      </c>
      <c r="P112" s="317">
        <f t="shared" si="84"/>
        <v>0.1636215880694157</v>
      </c>
      <c r="Q112" s="317">
        <f t="shared" si="84"/>
        <v>0.18147491859585183</v>
      </c>
      <c r="R112" s="317">
        <f t="shared" si="84"/>
        <v>0.2022586288153759</v>
      </c>
      <c r="S112" s="317">
        <f t="shared" si="84"/>
        <v>0.22629896570426927</v>
      </c>
      <c r="T112" s="317">
        <f t="shared" si="84"/>
        <v>0.25389020709366766</v>
      </c>
      <c r="U112" s="317">
        <f t="shared" si="84"/>
        <v>0.285262217251725</v>
      </c>
      <c r="V112" s="317">
        <f t="shared" si="84"/>
        <v>0.3205420118663957</v>
      </c>
      <c r="W112" s="317">
        <f t="shared" si="84"/>
        <v>0.3597126115891218</v>
      </c>
      <c r="X112" s="317">
        <f t="shared" si="84"/>
        <v>0.4025745190973381</v>
      </c>
      <c r="Y112" s="317">
        <f t="shared" si="84"/>
        <v>0.44871682770715055</v>
      </c>
      <c r="Z112" s="317">
        <f t="shared" si="84"/>
        <v>0.4975055538539405</v>
      </c>
      <c r="AA112" s="317">
        <f t="shared" si="84"/>
        <v>0.54809564176499</v>
      </c>
      <c r="AB112" s="317">
        <f t="shared" si="84"/>
        <v>0.5994699513172259</v>
      </c>
      <c r="AC112" s="317">
        <f t="shared" si="84"/>
        <v>0.6505037793871467</v>
      </c>
      <c r="AD112" s="317">
        <f t="shared" si="84"/>
        <v>0.700048134231326</v>
      </c>
      <c r="AE112" s="317">
        <f t="shared" si="84"/>
        <v>0.7470205554421856</v>
      </c>
      <c r="AF112" s="317">
        <f t="shared" si="84"/>
        <v>0.7904901279078197</v>
      </c>
      <c r="AG112" s="317">
        <f t="shared" si="84"/>
        <v>0.8297442124906824</v>
      </c>
      <c r="AH112" s="317">
        <f t="shared" si="84"/>
        <v>0.8643280889984608</v>
      </c>
      <c r="AI112" s="317">
        <f t="shared" si="84"/>
        <v>0.8940540897435034</v>
      </c>
      <c r="AJ112" s="317">
        <f t="shared" si="84"/>
        <v>0.9189823740148125</v>
      </c>
      <c r="AK112" s="317">
        <f t="shared" si="84"/>
        <v>0.9393798671995519</v>
      </c>
      <c r="AL112" s="318">
        <f t="shared" si="84"/>
        <v>0.9556662396894775</v>
      </c>
      <c r="AM112" s="319">
        <f aca="true" t="shared" si="85" ref="AM112:AZ112">IF($G112-AM$100&gt;0,(1-AM$101)*IF(AN112&lt;&gt;"",AN112,1),"")</f>
        <v>0.9683560157157846</v>
      </c>
      <c r="AN112" s="319">
        <f t="shared" si="85"/>
        <v>0.9780044402172188</v>
      </c>
      <c r="AO112" s="319">
        <f t="shared" si="85"/>
        <v>0.9851623368684924</v>
      </c>
      <c r="AP112" s="319">
        <f t="shared" si="85"/>
        <v>0.9903426007420995</v>
      </c>
      <c r="AQ112" s="319">
        <f t="shared" si="85"/>
        <v>0.9939987267956027</v>
      </c>
      <c r="AR112" s="319">
        <f t="shared" si="85"/>
        <v>0.9965141627052754</v>
      </c>
      <c r="AS112" s="319">
        <f t="shared" si="85"/>
        <v>0.9982003470071223</v>
      </c>
      <c r="AT112" s="319">
        <f t="shared" si="85"/>
        <v>0.9993009584555261</v>
      </c>
      <c r="AU112" s="319">
        <f t="shared" si="85"/>
      </c>
      <c r="AV112" s="319">
        <f t="shared" si="85"/>
      </c>
      <c r="AW112" s="319">
        <f t="shared" si="85"/>
      </c>
      <c r="AX112" s="319">
        <f t="shared" si="85"/>
      </c>
      <c r="AY112" s="319">
        <f t="shared" si="85"/>
      </c>
      <c r="AZ112" s="319">
        <f t="shared" si="85"/>
      </c>
      <c r="BA112" s="320">
        <f t="shared" si="66"/>
      </c>
    </row>
    <row r="113" spans="2:53" ht="12.75">
      <c r="B113" s="285">
        <f t="shared" si="61"/>
        <v>50</v>
      </c>
      <c r="C113" s="287">
        <f t="shared" si="58"/>
        <v>0.05</v>
      </c>
      <c r="D113" s="291">
        <f t="shared" si="59"/>
        <v>0.005174771231986637</v>
      </c>
      <c r="E113" s="291">
        <f t="shared" si="60"/>
        <v>0.013104453135376136</v>
      </c>
      <c r="G113" s="315">
        <f t="shared" si="67"/>
        <v>60</v>
      </c>
      <c r="H113" s="316">
        <f aca="true" t="shared" si="86" ref="H113:AL113">IF($G113-H$100&gt;0,(1-H$101)*IF(I113&lt;&gt;"",I113,1),"")</f>
        <v>0.09045498264113803</v>
      </c>
      <c r="I113" s="317">
        <f t="shared" si="86"/>
        <v>0.09506966776833806</v>
      </c>
      <c r="J113" s="317">
        <f t="shared" si="86"/>
        <v>0.10059374655017617</v>
      </c>
      <c r="K113" s="317">
        <f t="shared" si="86"/>
        <v>0.1071842528215728</v>
      </c>
      <c r="L113" s="317">
        <f t="shared" si="86"/>
        <v>0.11502394100890044</v>
      </c>
      <c r="M113" s="317">
        <f t="shared" si="86"/>
        <v>0.124323990152402</v>
      </c>
      <c r="N113" s="317">
        <f t="shared" si="86"/>
        <v>0.13532584518318158</v>
      </c>
      <c r="O113" s="317">
        <f t="shared" si="86"/>
        <v>0.14830146289321425</v>
      </c>
      <c r="P113" s="317">
        <f t="shared" si="86"/>
        <v>0.1635509826476258</v>
      </c>
      <c r="Q113" s="317">
        <f t="shared" si="86"/>
        <v>0.18139660916661984</v>
      </c>
      <c r="R113" s="317">
        <f t="shared" si="86"/>
        <v>0.20217135087139154</v>
      </c>
      <c r="S113" s="317">
        <f t="shared" si="86"/>
        <v>0.2262013139572554</v>
      </c>
      <c r="T113" s="317">
        <f t="shared" si="86"/>
        <v>0.2537806492695952</v>
      </c>
      <c r="U113" s="317">
        <f t="shared" si="86"/>
        <v>0.2851391218863309</v>
      </c>
      <c r="V113" s="317">
        <f t="shared" si="86"/>
        <v>0.32040369268604646</v>
      </c>
      <c r="W113" s="317">
        <f t="shared" si="86"/>
        <v>0.3595573896470538</v>
      </c>
      <c r="X113" s="317">
        <f t="shared" si="86"/>
        <v>0.40240080153318225</v>
      </c>
      <c r="Y113" s="317">
        <f t="shared" si="86"/>
        <v>0.44852319897356896</v>
      </c>
      <c r="Z113" s="317">
        <f t="shared" si="86"/>
        <v>0.49729087197799043</v>
      </c>
      <c r="AA113" s="317">
        <f t="shared" si="86"/>
        <v>0.5478591294292731</v>
      </c>
      <c r="AB113" s="317">
        <f t="shared" si="86"/>
        <v>0.5992112701171317</v>
      </c>
      <c r="AC113" s="317">
        <f t="shared" si="86"/>
        <v>0.6502230762460668</v>
      </c>
      <c r="AD113" s="317">
        <f t="shared" si="86"/>
        <v>0.6997460518815954</v>
      </c>
      <c r="AE113" s="317">
        <f t="shared" si="86"/>
        <v>0.7466982037157107</v>
      </c>
      <c r="AF113" s="317">
        <f t="shared" si="86"/>
        <v>0.7901490183417762</v>
      </c>
      <c r="AG113" s="317">
        <f t="shared" si="86"/>
        <v>0.829386164137822</v>
      </c>
      <c r="AH113" s="317">
        <f t="shared" si="86"/>
        <v>0.8639551171308198</v>
      </c>
      <c r="AI113" s="317">
        <f t="shared" si="86"/>
        <v>0.8936682906148299</v>
      </c>
      <c r="AJ113" s="317">
        <f t="shared" si="86"/>
        <v>0.9185858179191261</v>
      </c>
      <c r="AK113" s="317">
        <f t="shared" si="86"/>
        <v>0.9389745092481522</v>
      </c>
      <c r="AL113" s="318">
        <f t="shared" si="86"/>
        <v>0.9552538538989482</v>
      </c>
      <c r="AM113" s="319">
        <f aca="true" t="shared" si="87" ref="AM113:AZ113">IF($G113-AM$100&gt;0,(1-AM$101)*IF(AN113&lt;&gt;"",AN113,1),"")</f>
        <v>0.9679381540769927</v>
      </c>
      <c r="AN113" s="319">
        <f t="shared" si="87"/>
        <v>0.9775824151236556</v>
      </c>
      <c r="AO113" s="319">
        <f t="shared" si="87"/>
        <v>0.9847372230241223</v>
      </c>
      <c r="AP113" s="319">
        <f t="shared" si="87"/>
        <v>0.9899152515281788</v>
      </c>
      <c r="AQ113" s="319">
        <f t="shared" si="87"/>
        <v>0.9935697999028125</v>
      </c>
      <c r="AR113" s="319">
        <f t="shared" si="87"/>
        <v>0.9960841503602812</v>
      </c>
      <c r="AS113" s="319">
        <f t="shared" si="87"/>
        <v>0.9977696070457099</v>
      </c>
      <c r="AT113" s="319">
        <f t="shared" si="87"/>
        <v>0.998869743562068</v>
      </c>
      <c r="AU113" s="319">
        <f t="shared" si="87"/>
        <v>0.9995684834585523</v>
      </c>
      <c r="AV113" s="319">
        <f t="shared" si="87"/>
      </c>
      <c r="AW113" s="319">
        <f t="shared" si="87"/>
      </c>
      <c r="AX113" s="319">
        <f t="shared" si="87"/>
      </c>
      <c r="AY113" s="319">
        <f t="shared" si="87"/>
      </c>
      <c r="AZ113" s="319">
        <f t="shared" si="87"/>
      </c>
      <c r="BA113" s="320">
        <f t="shared" si="66"/>
      </c>
    </row>
    <row r="114" spans="2:53" ht="12.75">
      <c r="B114" s="285">
        <f t="shared" si="61"/>
        <v>51</v>
      </c>
      <c r="C114" s="287">
        <f t="shared" si="58"/>
        <v>0.05</v>
      </c>
      <c r="D114" s="291">
        <f t="shared" si="59"/>
        <v>0.003895720847395696</v>
      </c>
      <c r="E114" s="291">
        <f t="shared" si="60"/>
        <v>0.009865419935405666</v>
      </c>
      <c r="G114" s="315">
        <f t="shared" si="67"/>
        <v>61</v>
      </c>
      <c r="H114" s="316">
        <f aca="true" t="shared" si="88" ref="H114:AL114">IF($G114-H$100&gt;0,(1-H$101)*IF(I114&lt;&gt;"",I114,1),"")</f>
        <v>0.09043156946717894</v>
      </c>
      <c r="I114" s="317">
        <f t="shared" si="88"/>
        <v>0.09504506013916494</v>
      </c>
      <c r="J114" s="317">
        <f t="shared" si="88"/>
        <v>0.10056770908028333</v>
      </c>
      <c r="K114" s="317">
        <f t="shared" si="88"/>
        <v>0.10715650947915303</v>
      </c>
      <c r="L114" s="317">
        <f t="shared" si="88"/>
        <v>0.11499416845838228</v>
      </c>
      <c r="M114" s="317">
        <f t="shared" si="88"/>
        <v>0.12429181039708355</v>
      </c>
      <c r="N114" s="317">
        <f t="shared" si="88"/>
        <v>0.1352908177312721</v>
      </c>
      <c r="O114" s="317">
        <f t="shared" si="88"/>
        <v>0.1482630768602095</v>
      </c>
      <c r="P114" s="317">
        <f t="shared" si="88"/>
        <v>0.16350864946159113</v>
      </c>
      <c r="Q114" s="317">
        <f t="shared" si="88"/>
        <v>0.18134965685684099</v>
      </c>
      <c r="R114" s="317">
        <f t="shared" si="88"/>
        <v>0.20211902127196774</v>
      </c>
      <c r="S114" s="317">
        <f t="shared" si="88"/>
        <v>0.2261427644936568</v>
      </c>
      <c r="T114" s="317">
        <f t="shared" si="88"/>
        <v>0.2537149612299172</v>
      </c>
      <c r="U114" s="317">
        <f t="shared" si="88"/>
        <v>0.28506531708676824</v>
      </c>
      <c r="V114" s="317">
        <f t="shared" si="88"/>
        <v>0.3203207600805121</v>
      </c>
      <c r="W114" s="317">
        <f t="shared" si="88"/>
        <v>0.3594643225824623</v>
      </c>
      <c r="X114" s="317">
        <f t="shared" si="88"/>
        <v>0.4022966449716255</v>
      </c>
      <c r="Y114" s="317">
        <f t="shared" si="88"/>
        <v>0.4484071041894494</v>
      </c>
      <c r="Z114" s="317">
        <f t="shared" si="88"/>
        <v>0.4971621542738471</v>
      </c>
      <c r="AA114" s="317">
        <f t="shared" si="88"/>
        <v>0.5477173227456844</v>
      </c>
      <c r="AB114" s="317">
        <f t="shared" si="88"/>
        <v>0.5990561715554398</v>
      </c>
      <c r="AC114" s="317">
        <f t="shared" si="88"/>
        <v>0.6500547738977399</v>
      </c>
      <c r="AD114" s="317">
        <f t="shared" si="88"/>
        <v>0.6995649311123295</v>
      </c>
      <c r="AE114" s="317">
        <f t="shared" si="88"/>
        <v>0.7465049299520321</v>
      </c>
      <c r="AF114" s="317">
        <f t="shared" si="88"/>
        <v>0.7899444978623081</v>
      </c>
      <c r="AG114" s="317">
        <f t="shared" si="88"/>
        <v>0.8291714875995791</v>
      </c>
      <c r="AH114" s="317">
        <f t="shared" si="88"/>
        <v>0.8637314928388284</v>
      </c>
      <c r="AI114" s="317">
        <f t="shared" si="88"/>
        <v>0.8934369754286573</v>
      </c>
      <c r="AJ114" s="317">
        <f t="shared" si="88"/>
        <v>0.9183480531335575</v>
      </c>
      <c r="AK114" s="317">
        <f t="shared" si="88"/>
        <v>0.9387314670973911</v>
      </c>
      <c r="AL114" s="318">
        <f t="shared" si="88"/>
        <v>0.9550065980374869</v>
      </c>
      <c r="AM114" s="319">
        <f aca="true" t="shared" si="89" ref="AM114:AZ114">IF($G114-AM$100&gt;0,(1-AM$101)*IF(AN114&lt;&gt;"",AN114,1),"")</f>
        <v>0.967687615038442</v>
      </c>
      <c r="AN114" s="319">
        <f t="shared" si="89"/>
        <v>0.9773293797852329</v>
      </c>
      <c r="AO114" s="319">
        <f t="shared" si="89"/>
        <v>0.9844823357505477</v>
      </c>
      <c r="AP114" s="319">
        <f t="shared" si="89"/>
        <v>0.9896590239847972</v>
      </c>
      <c r="AQ114" s="319">
        <f t="shared" si="89"/>
        <v>0.9933126264239573</v>
      </c>
      <c r="AR114" s="319">
        <f t="shared" si="89"/>
        <v>0.9958263260723391</v>
      </c>
      <c r="AS114" s="319">
        <f t="shared" si="89"/>
        <v>0.9975113464977695</v>
      </c>
      <c r="AT114" s="319">
        <f t="shared" si="89"/>
        <v>0.9986111982571482</v>
      </c>
      <c r="AU114" s="319">
        <f t="shared" si="89"/>
        <v>0.9993097572932943</v>
      </c>
      <c r="AV114" s="319">
        <f t="shared" si="89"/>
        <v>0.9997411621419247</v>
      </c>
      <c r="AW114" s="319">
        <f t="shared" si="89"/>
      </c>
      <c r="AX114" s="319">
        <f t="shared" si="89"/>
      </c>
      <c r="AY114" s="319">
        <f t="shared" si="89"/>
      </c>
      <c r="AZ114" s="319">
        <f t="shared" si="89"/>
      </c>
      <c r="BA114" s="320">
        <f t="shared" si="66"/>
      </c>
    </row>
    <row r="115" spans="2:53" ht="12.75">
      <c r="B115" s="285">
        <f t="shared" si="61"/>
        <v>52</v>
      </c>
      <c r="C115" s="287">
        <f t="shared" si="58"/>
        <v>0.05</v>
      </c>
      <c r="D115" s="291">
        <f t="shared" si="59"/>
        <v>0.0028691276870201734</v>
      </c>
      <c r="E115" s="291">
        <f t="shared" si="60"/>
        <v>0.0072657027003552544</v>
      </c>
      <c r="G115" s="315">
        <f t="shared" si="67"/>
        <v>62</v>
      </c>
      <c r="H115" s="316">
        <f aca="true" t="shared" si="90" ref="H115:AL115">IF($G115-H$100&gt;0,(1-H$101)*IF(I115&lt;&gt;"",I115,1),"")</f>
        <v>0.09041793892278288</v>
      </c>
      <c r="I115" s="317">
        <f t="shared" si="90"/>
        <v>0.09503073421383283</v>
      </c>
      <c r="J115" s="317">
        <f t="shared" si="90"/>
        <v>0.10055255073866098</v>
      </c>
      <c r="K115" s="317">
        <f t="shared" si="90"/>
        <v>0.10714035802266071</v>
      </c>
      <c r="L115" s="317">
        <f t="shared" si="90"/>
        <v>0.11497683564941198</v>
      </c>
      <c r="M115" s="317">
        <f t="shared" si="90"/>
        <v>0.1242730761757307</v>
      </c>
      <c r="N115" s="317">
        <f t="shared" si="90"/>
        <v>0.13527042565460762</v>
      </c>
      <c r="O115" s="317">
        <f t="shared" si="90"/>
        <v>0.14824072950448686</v>
      </c>
      <c r="P115" s="317">
        <f t="shared" si="90"/>
        <v>0.16348400417545092</v>
      </c>
      <c r="Q115" s="317">
        <f t="shared" si="90"/>
        <v>0.18132232243631102</v>
      </c>
      <c r="R115" s="317">
        <f t="shared" si="90"/>
        <v>0.20208855633246742</v>
      </c>
      <c r="S115" s="317">
        <f t="shared" si="90"/>
        <v>0.22610867851008445</v>
      </c>
      <c r="T115" s="317">
        <f t="shared" si="90"/>
        <v>0.25367671935196057</v>
      </c>
      <c r="U115" s="317">
        <f t="shared" si="90"/>
        <v>0.28502234984111247</v>
      </c>
      <c r="V115" s="317">
        <f t="shared" si="90"/>
        <v>0.32027247886227167</v>
      </c>
      <c r="W115" s="317">
        <f t="shared" si="90"/>
        <v>0.3594101413442438</v>
      </c>
      <c r="X115" s="317">
        <f t="shared" si="90"/>
        <v>0.40223600771505685</v>
      </c>
      <c r="Y115" s="317">
        <f t="shared" si="90"/>
        <v>0.4483395168084365</v>
      </c>
      <c r="Z115" s="317">
        <f t="shared" si="90"/>
        <v>0.4970872181552348</v>
      </c>
      <c r="AA115" s="317">
        <f t="shared" si="90"/>
        <v>0.5476347665617303</v>
      </c>
      <c r="AB115" s="317">
        <f t="shared" si="90"/>
        <v>0.5989658771837922</v>
      </c>
      <c r="AC115" s="317">
        <f t="shared" si="90"/>
        <v>0.6499567926229737</v>
      </c>
      <c r="AD115" s="317">
        <f t="shared" si="90"/>
        <v>0.6994594872843869</v>
      </c>
      <c r="AE115" s="317">
        <f t="shared" si="90"/>
        <v>0.7463924109650282</v>
      </c>
      <c r="AF115" s="317">
        <f t="shared" si="90"/>
        <v>0.7898254313282205</v>
      </c>
      <c r="AG115" s="317">
        <f t="shared" si="90"/>
        <v>0.8290465084707163</v>
      </c>
      <c r="AH115" s="317">
        <f t="shared" si="90"/>
        <v>0.863601304559129</v>
      </c>
      <c r="AI115" s="317">
        <f t="shared" si="90"/>
        <v>0.893302309709258</v>
      </c>
      <c r="AJ115" s="317">
        <f t="shared" si="90"/>
        <v>0.9182096326241814</v>
      </c>
      <c r="AK115" s="317">
        <f t="shared" si="90"/>
        <v>0.9385899742424766</v>
      </c>
      <c r="AL115" s="318">
        <f t="shared" si="90"/>
        <v>0.9548626520691724</v>
      </c>
      <c r="AM115" s="319">
        <f aca="true" t="shared" si="91" ref="AM115:AZ115">IF($G115-AM$100&gt;0,(1-AM$101)*IF(AN115&lt;&gt;"",AN115,1),"")</f>
        <v>0.9675417576893317</v>
      </c>
      <c r="AN115" s="319">
        <f t="shared" si="91"/>
        <v>0.9771820691548934</v>
      </c>
      <c r="AO115" s="319">
        <f t="shared" si="91"/>
        <v>0.9843339469714552</v>
      </c>
      <c r="AP115" s="319">
        <f t="shared" si="91"/>
        <v>0.9895098549352834</v>
      </c>
      <c r="AQ115" s="319">
        <f t="shared" si="91"/>
        <v>0.9931629066752735</v>
      </c>
      <c r="AR115" s="319">
        <f t="shared" si="91"/>
        <v>0.9956762274394354</v>
      </c>
      <c r="AS115" s="319">
        <f t="shared" si="91"/>
        <v>0.9973609938855769</v>
      </c>
      <c r="AT115" s="319">
        <f t="shared" si="91"/>
        <v>0.9984606798668061</v>
      </c>
      <c r="AU115" s="319">
        <f t="shared" si="91"/>
        <v>0.9991591336107405</v>
      </c>
      <c r="AV115" s="319">
        <f t="shared" si="91"/>
        <v>0.9995904734347011</v>
      </c>
      <c r="AW115" s="319">
        <f t="shared" si="91"/>
        <v>0.9998492722787359</v>
      </c>
      <c r="AX115" s="319">
        <f t="shared" si="91"/>
      </c>
      <c r="AY115" s="319">
        <f t="shared" si="91"/>
      </c>
      <c r="AZ115" s="319">
        <f t="shared" si="91"/>
      </c>
      <c r="BA115" s="320">
        <f t="shared" si="66"/>
      </c>
    </row>
    <row r="116" spans="2:53" ht="12.75">
      <c r="B116" s="285">
        <f t="shared" si="61"/>
        <v>53</v>
      </c>
      <c r="C116" s="287">
        <f t="shared" si="58"/>
        <v>0.05</v>
      </c>
      <c r="D116" s="291">
        <f t="shared" si="59"/>
        <v>0.0020655640886826122</v>
      </c>
      <c r="E116" s="291">
        <f t="shared" si="60"/>
        <v>0.005230779600640539</v>
      </c>
      <c r="G116" s="315">
        <f t="shared" si="67"/>
        <v>63</v>
      </c>
      <c r="H116" s="316">
        <f aca="true" t="shared" si="92" ref="H116:AL116">IF($G116-H$100&gt;0,(1-H$101)*IF(I116&lt;&gt;"",I116,1),"")</f>
        <v>0.09041024160157961</v>
      </c>
      <c r="I116" s="317">
        <f t="shared" si="92"/>
        <v>0.09502264420322054</v>
      </c>
      <c r="J116" s="317">
        <f t="shared" si="92"/>
        <v>0.10054399065323916</v>
      </c>
      <c r="K116" s="317">
        <f t="shared" si="92"/>
        <v>0.10713123711414013</v>
      </c>
      <c r="L116" s="317">
        <f t="shared" si="92"/>
        <v>0.11496704761790548</v>
      </c>
      <c r="M116" s="317">
        <f t="shared" si="92"/>
        <v>0.12426249675094356</v>
      </c>
      <c r="N116" s="317">
        <f t="shared" si="92"/>
        <v>0.13525891002034332</v>
      </c>
      <c r="O116" s="317">
        <f t="shared" si="92"/>
        <v>0.148228109702222</v>
      </c>
      <c r="P116" s="317">
        <f t="shared" si="92"/>
        <v>0.1634700867061221</v>
      </c>
      <c r="Q116" s="317">
        <f t="shared" si="92"/>
        <v>0.18130688638265022</v>
      </c>
      <c r="R116" s="317">
        <f t="shared" si="92"/>
        <v>0.2020713524396545</v>
      </c>
      <c r="S116" s="317">
        <f t="shared" si="92"/>
        <v>0.2260894297730963</v>
      </c>
      <c r="T116" s="317">
        <f t="shared" si="92"/>
        <v>0.2536551237348308</v>
      </c>
      <c r="U116" s="317">
        <f t="shared" si="92"/>
        <v>0.28499808575587704</v>
      </c>
      <c r="V116" s="317">
        <f t="shared" si="92"/>
        <v>0.3202452139171542</v>
      </c>
      <c r="W116" s="317">
        <f t="shared" si="92"/>
        <v>0.3593795445917123</v>
      </c>
      <c r="X116" s="317">
        <f t="shared" si="92"/>
        <v>0.40220176517659845</v>
      </c>
      <c r="Y116" s="317">
        <f t="shared" si="92"/>
        <v>0.44830134945680145</v>
      </c>
      <c r="Z116" s="317">
        <f t="shared" si="92"/>
        <v>0.4970449008891066</v>
      </c>
      <c r="AA116" s="317">
        <f t="shared" si="92"/>
        <v>0.5475881461592913</v>
      </c>
      <c r="AB116" s="317">
        <f t="shared" si="92"/>
        <v>0.5989148869400266</v>
      </c>
      <c r="AC116" s="317">
        <f t="shared" si="92"/>
        <v>0.6499014614988555</v>
      </c>
      <c r="AD116" s="317">
        <f t="shared" si="92"/>
        <v>0.6993999419728434</v>
      </c>
      <c r="AE116" s="317">
        <f t="shared" si="92"/>
        <v>0.7463288702318585</v>
      </c>
      <c r="AF116" s="317">
        <f t="shared" si="92"/>
        <v>0.789758193121822</v>
      </c>
      <c r="AG116" s="317">
        <f t="shared" si="92"/>
        <v>0.828975931355775</v>
      </c>
      <c r="AH116" s="317">
        <f t="shared" si="92"/>
        <v>0.8635277857783216</v>
      </c>
      <c r="AI116" s="317">
        <f t="shared" si="92"/>
        <v>0.8932262624680651</v>
      </c>
      <c r="AJ116" s="317">
        <f t="shared" si="92"/>
        <v>0.9181314650110018</v>
      </c>
      <c r="AK116" s="317">
        <f t="shared" si="92"/>
        <v>0.938510071641334</v>
      </c>
      <c r="AL116" s="318">
        <f t="shared" si="92"/>
        <v>0.9547813641673965</v>
      </c>
      <c r="AM116" s="319">
        <f aca="true" t="shared" si="93" ref="AM116:AZ116">IF($G116-AM$100&gt;0,(1-AM$101)*IF(AN116&lt;&gt;"",AN116,1),"")</f>
        <v>0.9674593904093959</v>
      </c>
      <c r="AN116" s="319">
        <f t="shared" si="93"/>
        <v>0.9770988811907577</v>
      </c>
      <c r="AO116" s="319">
        <f t="shared" si="93"/>
        <v>0.9842501501646339</v>
      </c>
      <c r="AP116" s="319">
        <f t="shared" si="93"/>
        <v>0.9894256175010093</v>
      </c>
      <c r="AQ116" s="319">
        <f t="shared" si="93"/>
        <v>0.9930783582550053</v>
      </c>
      <c r="AR116" s="319">
        <f t="shared" si="93"/>
        <v>0.9955914650590013</v>
      </c>
      <c r="AS116" s="319">
        <f t="shared" si="93"/>
        <v>0.9972760880801914</v>
      </c>
      <c r="AT116" s="319">
        <f t="shared" si="93"/>
        <v>0.9983756804446415</v>
      </c>
      <c r="AU116" s="319">
        <f t="shared" si="93"/>
        <v>0.9990740747288838</v>
      </c>
      <c r="AV116" s="319">
        <f t="shared" si="93"/>
        <v>0.9995053778326844</v>
      </c>
      <c r="AW116" s="319">
        <f t="shared" si="93"/>
        <v>0.9997641546450533</v>
      </c>
      <c r="AX116" s="319">
        <f t="shared" si="93"/>
        <v>0.9999148695347964</v>
      </c>
      <c r="AY116" s="319">
        <f t="shared" si="93"/>
      </c>
      <c r="AZ116" s="319">
        <f t="shared" si="93"/>
      </c>
      <c r="BA116" s="320">
        <f t="shared" si="66"/>
      </c>
    </row>
    <row r="117" spans="2:53" ht="12.75">
      <c r="B117" s="285">
        <f t="shared" si="61"/>
        <v>54</v>
      </c>
      <c r="C117" s="287">
        <f t="shared" si="58"/>
        <v>0.05</v>
      </c>
      <c r="D117" s="291">
        <f t="shared" si="59"/>
        <v>0.0014524713865448017</v>
      </c>
      <c r="E117" s="291">
        <f t="shared" si="60"/>
        <v>0.00367819993622093</v>
      </c>
      <c r="G117" s="315">
        <f t="shared" si="67"/>
        <v>64</v>
      </c>
      <c r="H117" s="316">
        <f aca="true" t="shared" si="94" ref="H117:AL117">IF($G117-H$100&gt;0,(1-H$101)*IF(I117&lt;&gt;"",I117,1),"")</f>
        <v>0.09040602943938614</v>
      </c>
      <c r="I117" s="317">
        <f t="shared" si="94"/>
        <v>0.09501821715178979</v>
      </c>
      <c r="J117" s="317">
        <f t="shared" si="94"/>
        <v>0.1005393063653896</v>
      </c>
      <c r="K117" s="317">
        <f t="shared" si="94"/>
        <v>0.10712624593019109</v>
      </c>
      <c r="L117" s="317">
        <f t="shared" si="94"/>
        <v>0.11496169136796199</v>
      </c>
      <c r="M117" s="317">
        <f t="shared" si="94"/>
        <v>0.12425670743126464</v>
      </c>
      <c r="N117" s="317">
        <f t="shared" si="94"/>
        <v>0.1352526083839687</v>
      </c>
      <c r="O117" s="317">
        <f t="shared" si="94"/>
        <v>0.1482212038381447</v>
      </c>
      <c r="P117" s="317">
        <f t="shared" si="94"/>
        <v>0.16346247072692782</v>
      </c>
      <c r="Q117" s="317">
        <f t="shared" si="94"/>
        <v>0.18129843939701332</v>
      </c>
      <c r="R117" s="317">
        <f t="shared" si="94"/>
        <v>0.20206193804924857</v>
      </c>
      <c r="S117" s="317">
        <f t="shared" si="94"/>
        <v>0.22607889639400602</v>
      </c>
      <c r="T117" s="317">
        <f t="shared" si="94"/>
        <v>0.25364330608559715</v>
      </c>
      <c r="U117" s="317">
        <f t="shared" si="94"/>
        <v>0.28498480785571034</v>
      </c>
      <c r="V117" s="317">
        <f t="shared" si="94"/>
        <v>0.3202302938731547</v>
      </c>
      <c r="W117" s="317">
        <f t="shared" si="94"/>
        <v>0.35936280130130605</v>
      </c>
      <c r="X117" s="317">
        <f t="shared" si="94"/>
        <v>0.40218302682307333</v>
      </c>
      <c r="Y117" s="317">
        <f t="shared" si="94"/>
        <v>0.44828046334963023</v>
      </c>
      <c r="Z117" s="317">
        <f t="shared" si="94"/>
        <v>0.49702174384735004</v>
      </c>
      <c r="AA117" s="317">
        <f t="shared" si="94"/>
        <v>0.547562634336228</v>
      </c>
      <c r="AB117" s="317">
        <f t="shared" si="94"/>
        <v>0.5988869838330424</v>
      </c>
      <c r="AC117" s="317">
        <f t="shared" si="94"/>
        <v>0.6498711829561029</v>
      </c>
      <c r="AD117" s="317">
        <f t="shared" si="94"/>
        <v>0.699367357323787</v>
      </c>
      <c r="AE117" s="317">
        <f t="shared" si="94"/>
        <v>0.7462940991904875</v>
      </c>
      <c r="AF117" s="317">
        <f t="shared" si="94"/>
        <v>0.789721398732778</v>
      </c>
      <c r="AG117" s="317">
        <f t="shared" si="94"/>
        <v>0.8289373098344129</v>
      </c>
      <c r="AH117" s="317">
        <f t="shared" si="94"/>
        <v>0.8634875545055384</v>
      </c>
      <c r="AI117" s="317">
        <f t="shared" si="94"/>
        <v>0.8931846475599935</v>
      </c>
      <c r="AJ117" s="317">
        <f t="shared" si="94"/>
        <v>0.9180886897835824</v>
      </c>
      <c r="AK117" s="317">
        <f t="shared" si="94"/>
        <v>0.9384663469861187</v>
      </c>
      <c r="AL117" s="318">
        <f t="shared" si="94"/>
        <v>0.9547368814418342</v>
      </c>
      <c r="AM117" s="319">
        <f aca="true" t="shared" si="95" ref="AM117:AZ117">IF($G117-AM$100&gt;0,(1-AM$101)*IF(AN117&lt;&gt;"",AN117,1),"")</f>
        <v>0.9674143170217375</v>
      </c>
      <c r="AN117" s="319">
        <f t="shared" si="95"/>
        <v>0.9770533587046575</v>
      </c>
      <c r="AO117" s="319">
        <f t="shared" si="95"/>
        <v>0.9842042945049433</v>
      </c>
      <c r="AP117" s="319">
        <f t="shared" si="95"/>
        <v>0.9893795207192129</v>
      </c>
      <c r="AQ117" s="319">
        <f t="shared" si="95"/>
        <v>0.9930320912940761</v>
      </c>
      <c r="AR117" s="319">
        <f t="shared" si="95"/>
        <v>0.9955450810138428</v>
      </c>
      <c r="AS117" s="319">
        <f t="shared" si="95"/>
        <v>0.9972296255493959</v>
      </c>
      <c r="AT117" s="319">
        <f t="shared" si="95"/>
        <v>0.9983291666844575</v>
      </c>
      <c r="AU117" s="319">
        <f t="shared" si="95"/>
        <v>0.9990275284309037</v>
      </c>
      <c r="AV117" s="319">
        <f t="shared" si="95"/>
        <v>0.9994588114405359</v>
      </c>
      <c r="AW117" s="319">
        <f t="shared" si="95"/>
        <v>0.9997175761966389</v>
      </c>
      <c r="AX117" s="319">
        <f t="shared" si="95"/>
        <v>0.9998682840646602</v>
      </c>
      <c r="AY117" s="319">
        <f t="shared" si="95"/>
        <v>0.9999534105636835</v>
      </c>
      <c r="AZ117" s="319">
        <f t="shared" si="95"/>
      </c>
      <c r="BA117" s="320">
        <f t="shared" si="66"/>
      </c>
    </row>
    <row r="118" spans="2:53" ht="12.75">
      <c r="B118" s="285">
        <f t="shared" si="61"/>
        <v>55</v>
      </c>
      <c r="C118" s="287">
        <f t="shared" si="58"/>
        <v>0.05</v>
      </c>
      <c r="D118" s="291">
        <f t="shared" si="59"/>
        <v>0.0009967862400114343</v>
      </c>
      <c r="E118" s="291">
        <f t="shared" si="60"/>
        <v>0.0025242349821139615</v>
      </c>
      <c r="G118" s="321">
        <f t="shared" si="67"/>
        <v>65</v>
      </c>
      <c r="H118" s="316">
        <f aca="true" t="shared" si="96" ref="H118:AL118">IF($G118-H$100&gt;0,(1-H$101)*IF(I118&lt;&gt;"",I118,1),"")</f>
        <v>0.0904037980547374</v>
      </c>
      <c r="I118" s="317">
        <f t="shared" si="96"/>
        <v>0.09501587192998968</v>
      </c>
      <c r="J118" s="317">
        <f t="shared" si="96"/>
        <v>0.10053682487310187</v>
      </c>
      <c r="K118" s="317">
        <f t="shared" si="96"/>
        <v>0.10712360186029743</v>
      </c>
      <c r="L118" s="317">
        <f t="shared" si="96"/>
        <v>0.11495885390507479</v>
      </c>
      <c r="M118" s="317">
        <f t="shared" si="96"/>
        <v>0.12425364055053571</v>
      </c>
      <c r="N118" s="317">
        <f t="shared" si="96"/>
        <v>0.13524927010447646</v>
      </c>
      <c r="O118" s="317">
        <f t="shared" si="96"/>
        <v>0.14821754547021376</v>
      </c>
      <c r="P118" s="317">
        <f t="shared" si="96"/>
        <v>0.16345843617690844</v>
      </c>
      <c r="Q118" s="317">
        <f t="shared" si="96"/>
        <v>0.18129396462296316</v>
      </c>
      <c r="R118" s="317">
        <f t="shared" si="96"/>
        <v>0.20205695079442215</v>
      </c>
      <c r="S118" s="317">
        <f t="shared" si="96"/>
        <v>0.22607331635712188</v>
      </c>
      <c r="T118" s="317">
        <f t="shared" si="96"/>
        <v>0.25363704570912704</v>
      </c>
      <c r="U118" s="317">
        <f t="shared" si="96"/>
        <v>0.2849777739141766</v>
      </c>
      <c r="V118" s="317">
        <f t="shared" si="96"/>
        <v>0.3202223900091509</v>
      </c>
      <c r="W118" s="317">
        <f t="shared" si="96"/>
        <v>0.3593539315760994</v>
      </c>
      <c r="X118" s="317">
        <f t="shared" si="96"/>
        <v>0.40217310021709807</v>
      </c>
      <c r="Y118" s="317">
        <f t="shared" si="96"/>
        <v>0.4482693989753795</v>
      </c>
      <c r="Z118" s="317">
        <f t="shared" si="96"/>
        <v>0.49700947644996313</v>
      </c>
      <c r="AA118" s="317">
        <f t="shared" si="96"/>
        <v>0.547549119498069</v>
      </c>
      <c r="AB118" s="317">
        <f t="shared" si="96"/>
        <v>0.5988722022169229</v>
      </c>
      <c r="AC118" s="317">
        <f t="shared" si="96"/>
        <v>0.6498551429575509</v>
      </c>
      <c r="AD118" s="317">
        <f t="shared" si="96"/>
        <v>0.69935009566995</v>
      </c>
      <c r="AE118" s="317">
        <f t="shared" si="96"/>
        <v>0.7462756792996162</v>
      </c>
      <c r="AF118" s="317">
        <f t="shared" si="96"/>
        <v>0.7897019069774511</v>
      </c>
      <c r="AG118" s="317">
        <f t="shared" si="96"/>
        <v>0.8289168501593294</v>
      </c>
      <c r="AH118" s="317">
        <f t="shared" si="96"/>
        <v>0.8634662420678011</v>
      </c>
      <c r="AI118" s="317">
        <f t="shared" si="96"/>
        <v>0.8931626021441799</v>
      </c>
      <c r="AJ118" s="317">
        <f t="shared" si="96"/>
        <v>0.9180660296908733</v>
      </c>
      <c r="AK118" s="317">
        <f t="shared" si="96"/>
        <v>0.9384431839358996</v>
      </c>
      <c r="AL118" s="303">
        <f t="shared" si="96"/>
        <v>0.9547133168053378</v>
      </c>
      <c r="AM118" s="304">
        <f aca="true" t="shared" si="97" ref="AM118:AZ118">IF($G118-AM$100&gt;0,(1-AM$101)*IF(AN118&lt;&gt;"",AN118,1),"")</f>
        <v>0.9673904394831557</v>
      </c>
      <c r="AN118" s="304">
        <f t="shared" si="97"/>
        <v>0.9770292432570582</v>
      </c>
      <c r="AO118" s="304">
        <f t="shared" si="97"/>
        <v>0.9841800025592888</v>
      </c>
      <c r="AP118" s="304">
        <f t="shared" si="97"/>
        <v>0.9893551010395965</v>
      </c>
      <c r="AQ118" s="304">
        <f t="shared" si="97"/>
        <v>0.9930075814623984</v>
      </c>
      <c r="AR118" s="304">
        <f t="shared" si="97"/>
        <v>0.9955205091570245</v>
      </c>
      <c r="AS118" s="304">
        <f t="shared" si="97"/>
        <v>0.9972050121149656</v>
      </c>
      <c r="AT118" s="304">
        <f t="shared" si="97"/>
        <v>0.9983045261113593</v>
      </c>
      <c r="AU118" s="304">
        <f t="shared" si="97"/>
        <v>0.999002870620972</v>
      </c>
      <c r="AV118" s="304">
        <f t="shared" si="97"/>
        <v>0.999434142985758</v>
      </c>
      <c r="AW118" s="304">
        <f t="shared" si="97"/>
        <v>0.9996929013550778</v>
      </c>
      <c r="AX118" s="304">
        <f t="shared" si="97"/>
        <v>0.9998436055033558</v>
      </c>
      <c r="AY118" s="304">
        <f t="shared" si="97"/>
        <v>0.9999287299013028</v>
      </c>
      <c r="AZ118" s="304">
        <f t="shared" si="97"/>
        <v>0.9999753181877076</v>
      </c>
      <c r="BA118" s="305">
        <f>IF($G118-BA$100&gt;0,(1-BA$101)*IF(BB117&lt;&gt;"",BB117,1),"")</f>
      </c>
    </row>
    <row r="119" spans="2:53" ht="12.75">
      <c r="B119" s="285">
        <f t="shared" si="61"/>
        <v>56</v>
      </c>
      <c r="C119" s="287">
        <f t="shared" si="58"/>
        <v>0.05</v>
      </c>
      <c r="D119" s="291">
        <f t="shared" si="59"/>
        <v>0.0006670518275241526</v>
      </c>
      <c r="E119" s="291">
        <f t="shared" si="60"/>
        <v>0.0016892243194490723</v>
      </c>
      <c r="G119" s="322" t="s">
        <v>90</v>
      </c>
      <c r="H119" s="322">
        <v>20</v>
      </c>
      <c r="I119" s="323">
        <f aca="true" t="shared" si="98" ref="I119:BA119">H119+1</f>
        <v>21</v>
      </c>
      <c r="J119" s="323">
        <f t="shared" si="98"/>
        <v>22</v>
      </c>
      <c r="K119" s="323">
        <f t="shared" si="98"/>
        <v>23</v>
      </c>
      <c r="L119" s="323">
        <f t="shared" si="98"/>
        <v>24</v>
      </c>
      <c r="M119" s="323">
        <f t="shared" si="98"/>
        <v>25</v>
      </c>
      <c r="N119" s="323">
        <f t="shared" si="98"/>
        <v>26</v>
      </c>
      <c r="O119" s="323">
        <f t="shared" si="98"/>
        <v>27</v>
      </c>
      <c r="P119" s="323">
        <f t="shared" si="98"/>
        <v>28</v>
      </c>
      <c r="Q119" s="323">
        <f t="shared" si="98"/>
        <v>29</v>
      </c>
      <c r="R119" s="323">
        <f t="shared" si="98"/>
        <v>30</v>
      </c>
      <c r="S119" s="323">
        <f t="shared" si="98"/>
        <v>31</v>
      </c>
      <c r="T119" s="323">
        <f t="shared" si="98"/>
        <v>32</v>
      </c>
      <c r="U119" s="323">
        <f t="shared" si="98"/>
        <v>33</v>
      </c>
      <c r="V119" s="323">
        <f t="shared" si="98"/>
        <v>34</v>
      </c>
      <c r="W119" s="323">
        <f t="shared" si="98"/>
        <v>35</v>
      </c>
      <c r="X119" s="323">
        <f t="shared" si="98"/>
        <v>36</v>
      </c>
      <c r="Y119" s="323">
        <f t="shared" si="98"/>
        <v>37</v>
      </c>
      <c r="Z119" s="323">
        <f t="shared" si="98"/>
        <v>38</v>
      </c>
      <c r="AA119" s="323">
        <f t="shared" si="98"/>
        <v>39</v>
      </c>
      <c r="AB119" s="323">
        <f t="shared" si="98"/>
        <v>40</v>
      </c>
      <c r="AC119" s="323">
        <f t="shared" si="98"/>
        <v>41</v>
      </c>
      <c r="AD119" s="323">
        <f t="shared" si="98"/>
        <v>42</v>
      </c>
      <c r="AE119" s="323">
        <f t="shared" si="98"/>
        <v>43</v>
      </c>
      <c r="AF119" s="323">
        <f t="shared" si="98"/>
        <v>44</v>
      </c>
      <c r="AG119" s="323">
        <f t="shared" si="98"/>
        <v>45</v>
      </c>
      <c r="AH119" s="323">
        <f t="shared" si="98"/>
        <v>46</v>
      </c>
      <c r="AI119" s="323">
        <f t="shared" si="98"/>
        <v>47</v>
      </c>
      <c r="AJ119" s="323">
        <f t="shared" si="98"/>
        <v>48</v>
      </c>
      <c r="AK119" s="323">
        <f t="shared" si="98"/>
        <v>49</v>
      </c>
      <c r="AL119" s="297">
        <f t="shared" si="98"/>
        <v>50</v>
      </c>
      <c r="AM119" s="297">
        <f t="shared" si="98"/>
        <v>51</v>
      </c>
      <c r="AN119" s="297">
        <f t="shared" si="98"/>
        <v>52</v>
      </c>
      <c r="AO119" s="297">
        <f t="shared" si="98"/>
        <v>53</v>
      </c>
      <c r="AP119" s="297">
        <f t="shared" si="98"/>
        <v>54</v>
      </c>
      <c r="AQ119" s="297">
        <f t="shared" si="98"/>
        <v>55</v>
      </c>
      <c r="AR119" s="297">
        <f t="shared" si="98"/>
        <v>56</v>
      </c>
      <c r="AS119" s="297">
        <f t="shared" si="98"/>
        <v>57</v>
      </c>
      <c r="AT119" s="297">
        <f t="shared" si="98"/>
        <v>58</v>
      </c>
      <c r="AU119" s="297">
        <f t="shared" si="98"/>
        <v>59</v>
      </c>
      <c r="AV119" s="297">
        <f t="shared" si="98"/>
        <v>60</v>
      </c>
      <c r="AW119" s="297">
        <f t="shared" si="98"/>
        <v>61</v>
      </c>
      <c r="AX119" s="297">
        <f t="shared" si="98"/>
        <v>62</v>
      </c>
      <c r="AY119" s="297">
        <f t="shared" si="98"/>
        <v>63</v>
      </c>
      <c r="AZ119" s="297">
        <f t="shared" si="98"/>
        <v>64</v>
      </c>
      <c r="BA119" s="324">
        <f t="shared" si="98"/>
        <v>65</v>
      </c>
    </row>
    <row r="120" spans="2:53" ht="12.75">
      <c r="B120" s="285">
        <f t="shared" si="61"/>
        <v>57</v>
      </c>
      <c r="C120" s="287">
        <f t="shared" si="58"/>
        <v>0.05</v>
      </c>
      <c r="D120" s="291">
        <f t="shared" si="59"/>
        <v>0.00043492059660195966</v>
      </c>
      <c r="E120" s="291">
        <f t="shared" si="60"/>
        <v>0.0011013813597305954</v>
      </c>
      <c r="G120" s="301" t="s">
        <v>297</v>
      </c>
      <c r="H120" s="540" t="s">
        <v>299</v>
      </c>
      <c r="I120" s="540"/>
      <c r="J120" s="540"/>
      <c r="K120" s="540"/>
      <c r="L120" s="540"/>
      <c r="M120" s="540"/>
      <c r="N120" s="540"/>
      <c r="O120" s="540"/>
      <c r="P120" s="540"/>
      <c r="Q120" s="540"/>
      <c r="R120" s="540"/>
      <c r="S120" s="540"/>
      <c r="T120" s="540"/>
      <c r="U120" s="540"/>
      <c r="V120" s="540"/>
      <c r="W120" s="540"/>
      <c r="X120" s="540"/>
      <c r="Y120" s="540"/>
      <c r="Z120" s="540"/>
      <c r="AA120" s="540"/>
      <c r="AB120" s="540"/>
      <c r="AC120" s="540"/>
      <c r="AD120" s="54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0"/>
      <c r="AY120" s="540"/>
      <c r="AZ120" s="540"/>
      <c r="BA120" s="540"/>
    </row>
    <row r="121" spans="2:53" ht="12.75">
      <c r="B121" s="285">
        <f t="shared" si="61"/>
        <v>58</v>
      </c>
      <c r="C121" s="287">
        <f t="shared" si="58"/>
        <v>0.05</v>
      </c>
      <c r="D121" s="291">
        <f t="shared" si="59"/>
        <v>0.0002760420474580221</v>
      </c>
      <c r="E121" s="291">
        <f t="shared" si="60"/>
        <v>0.000699041544473877</v>
      </c>
      <c r="G121" s="325">
        <v>50</v>
      </c>
      <c r="H121" s="317">
        <f aca="true" t="shared" si="99" ref="H121:AK121">IF(H103&lt;&gt;"",1-H103,"")</f>
        <v>0.9053079113243684</v>
      </c>
      <c r="I121" s="317">
        <f t="shared" si="99"/>
        <v>0.9004770644155966</v>
      </c>
      <c r="J121" s="317">
        <f t="shared" si="99"/>
        <v>0.8946942258965045</v>
      </c>
      <c r="K121" s="317">
        <f t="shared" si="99"/>
        <v>0.8877950061294269</v>
      </c>
      <c r="L121" s="317">
        <f t="shared" si="99"/>
        <v>0.879588090077396</v>
      </c>
      <c r="M121" s="317">
        <f t="shared" si="99"/>
        <v>0.8698524066194935</v>
      </c>
      <c r="N121" s="317">
        <f t="shared" si="99"/>
        <v>0.8583352010244838</v>
      </c>
      <c r="O121" s="317">
        <f t="shared" si="99"/>
        <v>0.8447517774590393</v>
      </c>
      <c r="P121" s="317">
        <f t="shared" si="99"/>
        <v>0.8287879373843101</v>
      </c>
      <c r="Q121" s="317">
        <f t="shared" si="99"/>
        <v>0.8101063833176548</v>
      </c>
      <c r="R121" s="317">
        <f t="shared" si="99"/>
        <v>0.7883585080068378</v>
      </c>
      <c r="S121" s="317">
        <f t="shared" si="99"/>
        <v>0.7632029297406172</v>
      </c>
      <c r="T121" s="317">
        <f t="shared" si="99"/>
        <v>0.7343317190150364</v>
      </c>
      <c r="U121" s="317">
        <f t="shared" si="99"/>
        <v>0.7015043480615004</v>
      </c>
      <c r="V121" s="317">
        <f t="shared" si="99"/>
        <v>0.6645879088806688</v>
      </c>
      <c r="W121" s="317">
        <f t="shared" si="99"/>
        <v>0.623600168500247</v>
      </c>
      <c r="X121" s="317">
        <f t="shared" si="99"/>
        <v>0.5787498790078158</v>
      </c>
      <c r="Y121" s="317">
        <f t="shared" si="99"/>
        <v>0.5304670092218062</v>
      </c>
      <c r="Z121" s="317">
        <f t="shared" si="99"/>
        <v>0.479414953472047</v>
      </c>
      <c r="AA121" s="317">
        <f t="shared" si="99"/>
        <v>0.42647797002530763</v>
      </c>
      <c r="AB121" s="317">
        <f t="shared" si="99"/>
        <v>0.3727203845643743</v>
      </c>
      <c r="AC121" s="317">
        <f t="shared" si="99"/>
        <v>0.319319075665461</v>
      </c>
      <c r="AD121" s="317">
        <f t="shared" si="99"/>
        <v>0.26747633728403863</v>
      </c>
      <c r="AE121" s="317">
        <f t="shared" si="99"/>
        <v>0.2183248456229726</v>
      </c>
      <c r="AF121" s="317">
        <f t="shared" si="99"/>
        <v>0.17283870133921242</v>
      </c>
      <c r="AG121" s="317">
        <f t="shared" si="99"/>
        <v>0.13176360320074787</v>
      </c>
      <c r="AH121" s="317">
        <f t="shared" si="99"/>
        <v>0.09557536606158135</v>
      </c>
      <c r="AI121" s="317">
        <f t="shared" si="99"/>
        <v>0.0644703635926217</v>
      </c>
      <c r="AJ121" s="317">
        <f t="shared" si="99"/>
        <v>0.03838564569005243</v>
      </c>
      <c r="AK121" s="317">
        <f t="shared" si="99"/>
        <v>0.01704190418531215</v>
      </c>
      <c r="AL121" s="326">
        <f aca="true" t="shared" si="100" ref="AL121:BA121">IF(AL103&lt;&gt;"",1-AL103,0)</f>
        <v>0</v>
      </c>
      <c r="AM121" s="327">
        <f t="shared" si="100"/>
        <v>0</v>
      </c>
      <c r="AN121" s="327">
        <f t="shared" si="100"/>
        <v>0</v>
      </c>
      <c r="AO121" s="327">
        <f t="shared" si="100"/>
        <v>0</v>
      </c>
      <c r="AP121" s="327">
        <f t="shared" si="100"/>
        <v>0</v>
      </c>
      <c r="AQ121" s="327">
        <f t="shared" si="100"/>
        <v>0</v>
      </c>
      <c r="AR121" s="327">
        <f t="shared" si="100"/>
        <v>0</v>
      </c>
      <c r="AS121" s="327">
        <f t="shared" si="100"/>
        <v>0</v>
      </c>
      <c r="AT121" s="327">
        <f t="shared" si="100"/>
        <v>0</v>
      </c>
      <c r="AU121" s="327">
        <f t="shared" si="100"/>
        <v>0</v>
      </c>
      <c r="AV121" s="327">
        <f t="shared" si="100"/>
        <v>0</v>
      </c>
      <c r="AW121" s="327">
        <f t="shared" si="100"/>
        <v>0</v>
      </c>
      <c r="AX121" s="327">
        <f t="shared" si="100"/>
        <v>0</v>
      </c>
      <c r="AY121" s="327">
        <f t="shared" si="100"/>
        <v>0</v>
      </c>
      <c r="AZ121" s="327">
        <f t="shared" si="100"/>
        <v>0</v>
      </c>
      <c r="BA121" s="328">
        <f t="shared" si="100"/>
        <v>0</v>
      </c>
    </row>
    <row r="122" spans="2:53" ht="12.75">
      <c r="B122" s="285">
        <f t="shared" si="61"/>
        <v>59</v>
      </c>
      <c r="C122" s="287">
        <f t="shared" si="58"/>
        <v>0.05</v>
      </c>
      <c r="D122" s="291">
        <f t="shared" si="59"/>
        <v>0.00017040004353800338</v>
      </c>
      <c r="E122" s="291">
        <f t="shared" si="60"/>
        <v>0.000431516541447679</v>
      </c>
      <c r="G122" s="329">
        <f aca="true" t="shared" si="101" ref="G122:G136">G121+1</f>
        <v>51</v>
      </c>
      <c r="H122" s="317">
        <f aca="true" t="shared" si="102" ref="H122:AK122">IF(H104&lt;&gt;"",1-H104,"")</f>
        <v>0.906548799362709</v>
      </c>
      <c r="I122" s="317">
        <f t="shared" si="102"/>
        <v>0.9017812580608575</v>
      </c>
      <c r="J122" s="317">
        <f t="shared" si="102"/>
        <v>0.8960742004781282</v>
      </c>
      <c r="K122" s="317">
        <f t="shared" si="102"/>
        <v>0.889265391213159</v>
      </c>
      <c r="L122" s="317">
        <f t="shared" si="102"/>
        <v>0.8811660223079179</v>
      </c>
      <c r="M122" s="317">
        <f t="shared" si="102"/>
        <v>0.8715579196576304</v>
      </c>
      <c r="N122" s="317">
        <f t="shared" si="102"/>
        <v>0.860191640743591</v>
      </c>
      <c r="O122" s="317">
        <f t="shared" si="102"/>
        <v>0.8467862205156778</v>
      </c>
      <c r="P122" s="317">
        <f t="shared" si="102"/>
        <v>0.8310315778350685</v>
      </c>
      <c r="Q122" s="317">
        <f t="shared" si="102"/>
        <v>0.8125948353181757</v>
      </c>
      <c r="R122" s="317">
        <f t="shared" si="102"/>
        <v>0.7911319540201633</v>
      </c>
      <c r="S122" s="317">
        <f t="shared" si="102"/>
        <v>0.7663060258504256</v>
      </c>
      <c r="T122" s="317">
        <f t="shared" si="102"/>
        <v>0.7378131565527597</v>
      </c>
      <c r="U122" s="317">
        <f t="shared" si="102"/>
        <v>0.705415970343442</v>
      </c>
      <c r="V122" s="317">
        <f t="shared" si="102"/>
        <v>0.6689833009097804</v>
      </c>
      <c r="W122" s="317">
        <f t="shared" si="102"/>
        <v>0.628532682452299</v>
      </c>
      <c r="X122" s="317">
        <f t="shared" si="102"/>
        <v>0.5842701314766292</v>
      </c>
      <c r="Y122" s="317">
        <f t="shared" si="102"/>
        <v>0.536619982294972</v>
      </c>
      <c r="Z122" s="317">
        <f t="shared" si="102"/>
        <v>0.48623693581725</v>
      </c>
      <c r="AA122" s="317">
        <f t="shared" si="102"/>
        <v>0.4339936625892167</v>
      </c>
      <c r="AB122" s="317">
        <f t="shared" si="102"/>
        <v>0.3809405408876272</v>
      </c>
      <c r="AC122" s="317">
        <f t="shared" si="102"/>
        <v>0.32823902693854745</v>
      </c>
      <c r="AD122" s="317">
        <f t="shared" si="102"/>
        <v>0.277075659292654</v>
      </c>
      <c r="AE122" s="317">
        <f t="shared" si="102"/>
        <v>0.2285682710505943</v>
      </c>
      <c r="AF122" s="317">
        <f t="shared" si="102"/>
        <v>0.18367819781290962</v>
      </c>
      <c r="AG122" s="317">
        <f t="shared" si="102"/>
        <v>0.14314136637303154</v>
      </c>
      <c r="AH122" s="317">
        <f t="shared" si="102"/>
        <v>0.10742735629150713</v>
      </c>
      <c r="AI122" s="317">
        <f t="shared" si="102"/>
        <v>0.07672996786967767</v>
      </c>
      <c r="AJ122" s="317">
        <f t="shared" si="102"/>
        <v>0.050987075930412185</v>
      </c>
      <c r="AK122" s="317">
        <f t="shared" si="102"/>
        <v>0.029923032485954293</v>
      </c>
      <c r="AL122" s="330">
        <f aca="true" t="shared" si="103" ref="AL122:BA122">IF(AL104&lt;&gt;"",1-AL104,0)</f>
        <v>0.013104453135376115</v>
      </c>
      <c r="AM122" s="331">
        <f t="shared" si="103"/>
        <v>0</v>
      </c>
      <c r="AN122" s="331">
        <f t="shared" si="103"/>
        <v>0</v>
      </c>
      <c r="AO122" s="331">
        <f t="shared" si="103"/>
        <v>0</v>
      </c>
      <c r="AP122" s="331">
        <f t="shared" si="103"/>
        <v>0</v>
      </c>
      <c r="AQ122" s="331">
        <f t="shared" si="103"/>
        <v>0</v>
      </c>
      <c r="AR122" s="331">
        <f t="shared" si="103"/>
        <v>0</v>
      </c>
      <c r="AS122" s="331">
        <f t="shared" si="103"/>
        <v>0</v>
      </c>
      <c r="AT122" s="331">
        <f t="shared" si="103"/>
        <v>0</v>
      </c>
      <c r="AU122" s="331">
        <f t="shared" si="103"/>
        <v>0</v>
      </c>
      <c r="AV122" s="331">
        <f t="shared" si="103"/>
        <v>0</v>
      </c>
      <c r="AW122" s="331">
        <f t="shared" si="103"/>
        <v>0</v>
      </c>
      <c r="AX122" s="331">
        <f t="shared" si="103"/>
        <v>0</v>
      </c>
      <c r="AY122" s="331">
        <f t="shared" si="103"/>
        <v>0</v>
      </c>
      <c r="AZ122" s="331">
        <f t="shared" si="103"/>
        <v>0</v>
      </c>
      <c r="BA122" s="332">
        <f t="shared" si="103"/>
        <v>0</v>
      </c>
    </row>
    <row r="123" spans="2:53" ht="12.75">
      <c r="B123" s="285">
        <f t="shared" si="61"/>
        <v>60</v>
      </c>
      <c r="C123" s="287">
        <f t="shared" si="58"/>
        <v>0.05</v>
      </c>
      <c r="D123" s="291">
        <f t="shared" si="59"/>
        <v>0.0001022115679212521</v>
      </c>
      <c r="E123" s="291">
        <f t="shared" si="60"/>
        <v>0.00025883785807535035</v>
      </c>
      <c r="G123" s="329">
        <f t="shared" si="101"/>
        <v>52</v>
      </c>
      <c r="H123" s="317">
        <f aca="true" t="shared" si="104" ref="H123:AK123">IF(H105&lt;&gt;"",1-H105,"")</f>
        <v>0.9074707347004638</v>
      </c>
      <c r="I123" s="317">
        <f t="shared" si="104"/>
        <v>0.9027502271956144</v>
      </c>
      <c r="J123" s="317">
        <f t="shared" si="104"/>
        <v>0.8970994721325343</v>
      </c>
      <c r="K123" s="317">
        <f t="shared" si="104"/>
        <v>0.890357834630224</v>
      </c>
      <c r="L123" s="317">
        <f t="shared" si="104"/>
        <v>0.882338369400445</v>
      </c>
      <c r="M123" s="317">
        <f t="shared" si="104"/>
        <v>0.872825054717585</v>
      </c>
      <c r="N123" s="317">
        <f t="shared" si="104"/>
        <v>0.8615709089181355</v>
      </c>
      <c r="O123" s="317">
        <f t="shared" si="104"/>
        <v>0.8482977387901812</v>
      </c>
      <c r="P123" s="317">
        <f t="shared" si="104"/>
        <v>0.8326985222755485</v>
      </c>
      <c r="Q123" s="317">
        <f t="shared" si="104"/>
        <v>0.8144436659658257</v>
      </c>
      <c r="R123" s="317">
        <f t="shared" si="104"/>
        <v>0.793192525004842</v>
      </c>
      <c r="S123" s="317">
        <f t="shared" si="104"/>
        <v>0.7686115150417852</v>
      </c>
      <c r="T123" s="317">
        <f t="shared" si="104"/>
        <v>0.7403997398649053</v>
      </c>
      <c r="U123" s="317">
        <f t="shared" si="104"/>
        <v>0.708322165502268</v>
      </c>
      <c r="V123" s="317">
        <f t="shared" si="104"/>
        <v>0.6722489196519374</v>
      </c>
      <c r="W123" s="317">
        <f t="shared" si="104"/>
        <v>0.6321973635321858</v>
      </c>
      <c r="X123" s="317">
        <f t="shared" si="104"/>
        <v>0.5883714812093035</v>
      </c>
      <c r="Y123" s="317">
        <f t="shared" si="104"/>
        <v>0.5411914207593079</v>
      </c>
      <c r="Z123" s="317">
        <f t="shared" si="104"/>
        <v>0.49130542419271384</v>
      </c>
      <c r="AA123" s="317">
        <f t="shared" si="104"/>
        <v>0.4395775527938751</v>
      </c>
      <c r="AB123" s="317">
        <f t="shared" si="104"/>
        <v>0.38704782241675595</v>
      </c>
      <c r="AC123" s="317">
        <f t="shared" si="104"/>
        <v>0.33486623103401547</v>
      </c>
      <c r="AD123" s="317">
        <f t="shared" si="104"/>
        <v>0.2842076114952583</v>
      </c>
      <c r="AE123" s="317">
        <f t="shared" si="104"/>
        <v>0.23617876900817625</v>
      </c>
      <c r="AF123" s="317">
        <f t="shared" si="104"/>
        <v>0.19173155519391238</v>
      </c>
      <c r="AG123" s="317">
        <f t="shared" si="104"/>
        <v>0.1515946366190395</v>
      </c>
      <c r="AH123" s="317">
        <f t="shared" si="104"/>
        <v>0.11623296024454666</v>
      </c>
      <c r="AI123" s="317">
        <f t="shared" si="104"/>
        <v>0.08583841445041884</v>
      </c>
      <c r="AJ123" s="317">
        <f t="shared" si="104"/>
        <v>0.06034948695048592</v>
      </c>
      <c r="AK123" s="317">
        <f t="shared" si="104"/>
        <v>0.03949324914014529</v>
      </c>
      <c r="AL123" s="330">
        <f aca="true" t="shared" si="105" ref="AL123:BA123">IF(AL105&lt;&gt;"",1-AL105,0)</f>
        <v>0.022840592137577498</v>
      </c>
      <c r="AM123" s="331">
        <f t="shared" si="105"/>
        <v>0.009865419935405684</v>
      </c>
      <c r="AN123" s="331">
        <f t="shared" si="105"/>
        <v>0</v>
      </c>
      <c r="AO123" s="331">
        <f t="shared" si="105"/>
        <v>0</v>
      </c>
      <c r="AP123" s="331">
        <f t="shared" si="105"/>
        <v>0</v>
      </c>
      <c r="AQ123" s="331">
        <f t="shared" si="105"/>
        <v>0</v>
      </c>
      <c r="AR123" s="331">
        <f t="shared" si="105"/>
        <v>0</v>
      </c>
      <c r="AS123" s="331">
        <f t="shared" si="105"/>
        <v>0</v>
      </c>
      <c r="AT123" s="331">
        <f t="shared" si="105"/>
        <v>0</v>
      </c>
      <c r="AU123" s="331">
        <f t="shared" si="105"/>
        <v>0</v>
      </c>
      <c r="AV123" s="331">
        <f t="shared" si="105"/>
        <v>0</v>
      </c>
      <c r="AW123" s="331">
        <f t="shared" si="105"/>
        <v>0</v>
      </c>
      <c r="AX123" s="331">
        <f t="shared" si="105"/>
        <v>0</v>
      </c>
      <c r="AY123" s="331">
        <f t="shared" si="105"/>
        <v>0</v>
      </c>
      <c r="AZ123" s="331">
        <f t="shared" si="105"/>
        <v>0</v>
      </c>
      <c r="BA123" s="332">
        <f t="shared" si="105"/>
        <v>0</v>
      </c>
    </row>
    <row r="124" spans="2:53" ht="12.75">
      <c r="B124" s="285">
        <f t="shared" si="61"/>
        <v>61</v>
      </c>
      <c r="C124" s="287">
        <f t="shared" si="58"/>
        <v>0.05</v>
      </c>
      <c r="D124" s="291">
        <f t="shared" si="59"/>
        <v>5.9520337689995276E-05</v>
      </c>
      <c r="E124" s="291">
        <f t="shared" si="60"/>
        <v>0.00015072772126408838</v>
      </c>
      <c r="G124" s="329">
        <f t="shared" si="101"/>
        <v>53</v>
      </c>
      <c r="H124" s="317">
        <f aca="true" t="shared" si="106" ref="H124:AK124">IF(H106&lt;&gt;"",1-H106,"")</f>
        <v>0.9081430248332125</v>
      </c>
      <c r="I124" s="317">
        <f t="shared" si="106"/>
        <v>0.9034568151324882</v>
      </c>
      <c r="J124" s="317">
        <f t="shared" si="106"/>
        <v>0.8978471167757289</v>
      </c>
      <c r="K124" s="317">
        <f t="shared" si="106"/>
        <v>0.891154462007224</v>
      </c>
      <c r="L124" s="317">
        <f t="shared" si="106"/>
        <v>0.8831932638276203</v>
      </c>
      <c r="M124" s="317">
        <f t="shared" si="106"/>
        <v>0.8737490700609409</v>
      </c>
      <c r="N124" s="317">
        <f t="shared" si="106"/>
        <v>0.8625766935390167</v>
      </c>
      <c r="O124" s="317">
        <f t="shared" si="106"/>
        <v>0.8493999623191034</v>
      </c>
      <c r="P124" s="317">
        <f t="shared" si="106"/>
        <v>0.8339140850740244</v>
      </c>
      <c r="Q124" s="317">
        <f t="shared" si="106"/>
        <v>0.8157918631230858</v>
      </c>
      <c r="R124" s="317">
        <f t="shared" si="106"/>
        <v>0.794695126634368</v>
      </c>
      <c r="S124" s="317">
        <f t="shared" si="106"/>
        <v>0.7702927149817771</v>
      </c>
      <c r="T124" s="317">
        <f t="shared" si="106"/>
        <v>0.7422859181759818</v>
      </c>
      <c r="U124" s="317">
        <f t="shared" si="106"/>
        <v>0.710441409932012</v>
      </c>
      <c r="V124" s="317">
        <f t="shared" si="106"/>
        <v>0.6746302615614667</v>
      </c>
      <c r="W124" s="317">
        <f t="shared" si="106"/>
        <v>0.6348697081411678</v>
      </c>
      <c r="X124" s="317">
        <f t="shared" si="106"/>
        <v>0.5913622516498243</v>
      </c>
      <c r="Y124" s="317">
        <f t="shared" si="106"/>
        <v>0.5445249874924432</v>
      </c>
      <c r="Z124" s="317">
        <f t="shared" si="106"/>
        <v>0.4950014477458129</v>
      </c>
      <c r="AA124" s="317">
        <f t="shared" si="106"/>
        <v>0.4436494156818803</v>
      </c>
      <c r="AB124" s="317">
        <f t="shared" si="106"/>
        <v>0.39150135070861114</v>
      </c>
      <c r="AC124" s="317">
        <f t="shared" si="106"/>
        <v>0.3396988952552892</v>
      </c>
      <c r="AD124" s="317">
        <f t="shared" si="106"/>
        <v>0.28940834618531097</v>
      </c>
      <c r="AE124" s="317">
        <f t="shared" si="106"/>
        <v>0.24172846698878225</v>
      </c>
      <c r="AF124" s="317">
        <f t="shared" si="106"/>
        <v>0.19760419341595203</v>
      </c>
      <c r="AG124" s="317">
        <f t="shared" si="106"/>
        <v>0.15775889775875251</v>
      </c>
      <c r="AH124" s="317">
        <f t="shared" si="106"/>
        <v>0.12265414881178283</v>
      </c>
      <c r="AI124" s="317">
        <f t="shared" si="106"/>
        <v>0.0924804407511074</v>
      </c>
      <c r="AJ124" s="317">
        <f t="shared" si="106"/>
        <v>0.0671767082205399</v>
      </c>
      <c r="AK124" s="317">
        <f t="shared" si="106"/>
        <v>0.04647200563357712</v>
      </c>
      <c r="AL124" s="330">
        <f aca="true" t="shared" si="107" ref="AL124:BA124">IF(AL106&lt;&gt;"",1-AL106,0)</f>
        <v>0.029940341885960953</v>
      </c>
      <c r="AM124" s="331">
        <f t="shared" si="107"/>
        <v>0.0170594434274961</v>
      </c>
      <c r="AN124" s="331">
        <f t="shared" si="107"/>
        <v>0.007265702700355203</v>
      </c>
      <c r="AO124" s="331">
        <f t="shared" si="107"/>
        <v>0</v>
      </c>
      <c r="AP124" s="331">
        <f t="shared" si="107"/>
        <v>0</v>
      </c>
      <c r="AQ124" s="331">
        <f t="shared" si="107"/>
        <v>0</v>
      </c>
      <c r="AR124" s="331">
        <f t="shared" si="107"/>
        <v>0</v>
      </c>
      <c r="AS124" s="331">
        <f t="shared" si="107"/>
        <v>0</v>
      </c>
      <c r="AT124" s="331">
        <f t="shared" si="107"/>
        <v>0</v>
      </c>
      <c r="AU124" s="331">
        <f t="shared" si="107"/>
        <v>0</v>
      </c>
      <c r="AV124" s="331">
        <f t="shared" si="107"/>
        <v>0</v>
      </c>
      <c r="AW124" s="331">
        <f t="shared" si="107"/>
        <v>0</v>
      </c>
      <c r="AX124" s="331">
        <f t="shared" si="107"/>
        <v>0</v>
      </c>
      <c r="AY124" s="331">
        <f t="shared" si="107"/>
        <v>0</v>
      </c>
      <c r="AZ124" s="331">
        <f t="shared" si="107"/>
        <v>0</v>
      </c>
      <c r="BA124" s="332">
        <f t="shared" si="107"/>
        <v>0</v>
      </c>
    </row>
    <row r="125" spans="2:53" ht="12.75">
      <c r="B125" s="285">
        <f t="shared" si="61"/>
        <v>62</v>
      </c>
      <c r="C125" s="287">
        <f t="shared" si="58"/>
        <v>0.05</v>
      </c>
      <c r="D125" s="291">
        <f t="shared" si="59"/>
        <v>3.361686884224485E-05</v>
      </c>
      <c r="E125" s="291">
        <f t="shared" si="60"/>
        <v>8.513046520361067E-05</v>
      </c>
      <c r="G125" s="329">
        <f t="shared" si="101"/>
        <v>54</v>
      </c>
      <c r="H125" s="317">
        <f aca="true" t="shared" si="108" ref="H125:AK125">IF(H107&lt;&gt;"",1-H107,"")</f>
        <v>0.9086235084250915</v>
      </c>
      <c r="I125" s="317">
        <f t="shared" si="108"/>
        <v>0.9039618112544741</v>
      </c>
      <c r="J125" s="317">
        <f t="shared" si="108"/>
        <v>0.8983814559934451</v>
      </c>
      <c r="K125" s="317">
        <f t="shared" si="108"/>
        <v>0.8917238090269775</v>
      </c>
      <c r="L125" s="317">
        <f t="shared" si="108"/>
        <v>0.8838042541204083</v>
      </c>
      <c r="M125" s="317">
        <f t="shared" si="108"/>
        <v>0.8744094608498281</v>
      </c>
      <c r="N125" s="317">
        <f t="shared" si="108"/>
        <v>0.8632955245671055</v>
      </c>
      <c r="O125" s="317">
        <f t="shared" si="108"/>
        <v>0.8501877179240604</v>
      </c>
      <c r="P125" s="317">
        <f t="shared" si="108"/>
        <v>0.834782843889773</v>
      </c>
      <c r="Q125" s="317">
        <f t="shared" si="108"/>
        <v>0.8167554152877337</v>
      </c>
      <c r="R125" s="317">
        <f t="shared" si="108"/>
        <v>0.7957690311778811</v>
      </c>
      <c r="S125" s="317">
        <f t="shared" si="108"/>
        <v>0.7714942631623689</v>
      </c>
      <c r="T125" s="317">
        <f t="shared" si="108"/>
        <v>0.7436339637379846</v>
      </c>
      <c r="U125" s="317">
        <f t="shared" si="108"/>
        <v>0.7119560270981298</v>
      </c>
      <c r="V125" s="317">
        <f t="shared" si="108"/>
        <v>0.6763321989519566</v>
      </c>
      <c r="W125" s="317">
        <f t="shared" si="108"/>
        <v>0.636779624223399</v>
      </c>
      <c r="X125" s="317">
        <f t="shared" si="108"/>
        <v>0.593499745647946</v>
      </c>
      <c r="Y125" s="317">
        <f t="shared" si="108"/>
        <v>0.5469074768964692</v>
      </c>
      <c r="Z125" s="317">
        <f t="shared" si="108"/>
        <v>0.49764298387129713</v>
      </c>
      <c r="AA125" s="317">
        <f t="shared" si="108"/>
        <v>0.446559562969136</v>
      </c>
      <c r="AB125" s="317">
        <f t="shared" si="108"/>
        <v>0.3946842730303418</v>
      </c>
      <c r="AC125" s="317">
        <f t="shared" si="108"/>
        <v>0.34315278480426814</v>
      </c>
      <c r="AD125" s="317">
        <f t="shared" si="108"/>
        <v>0.29312529451247027</v>
      </c>
      <c r="AE125" s="317">
        <f t="shared" si="108"/>
        <v>0.24569481825540374</v>
      </c>
      <c r="AF125" s="317">
        <f t="shared" si="108"/>
        <v>0.20180134903267133</v>
      </c>
      <c r="AG125" s="317">
        <f t="shared" si="108"/>
        <v>0.16216447533517697</v>
      </c>
      <c r="AH125" s="317">
        <f t="shared" si="108"/>
        <v>0.1272433515928847</v>
      </c>
      <c r="AI125" s="317">
        <f t="shared" si="108"/>
        <v>0.09722747554880873</v>
      </c>
      <c r="AJ125" s="317">
        <f t="shared" si="108"/>
        <v>0.07205610126618223</v>
      </c>
      <c r="AK125" s="317">
        <f t="shared" si="108"/>
        <v>0.05145970041514869</v>
      </c>
      <c r="AL125" s="330">
        <f aca="true" t="shared" si="109" ref="AL125:BA125">IF(AL107&lt;&gt;"",1-AL107,0)</f>
        <v>0.03501451015702828</v>
      </c>
      <c r="AM125" s="331">
        <f t="shared" si="109"/>
        <v>0.02220098883945787</v>
      </c>
      <c r="AN125" s="331">
        <f t="shared" si="109"/>
        <v>0.01245847701152647</v>
      </c>
      <c r="AO125" s="331">
        <f t="shared" si="109"/>
        <v>0.005230779600640556</v>
      </c>
      <c r="AP125" s="331">
        <f t="shared" si="109"/>
        <v>0</v>
      </c>
      <c r="AQ125" s="331">
        <f t="shared" si="109"/>
        <v>0</v>
      </c>
      <c r="AR125" s="331">
        <f t="shared" si="109"/>
        <v>0</v>
      </c>
      <c r="AS125" s="331">
        <f t="shared" si="109"/>
        <v>0</v>
      </c>
      <c r="AT125" s="331">
        <f t="shared" si="109"/>
        <v>0</v>
      </c>
      <c r="AU125" s="331">
        <f t="shared" si="109"/>
        <v>0</v>
      </c>
      <c r="AV125" s="331">
        <f t="shared" si="109"/>
        <v>0</v>
      </c>
      <c r="AW125" s="331">
        <f t="shared" si="109"/>
        <v>0</v>
      </c>
      <c r="AX125" s="331">
        <f t="shared" si="109"/>
        <v>0</v>
      </c>
      <c r="AY125" s="331">
        <f t="shared" si="109"/>
        <v>0</v>
      </c>
      <c r="AZ125" s="331">
        <f t="shared" si="109"/>
        <v>0</v>
      </c>
      <c r="BA125" s="332">
        <f t="shared" si="109"/>
        <v>0</v>
      </c>
    </row>
    <row r="126" spans="2:53" ht="12.75">
      <c r="B126" s="285">
        <f t="shared" si="61"/>
        <v>63</v>
      </c>
      <c r="C126" s="287">
        <f t="shared" si="58"/>
        <v>0.05</v>
      </c>
      <c r="D126" s="291">
        <f t="shared" si="59"/>
        <v>1.839753801815086E-05</v>
      </c>
      <c r="E126" s="291">
        <f t="shared" si="60"/>
        <v>4.6589436316511794E-05</v>
      </c>
      <c r="G126" s="329">
        <f t="shared" si="101"/>
        <v>55</v>
      </c>
      <c r="H126" s="317">
        <f aca="true" t="shared" si="110" ref="H126:AK126">IF(H108&lt;&gt;"",1-H108,"")</f>
        <v>0.9089596094305744</v>
      </c>
      <c r="I126" s="317">
        <f t="shared" si="110"/>
        <v>0.9043150589141926</v>
      </c>
      <c r="J126" s="317">
        <f t="shared" si="110"/>
        <v>0.8987552293155288</v>
      </c>
      <c r="K126" s="317">
        <f t="shared" si="110"/>
        <v>0.8921220705057086</v>
      </c>
      <c r="L126" s="317">
        <f t="shared" si="110"/>
        <v>0.8842316453054917</v>
      </c>
      <c r="M126" s="317">
        <f t="shared" si="110"/>
        <v>0.8748714079629203</v>
      </c>
      <c r="N126" s="317">
        <f t="shared" si="110"/>
        <v>0.8637983509599239</v>
      </c>
      <c r="O126" s="317">
        <f t="shared" si="110"/>
        <v>0.8507387574504373</v>
      </c>
      <c r="P126" s="317">
        <f t="shared" si="110"/>
        <v>0.8353905456228402</v>
      </c>
      <c r="Q126" s="317">
        <f t="shared" si="110"/>
        <v>0.8174294255075352</v>
      </c>
      <c r="R126" s="317">
        <f t="shared" si="110"/>
        <v>0.796520233514377</v>
      </c>
      <c r="S126" s="317">
        <f t="shared" si="110"/>
        <v>0.7723347529490313</v>
      </c>
      <c r="T126" s="317">
        <f t="shared" si="110"/>
        <v>0.7445769292762128</v>
      </c>
      <c r="U126" s="317">
        <f t="shared" si="110"/>
        <v>0.7130155104208863</v>
      </c>
      <c r="V126" s="317">
        <f t="shared" si="110"/>
        <v>0.6775227138371285</v>
      </c>
      <c r="W126" s="317">
        <f t="shared" si="110"/>
        <v>0.6381156213864145</v>
      </c>
      <c r="X126" s="317">
        <f t="shared" si="110"/>
        <v>0.5949949348575776</v>
      </c>
      <c r="Y126" s="317">
        <f t="shared" si="110"/>
        <v>0.5485740417860507</v>
      </c>
      <c r="Z126" s="317">
        <f t="shared" si="110"/>
        <v>0.4994907534159818</v>
      </c>
      <c r="AA126" s="317">
        <f t="shared" si="110"/>
        <v>0.448595227549325</v>
      </c>
      <c r="AB126" s="317">
        <f t="shared" si="110"/>
        <v>0.3969107452986752</v>
      </c>
      <c r="AC126" s="317">
        <f t="shared" si="110"/>
        <v>0.345568800189308</v>
      </c>
      <c r="AD126" s="317">
        <f t="shared" si="110"/>
        <v>0.29572532100911075</v>
      </c>
      <c r="AE126" s="317">
        <f t="shared" si="110"/>
        <v>0.24846930352678787</v>
      </c>
      <c r="AF126" s="317">
        <f t="shared" si="110"/>
        <v>0.20473728325975105</v>
      </c>
      <c r="AG126" s="317">
        <f t="shared" si="110"/>
        <v>0.16524620190856276</v>
      </c>
      <c r="AH126" s="317">
        <f t="shared" si="110"/>
        <v>0.13045352504139218</v>
      </c>
      <c r="AI126" s="317">
        <f t="shared" si="110"/>
        <v>0.10054805339066719</v>
      </c>
      <c r="AJ126" s="317">
        <f t="shared" si="110"/>
        <v>0.07546926445532165</v>
      </c>
      <c r="AK126" s="317">
        <f t="shared" si="110"/>
        <v>0.054948621284584775</v>
      </c>
      <c r="AL126" s="330">
        <f aca="true" t="shared" si="111" ref="AL126:BA126">IF(AL108&lt;&gt;"",1-AL108,0)</f>
        <v>0.038563919724222906</v>
      </c>
      <c r="AM126" s="331">
        <f t="shared" si="111"/>
        <v>0.025797529099945482</v>
      </c>
      <c r="AN126" s="331">
        <f t="shared" si="111"/>
        <v>0.01609085217839823</v>
      </c>
      <c r="AO126" s="331">
        <f t="shared" si="111"/>
        <v>0.00888973968366813</v>
      </c>
      <c r="AP126" s="331">
        <f t="shared" si="111"/>
        <v>0.0036781999362209827</v>
      </c>
      <c r="AQ126" s="331">
        <f t="shared" si="111"/>
        <v>0</v>
      </c>
      <c r="AR126" s="331">
        <f t="shared" si="111"/>
        <v>0</v>
      </c>
      <c r="AS126" s="331">
        <f t="shared" si="111"/>
        <v>0</v>
      </c>
      <c r="AT126" s="331">
        <f t="shared" si="111"/>
        <v>0</v>
      </c>
      <c r="AU126" s="331">
        <f t="shared" si="111"/>
        <v>0</v>
      </c>
      <c r="AV126" s="331">
        <f t="shared" si="111"/>
        <v>0</v>
      </c>
      <c r="AW126" s="331">
        <f t="shared" si="111"/>
        <v>0</v>
      </c>
      <c r="AX126" s="331">
        <f t="shared" si="111"/>
        <v>0</v>
      </c>
      <c r="AY126" s="331">
        <f t="shared" si="111"/>
        <v>0</v>
      </c>
      <c r="AZ126" s="331">
        <f t="shared" si="111"/>
        <v>0</v>
      </c>
      <c r="BA126" s="332">
        <f t="shared" si="111"/>
        <v>0</v>
      </c>
    </row>
    <row r="127" spans="2:53" ht="12.75">
      <c r="B127" s="285">
        <f t="shared" si="61"/>
        <v>64</v>
      </c>
      <c r="C127" s="287">
        <f t="shared" si="58"/>
        <v>0.05</v>
      </c>
      <c r="D127" s="291">
        <f t="shared" si="59"/>
        <v>9.746513714445455E-06</v>
      </c>
      <c r="E127" s="291">
        <f t="shared" si="60"/>
        <v>2.468181229244746E-05</v>
      </c>
      <c r="G127" s="329">
        <f t="shared" si="101"/>
        <v>56</v>
      </c>
      <c r="H127" s="317">
        <f aca="true" t="shared" si="112" ref="H127:AK127">IF(H109&lt;&gt;"",1-H109,"")</f>
        <v>0.9091894167692351</v>
      </c>
      <c r="I127" s="317">
        <f t="shared" si="112"/>
        <v>0.9045565901897429</v>
      </c>
      <c r="J127" s="317">
        <f t="shared" si="112"/>
        <v>0.8990107949074466</v>
      </c>
      <c r="K127" s="317">
        <f t="shared" si="112"/>
        <v>0.8923943797491362</v>
      </c>
      <c r="L127" s="317">
        <f t="shared" si="112"/>
        <v>0.8845238718362334</v>
      </c>
      <c r="M127" s="317">
        <f t="shared" si="112"/>
        <v>0.8751872619322029</v>
      </c>
      <c r="N127" s="317">
        <f t="shared" si="112"/>
        <v>0.8641421559270523</v>
      </c>
      <c r="O127" s="317">
        <f t="shared" si="112"/>
        <v>0.8511155279003546</v>
      </c>
      <c r="P127" s="317">
        <f t="shared" si="112"/>
        <v>0.8358060585659657</v>
      </c>
      <c r="Q127" s="317">
        <f t="shared" si="112"/>
        <v>0.8178902765383737</v>
      </c>
      <c r="R127" s="317">
        <f t="shared" si="112"/>
        <v>0.7970338642590923</v>
      </c>
      <c r="S127" s="317">
        <f t="shared" si="112"/>
        <v>0.772909433529849</v>
      </c>
      <c r="T127" s="317">
        <f t="shared" si="112"/>
        <v>0.7452216771265727</v>
      </c>
      <c r="U127" s="317">
        <f t="shared" si="112"/>
        <v>0.7137399267088059</v>
      </c>
      <c r="V127" s="317">
        <f t="shared" si="112"/>
        <v>0.6783367222837977</v>
      </c>
      <c r="W127" s="317">
        <f t="shared" si="112"/>
        <v>0.6390291025943915</v>
      </c>
      <c r="X127" s="317">
        <f t="shared" si="112"/>
        <v>0.5960172628109432</v>
      </c>
      <c r="Y127" s="317">
        <f t="shared" si="112"/>
        <v>0.5497135469816086</v>
      </c>
      <c r="Z127" s="317">
        <f t="shared" si="112"/>
        <v>0.5007541563650806</v>
      </c>
      <c r="AA127" s="317">
        <f t="shared" si="112"/>
        <v>0.44998710276524945</v>
      </c>
      <c r="AB127" s="317">
        <f t="shared" si="112"/>
        <v>0.39843308429272917</v>
      </c>
      <c r="AC127" s="317">
        <f t="shared" si="112"/>
        <v>0.34722073831725686</v>
      </c>
      <c r="AD127" s="317">
        <f t="shared" si="112"/>
        <v>0.29750307579083646</v>
      </c>
      <c r="AE127" s="317">
        <f t="shared" si="112"/>
        <v>0.2503663436009579</v>
      </c>
      <c r="AF127" s="317">
        <f t="shared" si="112"/>
        <v>0.20674471322931764</v>
      </c>
      <c r="AG127" s="317">
        <f t="shared" si="112"/>
        <v>0.16735331664715758</v>
      </c>
      <c r="AH127" s="317">
        <f t="shared" si="112"/>
        <v>0.1326484646720565</v>
      </c>
      <c r="AI127" s="317">
        <f t="shared" si="112"/>
        <v>0.10281848145902883</v>
      </c>
      <c r="AJ127" s="317">
        <f t="shared" si="112"/>
        <v>0.07780299728002293</v>
      </c>
      <c r="AK127" s="317">
        <f t="shared" si="112"/>
        <v>0.05733415303463307</v>
      </c>
      <c r="AL127" s="330">
        <f aca="true" t="shared" si="113" ref="AL127:BA127">IF(AL109&lt;&gt;"",1-AL109,0)</f>
        <v>0.040990810311121395</v>
      </c>
      <c r="AM127" s="331">
        <f t="shared" si="113"/>
        <v>0.02825664505665315</v>
      </c>
      <c r="AN127" s="331">
        <f t="shared" si="113"/>
        <v>0.018574470068551396</v>
      </c>
      <c r="AO127" s="331">
        <f t="shared" si="113"/>
        <v>0.011391534873890663</v>
      </c>
      <c r="AP127" s="331">
        <f t="shared" si="113"/>
        <v>0.006193150277384762</v>
      </c>
      <c r="AQ127" s="331">
        <f t="shared" si="113"/>
        <v>0.00252423498211396</v>
      </c>
      <c r="AR127" s="331">
        <f t="shared" si="113"/>
        <v>0</v>
      </c>
      <c r="AS127" s="331">
        <f t="shared" si="113"/>
        <v>0</v>
      </c>
      <c r="AT127" s="331">
        <f t="shared" si="113"/>
        <v>0</v>
      </c>
      <c r="AU127" s="331">
        <f t="shared" si="113"/>
        <v>0</v>
      </c>
      <c r="AV127" s="331">
        <f t="shared" si="113"/>
        <v>0</v>
      </c>
      <c r="AW127" s="331">
        <f t="shared" si="113"/>
        <v>0</v>
      </c>
      <c r="AX127" s="331">
        <f t="shared" si="113"/>
        <v>0</v>
      </c>
      <c r="AY127" s="331">
        <f t="shared" si="113"/>
        <v>0</v>
      </c>
      <c r="AZ127" s="331">
        <f t="shared" si="113"/>
        <v>0</v>
      </c>
      <c r="BA127" s="332">
        <f t="shared" si="113"/>
        <v>0</v>
      </c>
    </row>
    <row r="128" spans="2:53" ht="12.75">
      <c r="B128" s="285">
        <f t="shared" si="61"/>
        <v>65</v>
      </c>
      <c r="C128" s="287">
        <f t="shared" si="58"/>
        <v>0.05</v>
      </c>
      <c r="D128" s="291">
        <f t="shared" si="59"/>
        <v>4.993386105586448E-06</v>
      </c>
      <c r="E128" s="291">
        <f t="shared" si="60"/>
        <v>1.264511826204435E-05</v>
      </c>
      <c r="G128" s="329">
        <f t="shared" si="101"/>
        <v>57</v>
      </c>
      <c r="H128" s="317">
        <f aca="true" t="shared" si="114" ref="H128:AK128">IF(H110&lt;&gt;"",1-H110,"")</f>
        <v>0.9093428162148919</v>
      </c>
      <c r="I128" s="317">
        <f t="shared" si="114"/>
        <v>0.9047178155187255</v>
      </c>
      <c r="J128" s="317">
        <f t="shared" si="114"/>
        <v>0.8991813883286909</v>
      </c>
      <c r="K128" s="317">
        <f t="shared" si="114"/>
        <v>0.8925761497797733</v>
      </c>
      <c r="L128" s="317">
        <f t="shared" si="114"/>
        <v>0.8847189369202434</v>
      </c>
      <c r="M128" s="317">
        <f t="shared" si="114"/>
        <v>0.8753980986447241</v>
      </c>
      <c r="N128" s="317">
        <f t="shared" si="114"/>
        <v>0.8643716503012483</v>
      </c>
      <c r="O128" s="317">
        <f t="shared" si="114"/>
        <v>0.8513670271714137</v>
      </c>
      <c r="P128" s="317">
        <f t="shared" si="114"/>
        <v>0.8360834189649423</v>
      </c>
      <c r="Q128" s="317">
        <f t="shared" si="114"/>
        <v>0.8181979007120532</v>
      </c>
      <c r="R128" s="317">
        <f t="shared" si="114"/>
        <v>0.7973767195916105</v>
      </c>
      <c r="S128" s="317">
        <f t="shared" si="114"/>
        <v>0.7732930404374478</v>
      </c>
      <c r="T128" s="317">
        <f t="shared" si="114"/>
        <v>0.745652054865639</v>
      </c>
      <c r="U128" s="317">
        <f t="shared" si="114"/>
        <v>0.7142234841862967</v>
      </c>
      <c r="V128" s="317">
        <f t="shared" si="114"/>
        <v>0.6788800837151898</v>
      </c>
      <c r="W128" s="317">
        <f t="shared" si="114"/>
        <v>0.6396388634129024</v>
      </c>
      <c r="X128" s="317">
        <f t="shared" si="114"/>
        <v>0.5966996802752408</v>
      </c>
      <c r="Y128" s="317">
        <f t="shared" si="114"/>
        <v>0.550474181808766</v>
      </c>
      <c r="Z128" s="317">
        <f t="shared" si="114"/>
        <v>0.5015974945855327</v>
      </c>
      <c r="AA128" s="317">
        <f t="shared" si="114"/>
        <v>0.4509161979272692</v>
      </c>
      <c r="AB128" s="317">
        <f t="shared" si="114"/>
        <v>0.39944926575651807</v>
      </c>
      <c r="AC128" s="317">
        <f t="shared" si="114"/>
        <v>0.3483234289213235</v>
      </c>
      <c r="AD128" s="317">
        <f t="shared" si="114"/>
        <v>0.29868975067954895</v>
      </c>
      <c r="AE128" s="317">
        <f t="shared" si="114"/>
        <v>0.2516326430040249</v>
      </c>
      <c r="AF128" s="317">
        <f t="shared" si="114"/>
        <v>0.2080846993512624</v>
      </c>
      <c r="AG128" s="317">
        <f t="shared" si="114"/>
        <v>0.16875984367418595</v>
      </c>
      <c r="AH128" s="317">
        <f t="shared" si="114"/>
        <v>0.13411361597904414</v>
      </c>
      <c r="AI128" s="317">
        <f t="shared" si="114"/>
        <v>0.10433402229910871</v>
      </c>
      <c r="AJ128" s="317">
        <f t="shared" si="114"/>
        <v>0.07936079488434078</v>
      </c>
      <c r="AK128" s="317">
        <f t="shared" si="114"/>
        <v>0.05892652710844126</v>
      </c>
      <c r="AL128" s="330">
        <f aca="true" t="shared" si="115" ref="AL128:BA128">IF(AL110&lt;&gt;"",1-AL110,0)</f>
        <v>0.04261079195691919</v>
      </c>
      <c r="AM128" s="331">
        <f t="shared" si="115"/>
        <v>0.029898137564086658</v>
      </c>
      <c r="AN128" s="331">
        <f t="shared" si="115"/>
        <v>0.02023231794143987</v>
      </c>
      <c r="AO128" s="331">
        <f t="shared" si="115"/>
        <v>0.013061516335594936</v>
      </c>
      <c r="AP128" s="331">
        <f t="shared" si="115"/>
        <v>0.007871912976771256</v>
      </c>
      <c r="AQ128" s="331">
        <f t="shared" si="115"/>
        <v>0.004209195302443236</v>
      </c>
      <c r="AR128" s="331">
        <f t="shared" si="115"/>
        <v>0.0016892243194490675</v>
      </c>
      <c r="AS128" s="331">
        <f t="shared" si="115"/>
        <v>0</v>
      </c>
      <c r="AT128" s="331">
        <f t="shared" si="115"/>
        <v>0</v>
      </c>
      <c r="AU128" s="331">
        <f t="shared" si="115"/>
        <v>0</v>
      </c>
      <c r="AV128" s="331">
        <f t="shared" si="115"/>
        <v>0</v>
      </c>
      <c r="AW128" s="331">
        <f t="shared" si="115"/>
        <v>0</v>
      </c>
      <c r="AX128" s="331">
        <f t="shared" si="115"/>
        <v>0</v>
      </c>
      <c r="AY128" s="331">
        <f t="shared" si="115"/>
        <v>0</v>
      </c>
      <c r="AZ128" s="331">
        <f t="shared" si="115"/>
        <v>0</v>
      </c>
      <c r="BA128" s="332">
        <f t="shared" si="115"/>
        <v>0</v>
      </c>
    </row>
    <row r="129" spans="7:53" ht="12.75">
      <c r="G129" s="329">
        <f t="shared" si="101"/>
        <v>58</v>
      </c>
      <c r="H129" s="317">
        <f aca="true" t="shared" si="116" ref="H129:AK129">IF(H111&lt;&gt;"",1-H111,"")</f>
        <v>0.9094426643472384</v>
      </c>
      <c r="I129" s="317">
        <f t="shared" si="116"/>
        <v>0.9048227575406276</v>
      </c>
      <c r="J129" s="317">
        <f t="shared" si="116"/>
        <v>0.8992924280682996</v>
      </c>
      <c r="K129" s="317">
        <f t="shared" si="116"/>
        <v>0.8926944644059963</v>
      </c>
      <c r="L129" s="317">
        <f t="shared" si="116"/>
        <v>0.8848459053342493</v>
      </c>
      <c r="M129" s="317">
        <f t="shared" si="116"/>
        <v>0.8755353328562637</v>
      </c>
      <c r="N129" s="317">
        <f t="shared" si="116"/>
        <v>0.8645210288374575</v>
      </c>
      <c r="O129" s="317">
        <f t="shared" si="116"/>
        <v>0.8515307287571284</v>
      </c>
      <c r="P129" s="317">
        <f t="shared" si="116"/>
        <v>0.836263953631845</v>
      </c>
      <c r="Q129" s="317">
        <f t="shared" si="116"/>
        <v>0.8183981341553688</v>
      </c>
      <c r="R129" s="317">
        <f t="shared" si="116"/>
        <v>0.7975998850956998</v>
      </c>
      <c r="S129" s="317">
        <f t="shared" si="116"/>
        <v>0.7735427312568312</v>
      </c>
      <c r="T129" s="317">
        <f t="shared" si="116"/>
        <v>0.7459321889512958</v>
      </c>
      <c r="U129" s="317">
        <f t="shared" si="116"/>
        <v>0.7145382331138628</v>
      </c>
      <c r="V129" s="317">
        <f t="shared" si="116"/>
        <v>0.6792337592052241</v>
      </c>
      <c r="W129" s="317">
        <f t="shared" si="116"/>
        <v>0.6400357584515108</v>
      </c>
      <c r="X129" s="317">
        <f t="shared" si="116"/>
        <v>0.5971438677297589</v>
      </c>
      <c r="Y129" s="317">
        <f t="shared" si="116"/>
        <v>0.5509692811656393</v>
      </c>
      <c r="Z129" s="317">
        <f t="shared" si="116"/>
        <v>0.5021464258146391</v>
      </c>
      <c r="AA129" s="317">
        <f t="shared" si="116"/>
        <v>0.45152094859180203</v>
      </c>
      <c r="AB129" s="317">
        <f t="shared" si="116"/>
        <v>0.4001107011407863</v>
      </c>
      <c r="AC129" s="317">
        <f t="shared" si="116"/>
        <v>0.34904117334928264</v>
      </c>
      <c r="AD129" s="317">
        <f t="shared" si="116"/>
        <v>0.29946216071553833</v>
      </c>
      <c r="AE129" s="317">
        <f t="shared" si="116"/>
        <v>0.25245688086125095</v>
      </c>
      <c r="AF129" s="317">
        <f t="shared" si="116"/>
        <v>0.20895690010188228</v>
      </c>
      <c r="AG129" s="317">
        <f t="shared" si="116"/>
        <v>0.1696753560878227</v>
      </c>
      <c r="AH129" s="317">
        <f t="shared" si="116"/>
        <v>0.1350672871020493</v>
      </c>
      <c r="AI129" s="317">
        <f t="shared" si="116"/>
        <v>0.1053204921114933</v>
      </c>
      <c r="AJ129" s="317">
        <f t="shared" si="116"/>
        <v>0.08037476974389235</v>
      </c>
      <c r="AK129" s="317">
        <f t="shared" si="116"/>
        <v>0.059963007889620945</v>
      </c>
      <c r="AL129" s="330">
        <f aca="true" t="shared" si="117" ref="AL129:BA129">IF(AL111&lt;&gt;"",1-AL111,0)</f>
        <v>0.04366524258466509</v>
      </c>
      <c r="AM129" s="331">
        <f t="shared" si="117"/>
        <v>0.030966589672413503</v>
      </c>
      <c r="AN129" s="331">
        <f t="shared" si="117"/>
        <v>0.02131141580332563</v>
      </c>
      <c r="AO129" s="331">
        <f t="shared" si="117"/>
        <v>0.014148511984703682</v>
      </c>
      <c r="AP129" s="331">
        <f t="shared" si="117"/>
        <v>0.008964624358283824</v>
      </c>
      <c r="AQ129" s="331">
        <f t="shared" si="117"/>
        <v>0.005305940732928338</v>
      </c>
      <c r="AR129" s="331">
        <f t="shared" si="117"/>
        <v>0.002788745199001852</v>
      </c>
      <c r="AS129" s="331">
        <f t="shared" si="117"/>
        <v>0.001101381359730591</v>
      </c>
      <c r="AT129" s="331">
        <f t="shared" si="117"/>
        <v>0</v>
      </c>
      <c r="AU129" s="331">
        <f t="shared" si="117"/>
        <v>0</v>
      </c>
      <c r="AV129" s="331">
        <f t="shared" si="117"/>
        <v>0</v>
      </c>
      <c r="AW129" s="331">
        <f t="shared" si="117"/>
        <v>0</v>
      </c>
      <c r="AX129" s="331">
        <f t="shared" si="117"/>
        <v>0</v>
      </c>
      <c r="AY129" s="331">
        <f t="shared" si="117"/>
        <v>0</v>
      </c>
      <c r="AZ129" s="331">
        <f t="shared" si="117"/>
        <v>0</v>
      </c>
      <c r="BA129" s="332">
        <f t="shared" si="117"/>
        <v>0</v>
      </c>
    </row>
    <row r="130" spans="7:53" ht="12.75">
      <c r="G130" s="329">
        <f t="shared" si="101"/>
        <v>59</v>
      </c>
      <c r="H130" s="317">
        <f aca="true" t="shared" si="118" ref="H130:AK130">IF(H112&lt;&gt;"",1-H112,"")</f>
        <v>0.9095059676870166</v>
      </c>
      <c r="I130" s="317">
        <f t="shared" si="118"/>
        <v>0.9048892903871951</v>
      </c>
      <c r="J130" s="317">
        <f t="shared" si="118"/>
        <v>0.8993628268449229</v>
      </c>
      <c r="K130" s="317">
        <f t="shared" si="118"/>
        <v>0.8927694754333285</v>
      </c>
      <c r="L130" s="317">
        <f t="shared" si="118"/>
        <v>0.884926402830437</v>
      </c>
      <c r="M130" s="317">
        <f t="shared" si="118"/>
        <v>0.8756223388294163</v>
      </c>
      <c r="N130" s="317">
        <f t="shared" si="118"/>
        <v>0.8646157342667027</v>
      </c>
      <c r="O130" s="317">
        <f t="shared" si="118"/>
        <v>0.8516345149458049</v>
      </c>
      <c r="P130" s="317">
        <f t="shared" si="118"/>
        <v>0.8363784119305843</v>
      </c>
      <c r="Q130" s="317">
        <f t="shared" si="118"/>
        <v>0.8185250814041481</v>
      </c>
      <c r="R130" s="317">
        <f t="shared" si="118"/>
        <v>0.7977413711846241</v>
      </c>
      <c r="S130" s="317">
        <f t="shared" si="118"/>
        <v>0.7737010342957307</v>
      </c>
      <c r="T130" s="317">
        <f t="shared" si="118"/>
        <v>0.7461097929063323</v>
      </c>
      <c r="U130" s="317">
        <f t="shared" si="118"/>
        <v>0.714737782748275</v>
      </c>
      <c r="V130" s="317">
        <f t="shared" si="118"/>
        <v>0.6794579881336043</v>
      </c>
      <c r="W130" s="317">
        <f t="shared" si="118"/>
        <v>0.6402873884108782</v>
      </c>
      <c r="X130" s="317">
        <f t="shared" si="118"/>
        <v>0.5974254809026619</v>
      </c>
      <c r="Y130" s="317">
        <f t="shared" si="118"/>
        <v>0.5512831722928495</v>
      </c>
      <c r="Z130" s="317">
        <f t="shared" si="118"/>
        <v>0.5024944461460594</v>
      </c>
      <c r="AA130" s="317">
        <f t="shared" si="118"/>
        <v>0.45190435823500996</v>
      </c>
      <c r="AB130" s="317">
        <f t="shared" si="118"/>
        <v>0.4005300486827741</v>
      </c>
      <c r="AC130" s="317">
        <f t="shared" si="118"/>
        <v>0.34949622061285335</v>
      </c>
      <c r="AD130" s="317">
        <f t="shared" si="118"/>
        <v>0.29995186576867405</v>
      </c>
      <c r="AE130" s="317">
        <f t="shared" si="118"/>
        <v>0.2529794445578144</v>
      </c>
      <c r="AF130" s="317">
        <f t="shared" si="118"/>
        <v>0.2095098720921803</v>
      </c>
      <c r="AG130" s="317">
        <f t="shared" si="118"/>
        <v>0.17025578750931758</v>
      </c>
      <c r="AH130" s="317">
        <f t="shared" si="118"/>
        <v>0.1356719110015392</v>
      </c>
      <c r="AI130" s="317">
        <f t="shared" si="118"/>
        <v>0.10594591025649658</v>
      </c>
      <c r="AJ130" s="317">
        <f t="shared" si="118"/>
        <v>0.08101762598518747</v>
      </c>
      <c r="AK130" s="317">
        <f t="shared" si="118"/>
        <v>0.06062013280044809</v>
      </c>
      <c r="AL130" s="330">
        <f aca="true" t="shared" si="119" ref="AL130:BA130">IF(AL112&lt;&gt;"",1-AL112,0)</f>
        <v>0.044333760310522496</v>
      </c>
      <c r="AM130" s="331">
        <f t="shared" si="119"/>
        <v>0.03164398428421544</v>
      </c>
      <c r="AN130" s="331">
        <f t="shared" si="119"/>
        <v>0.021995559782781227</v>
      </c>
      <c r="AO130" s="331">
        <f t="shared" si="119"/>
        <v>0.014837663131507584</v>
      </c>
      <c r="AP130" s="331">
        <f t="shared" si="119"/>
        <v>0.009657399257900545</v>
      </c>
      <c r="AQ130" s="331">
        <f t="shared" si="119"/>
        <v>0.0060012732043972505</v>
      </c>
      <c r="AR130" s="331">
        <f t="shared" si="119"/>
        <v>0.0034858372947246252</v>
      </c>
      <c r="AS130" s="331">
        <f t="shared" si="119"/>
        <v>0.001799652992877654</v>
      </c>
      <c r="AT130" s="331">
        <f t="shared" si="119"/>
        <v>0.0006990415444738662</v>
      </c>
      <c r="AU130" s="331">
        <f t="shared" si="119"/>
        <v>0</v>
      </c>
      <c r="AV130" s="331">
        <f t="shared" si="119"/>
        <v>0</v>
      </c>
      <c r="AW130" s="331">
        <f t="shared" si="119"/>
        <v>0</v>
      </c>
      <c r="AX130" s="331">
        <f t="shared" si="119"/>
        <v>0</v>
      </c>
      <c r="AY130" s="331">
        <f t="shared" si="119"/>
        <v>0</v>
      </c>
      <c r="AZ130" s="331">
        <f t="shared" si="119"/>
        <v>0</v>
      </c>
      <c r="BA130" s="332">
        <f t="shared" si="119"/>
        <v>0</v>
      </c>
    </row>
    <row r="131" spans="7:53" ht="12.75">
      <c r="G131" s="329">
        <f t="shared" si="101"/>
        <v>60</v>
      </c>
      <c r="H131" s="317">
        <f aca="true" t="shared" si="120" ref="H131:AK131">IF(H113&lt;&gt;"",1-H113,"")</f>
        <v>0.909545017358862</v>
      </c>
      <c r="I131" s="317">
        <f t="shared" si="120"/>
        <v>0.904930332231662</v>
      </c>
      <c r="J131" s="317">
        <f t="shared" si="120"/>
        <v>0.8994062534498238</v>
      </c>
      <c r="K131" s="317">
        <f t="shared" si="120"/>
        <v>0.8928157471784272</v>
      </c>
      <c r="L131" s="317">
        <f t="shared" si="120"/>
        <v>0.8849760589910995</v>
      </c>
      <c r="M131" s="317">
        <f t="shared" si="120"/>
        <v>0.875676009847598</v>
      </c>
      <c r="N131" s="317">
        <f t="shared" si="120"/>
        <v>0.8646741548168184</v>
      </c>
      <c r="O131" s="317">
        <f t="shared" si="120"/>
        <v>0.8516985371067858</v>
      </c>
      <c r="P131" s="317">
        <f t="shared" si="120"/>
        <v>0.8364490173523742</v>
      </c>
      <c r="Q131" s="317">
        <f t="shared" si="120"/>
        <v>0.8186033908333802</v>
      </c>
      <c r="R131" s="317">
        <f t="shared" si="120"/>
        <v>0.7978286491286084</v>
      </c>
      <c r="S131" s="317">
        <f t="shared" si="120"/>
        <v>0.7737986860427446</v>
      </c>
      <c r="T131" s="317">
        <f t="shared" si="120"/>
        <v>0.7462193507304048</v>
      </c>
      <c r="U131" s="317">
        <f t="shared" si="120"/>
        <v>0.7148608781136692</v>
      </c>
      <c r="V131" s="317">
        <f t="shared" si="120"/>
        <v>0.6795963073139535</v>
      </c>
      <c r="W131" s="317">
        <f t="shared" si="120"/>
        <v>0.6404426103529461</v>
      </c>
      <c r="X131" s="317">
        <f t="shared" si="120"/>
        <v>0.5975991984668177</v>
      </c>
      <c r="Y131" s="317">
        <f t="shared" si="120"/>
        <v>0.551476801026431</v>
      </c>
      <c r="Z131" s="317">
        <f t="shared" si="120"/>
        <v>0.5027091280220095</v>
      </c>
      <c r="AA131" s="317">
        <f t="shared" si="120"/>
        <v>0.45214087057072694</v>
      </c>
      <c r="AB131" s="317">
        <f t="shared" si="120"/>
        <v>0.4007887298828683</v>
      </c>
      <c r="AC131" s="317">
        <f t="shared" si="120"/>
        <v>0.3497769237539332</v>
      </c>
      <c r="AD131" s="317">
        <f t="shared" si="120"/>
        <v>0.30025394811840456</v>
      </c>
      <c r="AE131" s="317">
        <f t="shared" si="120"/>
        <v>0.2533017962842893</v>
      </c>
      <c r="AF131" s="317">
        <f t="shared" si="120"/>
        <v>0.2098509816582238</v>
      </c>
      <c r="AG131" s="317">
        <f t="shared" si="120"/>
        <v>0.17061383586217804</v>
      </c>
      <c r="AH131" s="317">
        <f t="shared" si="120"/>
        <v>0.13604488286918015</v>
      </c>
      <c r="AI131" s="317">
        <f t="shared" si="120"/>
        <v>0.10633170938517011</v>
      </c>
      <c r="AJ131" s="317">
        <f t="shared" si="120"/>
        <v>0.08141418208087392</v>
      </c>
      <c r="AK131" s="317">
        <f t="shared" si="120"/>
        <v>0.06102549075184782</v>
      </c>
      <c r="AL131" s="330">
        <f aca="true" t="shared" si="121" ref="AL131:BA131">IF(AL113&lt;&gt;"",1-AL113,0)</f>
        <v>0.044746146101051765</v>
      </c>
      <c r="AM131" s="331">
        <f t="shared" si="121"/>
        <v>0.032061845923007315</v>
      </c>
      <c r="AN131" s="331">
        <f t="shared" si="121"/>
        <v>0.022417584876344376</v>
      </c>
      <c r="AO131" s="331">
        <f t="shared" si="121"/>
        <v>0.015262776975877745</v>
      </c>
      <c r="AP131" s="331">
        <f t="shared" si="121"/>
        <v>0.01008474847182117</v>
      </c>
      <c r="AQ131" s="331">
        <f t="shared" si="121"/>
        <v>0.006430200097187533</v>
      </c>
      <c r="AR131" s="331">
        <f t="shared" si="121"/>
        <v>0.003915849639718805</v>
      </c>
      <c r="AS131" s="331">
        <f t="shared" si="121"/>
        <v>0.0022303929542900613</v>
      </c>
      <c r="AT131" s="331">
        <f t="shared" si="121"/>
        <v>0.0011302564379319646</v>
      </c>
      <c r="AU131" s="331">
        <f t="shared" si="121"/>
        <v>0.00043151654144768514</v>
      </c>
      <c r="AV131" s="331">
        <f t="shared" si="121"/>
        <v>0</v>
      </c>
      <c r="AW131" s="331">
        <f t="shared" si="121"/>
        <v>0</v>
      </c>
      <c r="AX131" s="331">
        <f t="shared" si="121"/>
        <v>0</v>
      </c>
      <c r="AY131" s="331">
        <f t="shared" si="121"/>
        <v>0</v>
      </c>
      <c r="AZ131" s="331">
        <f t="shared" si="121"/>
        <v>0</v>
      </c>
      <c r="BA131" s="332">
        <f t="shared" si="121"/>
        <v>0</v>
      </c>
    </row>
    <row r="132" spans="7:53" ht="12.75">
      <c r="G132" s="329">
        <f t="shared" si="101"/>
        <v>61</v>
      </c>
      <c r="H132" s="317">
        <f aca="true" t="shared" si="122" ref="H132:AK132">IF(H114&lt;&gt;"",1-H114,"")</f>
        <v>0.9095684305328211</v>
      </c>
      <c r="I132" s="317">
        <f t="shared" si="122"/>
        <v>0.9049549398608351</v>
      </c>
      <c r="J132" s="317">
        <f t="shared" si="122"/>
        <v>0.8994322909197167</v>
      </c>
      <c r="K132" s="317">
        <f t="shared" si="122"/>
        <v>0.892843490520847</v>
      </c>
      <c r="L132" s="317">
        <f t="shared" si="122"/>
        <v>0.8850058315416177</v>
      </c>
      <c r="M132" s="317">
        <f t="shared" si="122"/>
        <v>0.8757081896029164</v>
      </c>
      <c r="N132" s="317">
        <f t="shared" si="122"/>
        <v>0.8647091822687278</v>
      </c>
      <c r="O132" s="317">
        <f t="shared" si="122"/>
        <v>0.8517369231397904</v>
      </c>
      <c r="P132" s="317">
        <f t="shared" si="122"/>
        <v>0.8364913505384088</v>
      </c>
      <c r="Q132" s="317">
        <f t="shared" si="122"/>
        <v>0.818650343143159</v>
      </c>
      <c r="R132" s="317">
        <f t="shared" si="122"/>
        <v>0.7978809787280323</v>
      </c>
      <c r="S132" s="317">
        <f t="shared" si="122"/>
        <v>0.7738572355063432</v>
      </c>
      <c r="T132" s="317">
        <f t="shared" si="122"/>
        <v>0.7462850387700828</v>
      </c>
      <c r="U132" s="317">
        <f t="shared" si="122"/>
        <v>0.7149346829132317</v>
      </c>
      <c r="V132" s="317">
        <f t="shared" si="122"/>
        <v>0.679679239919488</v>
      </c>
      <c r="W132" s="317">
        <f t="shared" si="122"/>
        <v>0.6405356774175377</v>
      </c>
      <c r="X132" s="317">
        <f t="shared" si="122"/>
        <v>0.5977033550283746</v>
      </c>
      <c r="Y132" s="317">
        <f t="shared" si="122"/>
        <v>0.5515928958105506</v>
      </c>
      <c r="Z132" s="317">
        <f t="shared" si="122"/>
        <v>0.5028378457261529</v>
      </c>
      <c r="AA132" s="317">
        <f t="shared" si="122"/>
        <v>0.4522826772543156</v>
      </c>
      <c r="AB132" s="317">
        <f t="shared" si="122"/>
        <v>0.4009438284445602</v>
      </c>
      <c r="AC132" s="317">
        <f t="shared" si="122"/>
        <v>0.3499452261022601</v>
      </c>
      <c r="AD132" s="317">
        <f t="shared" si="122"/>
        <v>0.30043506888767046</v>
      </c>
      <c r="AE132" s="317">
        <f t="shared" si="122"/>
        <v>0.2534950700479679</v>
      </c>
      <c r="AF132" s="317">
        <f t="shared" si="122"/>
        <v>0.21005550213769186</v>
      </c>
      <c r="AG132" s="317">
        <f t="shared" si="122"/>
        <v>0.17082851240042085</v>
      </c>
      <c r="AH132" s="317">
        <f t="shared" si="122"/>
        <v>0.13626850716117156</v>
      </c>
      <c r="AI132" s="317">
        <f t="shared" si="122"/>
        <v>0.1065630245713427</v>
      </c>
      <c r="AJ132" s="317">
        <f t="shared" si="122"/>
        <v>0.0816519468664425</v>
      </c>
      <c r="AK132" s="317">
        <f t="shared" si="122"/>
        <v>0.06126853290260892</v>
      </c>
      <c r="AL132" s="330">
        <f aca="true" t="shared" si="123" ref="AL132:BA132">IF(AL114&lt;&gt;"",1-AL114,0)</f>
        <v>0.04499340196251311</v>
      </c>
      <c r="AM132" s="331">
        <f t="shared" si="123"/>
        <v>0.03231238496155797</v>
      </c>
      <c r="AN132" s="331">
        <f t="shared" si="123"/>
        <v>0.022670620214767068</v>
      </c>
      <c r="AO132" s="331">
        <f t="shared" si="123"/>
        <v>0.015517664249452334</v>
      </c>
      <c r="AP132" s="331">
        <f t="shared" si="123"/>
        <v>0.010340976015202785</v>
      </c>
      <c r="AQ132" s="331">
        <f t="shared" si="123"/>
        <v>0.0066873735760426545</v>
      </c>
      <c r="AR132" s="331">
        <f t="shared" si="123"/>
        <v>0.004173673927660881</v>
      </c>
      <c r="AS132" s="331">
        <f t="shared" si="123"/>
        <v>0.0024886535022304868</v>
      </c>
      <c r="AT132" s="331">
        <f t="shared" si="123"/>
        <v>0.0013888017428518307</v>
      </c>
      <c r="AU132" s="331">
        <f t="shared" si="123"/>
        <v>0.0006902427067057015</v>
      </c>
      <c r="AV132" s="331">
        <f t="shared" si="123"/>
        <v>0.00025883785807534476</v>
      </c>
      <c r="AW132" s="331">
        <f t="shared" si="123"/>
        <v>0</v>
      </c>
      <c r="AX132" s="331">
        <f t="shared" si="123"/>
        <v>0</v>
      </c>
      <c r="AY132" s="331">
        <f t="shared" si="123"/>
        <v>0</v>
      </c>
      <c r="AZ132" s="331">
        <f t="shared" si="123"/>
        <v>0</v>
      </c>
      <c r="BA132" s="332">
        <f t="shared" si="123"/>
        <v>0</v>
      </c>
    </row>
    <row r="133" spans="7:53" ht="12.75">
      <c r="G133" s="329">
        <f t="shared" si="101"/>
        <v>62</v>
      </c>
      <c r="H133" s="317">
        <f aca="true" t="shared" si="124" ref="H133:AK133">IF(H115&lt;&gt;"",1-H115,"")</f>
        <v>0.9095820610772172</v>
      </c>
      <c r="I133" s="317">
        <f t="shared" si="124"/>
        <v>0.9049692657861672</v>
      </c>
      <c r="J133" s="317">
        <f t="shared" si="124"/>
        <v>0.899447449261339</v>
      </c>
      <c r="K133" s="317">
        <f t="shared" si="124"/>
        <v>0.8928596419773392</v>
      </c>
      <c r="L133" s="317">
        <f t="shared" si="124"/>
        <v>0.885023164350588</v>
      </c>
      <c r="M133" s="317">
        <f t="shared" si="124"/>
        <v>0.8757269238242693</v>
      </c>
      <c r="N133" s="317">
        <f t="shared" si="124"/>
        <v>0.8647295743453924</v>
      </c>
      <c r="O133" s="317">
        <f t="shared" si="124"/>
        <v>0.8517592704955131</v>
      </c>
      <c r="P133" s="317">
        <f t="shared" si="124"/>
        <v>0.836515995824549</v>
      </c>
      <c r="Q133" s="317">
        <f t="shared" si="124"/>
        <v>0.818677677563689</v>
      </c>
      <c r="R133" s="317">
        <f t="shared" si="124"/>
        <v>0.7979114436675325</v>
      </c>
      <c r="S133" s="317">
        <f t="shared" si="124"/>
        <v>0.7738913214899156</v>
      </c>
      <c r="T133" s="317">
        <f t="shared" si="124"/>
        <v>0.7463232806480394</v>
      </c>
      <c r="U133" s="317">
        <f t="shared" si="124"/>
        <v>0.7149776501588876</v>
      </c>
      <c r="V133" s="317">
        <f t="shared" si="124"/>
        <v>0.6797275211377283</v>
      </c>
      <c r="W133" s="317">
        <f t="shared" si="124"/>
        <v>0.6405898586557561</v>
      </c>
      <c r="X133" s="317">
        <f t="shared" si="124"/>
        <v>0.5977639922849431</v>
      </c>
      <c r="Y133" s="317">
        <f t="shared" si="124"/>
        <v>0.5516604831915635</v>
      </c>
      <c r="Z133" s="317">
        <f t="shared" si="124"/>
        <v>0.5029127818447652</v>
      </c>
      <c r="AA133" s="317">
        <f t="shared" si="124"/>
        <v>0.45236523343826973</v>
      </c>
      <c r="AB133" s="317">
        <f t="shared" si="124"/>
        <v>0.40103412281620776</v>
      </c>
      <c r="AC133" s="317">
        <f t="shared" si="124"/>
        <v>0.3500432073770263</v>
      </c>
      <c r="AD133" s="317">
        <f t="shared" si="124"/>
        <v>0.3005405127156131</v>
      </c>
      <c r="AE133" s="317">
        <f t="shared" si="124"/>
        <v>0.2536075890349718</v>
      </c>
      <c r="AF133" s="317">
        <f t="shared" si="124"/>
        <v>0.21017456867177953</v>
      </c>
      <c r="AG133" s="317">
        <f t="shared" si="124"/>
        <v>0.17095349152928374</v>
      </c>
      <c r="AH133" s="317">
        <f t="shared" si="124"/>
        <v>0.13639869544087102</v>
      </c>
      <c r="AI133" s="317">
        <f t="shared" si="124"/>
        <v>0.10669769029074205</v>
      </c>
      <c r="AJ133" s="317">
        <f t="shared" si="124"/>
        <v>0.08179036737581857</v>
      </c>
      <c r="AK133" s="317">
        <f t="shared" si="124"/>
        <v>0.06141002575752341</v>
      </c>
      <c r="AL133" s="330">
        <f aca="true" t="shared" si="125" ref="AL133:BA133">IF(AL115&lt;&gt;"",1-AL115,0)</f>
        <v>0.045137347930827576</v>
      </c>
      <c r="AM133" s="331">
        <f t="shared" si="125"/>
        <v>0.032458242310668295</v>
      </c>
      <c r="AN133" s="331">
        <f t="shared" si="125"/>
        <v>0.022817930845106638</v>
      </c>
      <c r="AO133" s="331">
        <f t="shared" si="125"/>
        <v>0.015666053028544846</v>
      </c>
      <c r="AP133" s="331">
        <f t="shared" si="125"/>
        <v>0.010490145064716572</v>
      </c>
      <c r="AQ133" s="331">
        <f t="shared" si="125"/>
        <v>0.006837093324726484</v>
      </c>
      <c r="AR133" s="331">
        <f t="shared" si="125"/>
        <v>0.004323772560564598</v>
      </c>
      <c r="AS133" s="331">
        <f t="shared" si="125"/>
        <v>0.002639006114423137</v>
      </c>
      <c r="AT133" s="331">
        <f t="shared" si="125"/>
        <v>0.001539320133193911</v>
      </c>
      <c r="AU133" s="331">
        <f t="shared" si="125"/>
        <v>0.0008408663892595092</v>
      </c>
      <c r="AV133" s="331">
        <f t="shared" si="125"/>
        <v>0.0004095265652989122</v>
      </c>
      <c r="AW133" s="331">
        <f t="shared" si="125"/>
        <v>0.00015072772126412115</v>
      </c>
      <c r="AX133" s="331">
        <f t="shared" si="125"/>
        <v>0</v>
      </c>
      <c r="AY133" s="331">
        <f t="shared" si="125"/>
        <v>0</v>
      </c>
      <c r="AZ133" s="331">
        <f t="shared" si="125"/>
        <v>0</v>
      </c>
      <c r="BA133" s="332">
        <f t="shared" si="125"/>
        <v>0</v>
      </c>
    </row>
    <row r="134" spans="7:53" ht="12.75">
      <c r="G134" s="329">
        <f t="shared" si="101"/>
        <v>63</v>
      </c>
      <c r="H134" s="317">
        <f aca="true" t="shared" si="126" ref="H134:AK134">IF(H116&lt;&gt;"",1-H116,"")</f>
        <v>0.9095897583984204</v>
      </c>
      <c r="I134" s="317">
        <f t="shared" si="126"/>
        <v>0.9049773557967795</v>
      </c>
      <c r="J134" s="317">
        <f t="shared" si="126"/>
        <v>0.8994560093467608</v>
      </c>
      <c r="K134" s="317">
        <f t="shared" si="126"/>
        <v>0.8928687628858598</v>
      </c>
      <c r="L134" s="317">
        <f t="shared" si="126"/>
        <v>0.8850329523820946</v>
      </c>
      <c r="M134" s="317">
        <f t="shared" si="126"/>
        <v>0.8757375032490564</v>
      </c>
      <c r="N134" s="317">
        <f t="shared" si="126"/>
        <v>0.8647410899796567</v>
      </c>
      <c r="O134" s="317">
        <f t="shared" si="126"/>
        <v>0.851771890297778</v>
      </c>
      <c r="P134" s="317">
        <f t="shared" si="126"/>
        <v>0.8365299132938779</v>
      </c>
      <c r="Q134" s="317">
        <f t="shared" si="126"/>
        <v>0.8186931136173498</v>
      </c>
      <c r="R134" s="317">
        <f t="shared" si="126"/>
        <v>0.7979286475603455</v>
      </c>
      <c r="S134" s="317">
        <f t="shared" si="126"/>
        <v>0.7739105702269037</v>
      </c>
      <c r="T134" s="317">
        <f t="shared" si="126"/>
        <v>0.7463448762651692</v>
      </c>
      <c r="U134" s="317">
        <f t="shared" si="126"/>
        <v>0.715001914244123</v>
      </c>
      <c r="V134" s="317">
        <f t="shared" si="126"/>
        <v>0.6797547860828458</v>
      </c>
      <c r="W134" s="317">
        <f t="shared" si="126"/>
        <v>0.6406204554082877</v>
      </c>
      <c r="X134" s="317">
        <f t="shared" si="126"/>
        <v>0.5977982348234016</v>
      </c>
      <c r="Y134" s="317">
        <f t="shared" si="126"/>
        <v>0.5516986505431986</v>
      </c>
      <c r="Z134" s="317">
        <f t="shared" si="126"/>
        <v>0.5029550991108934</v>
      </c>
      <c r="AA134" s="317">
        <f t="shared" si="126"/>
        <v>0.4524118538407087</v>
      </c>
      <c r="AB134" s="317">
        <f t="shared" si="126"/>
        <v>0.4010851130599734</v>
      </c>
      <c r="AC134" s="317">
        <f t="shared" si="126"/>
        <v>0.3500985385011445</v>
      </c>
      <c r="AD134" s="317">
        <f t="shared" si="126"/>
        <v>0.3006000580271566</v>
      </c>
      <c r="AE134" s="317">
        <f t="shared" si="126"/>
        <v>0.25367112976814155</v>
      </c>
      <c r="AF134" s="317">
        <f t="shared" si="126"/>
        <v>0.21024180687817795</v>
      </c>
      <c r="AG134" s="317">
        <f t="shared" si="126"/>
        <v>0.17102406864422504</v>
      </c>
      <c r="AH134" s="317">
        <f t="shared" si="126"/>
        <v>0.13647221422167843</v>
      </c>
      <c r="AI134" s="317">
        <f t="shared" si="126"/>
        <v>0.10677373753193486</v>
      </c>
      <c r="AJ134" s="317">
        <f t="shared" si="126"/>
        <v>0.08186853498899815</v>
      </c>
      <c r="AK134" s="317">
        <f t="shared" si="126"/>
        <v>0.06148992835866596</v>
      </c>
      <c r="AL134" s="330">
        <f aca="true" t="shared" si="127" ref="AL134:BA134">IF(AL116&lt;&gt;"",1-AL116,0)</f>
        <v>0.04521863583260355</v>
      </c>
      <c r="AM134" s="331">
        <f t="shared" si="127"/>
        <v>0.03254060959060412</v>
      </c>
      <c r="AN134" s="331">
        <f t="shared" si="127"/>
        <v>0.022901118809242282</v>
      </c>
      <c r="AO134" s="331">
        <f t="shared" si="127"/>
        <v>0.015749849835366092</v>
      </c>
      <c r="AP134" s="331">
        <f t="shared" si="127"/>
        <v>0.010574382498990675</v>
      </c>
      <c r="AQ134" s="331">
        <f t="shared" si="127"/>
        <v>0.0069216417449946555</v>
      </c>
      <c r="AR134" s="331">
        <f t="shared" si="127"/>
        <v>0.004408534940998687</v>
      </c>
      <c r="AS134" s="331">
        <f t="shared" si="127"/>
        <v>0.002723911919808586</v>
      </c>
      <c r="AT134" s="331">
        <f t="shared" si="127"/>
        <v>0.0016243195553584666</v>
      </c>
      <c r="AU134" s="331">
        <f t="shared" si="127"/>
        <v>0.0009259252711162347</v>
      </c>
      <c r="AV134" s="331">
        <f t="shared" si="127"/>
        <v>0.0004946221673155504</v>
      </c>
      <c r="AW134" s="331">
        <f t="shared" si="127"/>
        <v>0.00023584535494669545</v>
      </c>
      <c r="AX134" s="331">
        <f t="shared" si="127"/>
        <v>8.51304652036422E-05</v>
      </c>
      <c r="AY134" s="331">
        <f t="shared" si="127"/>
        <v>0</v>
      </c>
      <c r="AZ134" s="331">
        <f t="shared" si="127"/>
        <v>0</v>
      </c>
      <c r="BA134" s="332">
        <f t="shared" si="127"/>
        <v>0</v>
      </c>
    </row>
    <row r="135" spans="7:53" ht="12.75">
      <c r="G135" s="329">
        <f t="shared" si="101"/>
        <v>64</v>
      </c>
      <c r="H135" s="317">
        <f aca="true" t="shared" si="128" ref="H135:AK135">IF(H117&lt;&gt;"",1-H117,"")</f>
        <v>0.9095939705606139</v>
      </c>
      <c r="I135" s="317">
        <f t="shared" si="128"/>
        <v>0.9049817828482102</v>
      </c>
      <c r="J135" s="317">
        <f t="shared" si="128"/>
        <v>0.8994606936346103</v>
      </c>
      <c r="K135" s="317">
        <f t="shared" si="128"/>
        <v>0.892873754069809</v>
      </c>
      <c r="L135" s="317">
        <f t="shared" si="128"/>
        <v>0.885038308632038</v>
      </c>
      <c r="M135" s="317">
        <f t="shared" si="128"/>
        <v>0.8757432925687354</v>
      </c>
      <c r="N135" s="317">
        <f t="shared" si="128"/>
        <v>0.8647473916160313</v>
      </c>
      <c r="O135" s="317">
        <f t="shared" si="128"/>
        <v>0.8517787961618553</v>
      </c>
      <c r="P135" s="317">
        <f t="shared" si="128"/>
        <v>0.8365375292730721</v>
      </c>
      <c r="Q135" s="317">
        <f t="shared" si="128"/>
        <v>0.8187015606029867</v>
      </c>
      <c r="R135" s="317">
        <f t="shared" si="128"/>
        <v>0.7979380619507515</v>
      </c>
      <c r="S135" s="317">
        <f t="shared" si="128"/>
        <v>0.773921103605994</v>
      </c>
      <c r="T135" s="317">
        <f t="shared" si="128"/>
        <v>0.7463566939144028</v>
      </c>
      <c r="U135" s="317">
        <f t="shared" si="128"/>
        <v>0.7150151921442897</v>
      </c>
      <c r="V135" s="317">
        <f t="shared" si="128"/>
        <v>0.6797697061268453</v>
      </c>
      <c r="W135" s="317">
        <f t="shared" si="128"/>
        <v>0.640637198698694</v>
      </c>
      <c r="X135" s="317">
        <f t="shared" si="128"/>
        <v>0.5978169731769267</v>
      </c>
      <c r="Y135" s="317">
        <f t="shared" si="128"/>
        <v>0.5517195366503698</v>
      </c>
      <c r="Z135" s="317">
        <f t="shared" si="128"/>
        <v>0.5029782561526499</v>
      </c>
      <c r="AA135" s="317">
        <f t="shared" si="128"/>
        <v>0.452437365663772</v>
      </c>
      <c r="AB135" s="317">
        <f t="shared" si="128"/>
        <v>0.4011130161669576</v>
      </c>
      <c r="AC135" s="317">
        <f t="shared" si="128"/>
        <v>0.3501288170438971</v>
      </c>
      <c r="AD135" s="317">
        <f t="shared" si="128"/>
        <v>0.30063264267621304</v>
      </c>
      <c r="AE135" s="317">
        <f t="shared" si="128"/>
        <v>0.2537059008095125</v>
      </c>
      <c r="AF135" s="317">
        <f t="shared" si="128"/>
        <v>0.21027860126722198</v>
      </c>
      <c r="AG135" s="317">
        <f t="shared" si="128"/>
        <v>0.17106269016558706</v>
      </c>
      <c r="AH135" s="317">
        <f t="shared" si="128"/>
        <v>0.13651244549446162</v>
      </c>
      <c r="AI135" s="317">
        <f t="shared" si="128"/>
        <v>0.1068153524400065</v>
      </c>
      <c r="AJ135" s="317">
        <f t="shared" si="128"/>
        <v>0.08191131021641762</v>
      </c>
      <c r="AK135" s="317">
        <f t="shared" si="128"/>
        <v>0.06153365301388125</v>
      </c>
      <c r="AL135" s="330">
        <f aca="true" t="shared" si="129" ref="AL135:BA135">IF(AL117&lt;&gt;"",1-AL117,0)</f>
        <v>0.04526311855816578</v>
      </c>
      <c r="AM135" s="331">
        <f t="shared" si="129"/>
        <v>0.032585682978262476</v>
      </c>
      <c r="AN135" s="331">
        <f t="shared" si="129"/>
        <v>0.022946641295342518</v>
      </c>
      <c r="AO135" s="331">
        <f t="shared" si="129"/>
        <v>0.01579570549505671</v>
      </c>
      <c r="AP135" s="331">
        <f t="shared" si="129"/>
        <v>0.010620479280787132</v>
      </c>
      <c r="AQ135" s="331">
        <f t="shared" si="129"/>
        <v>0.0069679087059238975</v>
      </c>
      <c r="AR135" s="331">
        <f t="shared" si="129"/>
        <v>0.004454918986157241</v>
      </c>
      <c r="AS135" s="331">
        <f t="shared" si="129"/>
        <v>0.0027703744506041295</v>
      </c>
      <c r="AT135" s="331">
        <f t="shared" si="129"/>
        <v>0.0016708333155425192</v>
      </c>
      <c r="AU135" s="331">
        <f t="shared" si="129"/>
        <v>0.0009724715690963004</v>
      </c>
      <c r="AV135" s="331">
        <f t="shared" si="129"/>
        <v>0.0005411885594640564</v>
      </c>
      <c r="AW135" s="331">
        <f t="shared" si="129"/>
        <v>0.000282423803361076</v>
      </c>
      <c r="AX135" s="331">
        <f t="shared" si="129"/>
        <v>0.00013171593533978232</v>
      </c>
      <c r="AY135" s="331">
        <f t="shared" si="129"/>
        <v>4.6589436316524235E-05</v>
      </c>
      <c r="AZ135" s="331">
        <f t="shared" si="129"/>
        <v>0</v>
      </c>
      <c r="BA135" s="332">
        <f t="shared" si="129"/>
        <v>0</v>
      </c>
    </row>
    <row r="136" spans="7:53" ht="12.75">
      <c r="G136" s="333">
        <f t="shared" si="101"/>
        <v>65</v>
      </c>
      <c r="H136" s="334">
        <f aca="true" t="shared" si="130" ref="H136:AK136">IF(H118&lt;&gt;"",1-H118,"")</f>
        <v>0.9095962019452626</v>
      </c>
      <c r="I136" s="334">
        <f t="shared" si="130"/>
        <v>0.9049841280700103</v>
      </c>
      <c r="J136" s="334">
        <f t="shared" si="130"/>
        <v>0.8994631751268981</v>
      </c>
      <c r="K136" s="334">
        <f t="shared" si="130"/>
        <v>0.8928763981397025</v>
      </c>
      <c r="L136" s="334">
        <f t="shared" si="130"/>
        <v>0.8850411460949252</v>
      </c>
      <c r="M136" s="334">
        <f t="shared" si="130"/>
        <v>0.8757463594494643</v>
      </c>
      <c r="N136" s="334">
        <f t="shared" si="130"/>
        <v>0.8647507298955235</v>
      </c>
      <c r="O136" s="334">
        <f t="shared" si="130"/>
        <v>0.8517824545297863</v>
      </c>
      <c r="P136" s="334">
        <f t="shared" si="130"/>
        <v>0.8365415638230915</v>
      </c>
      <c r="Q136" s="334">
        <f t="shared" si="130"/>
        <v>0.8187060353770368</v>
      </c>
      <c r="R136" s="334">
        <f t="shared" si="130"/>
        <v>0.7979430492055779</v>
      </c>
      <c r="S136" s="334">
        <f t="shared" si="130"/>
        <v>0.7739266836428781</v>
      </c>
      <c r="T136" s="334">
        <f t="shared" si="130"/>
        <v>0.746362954290873</v>
      </c>
      <c r="U136" s="334">
        <f t="shared" si="130"/>
        <v>0.7150222260858234</v>
      </c>
      <c r="V136" s="334">
        <f t="shared" si="130"/>
        <v>0.679777609990849</v>
      </c>
      <c r="W136" s="334">
        <f t="shared" si="130"/>
        <v>0.6406460684239006</v>
      </c>
      <c r="X136" s="334">
        <f t="shared" si="130"/>
        <v>0.5978268997829019</v>
      </c>
      <c r="Y136" s="334">
        <f t="shared" si="130"/>
        <v>0.5517306010246206</v>
      </c>
      <c r="Z136" s="334">
        <f t="shared" si="130"/>
        <v>0.5029905235500369</v>
      </c>
      <c r="AA136" s="334">
        <f t="shared" si="130"/>
        <v>0.45245088050193105</v>
      </c>
      <c r="AB136" s="334">
        <f t="shared" si="130"/>
        <v>0.40112779778307706</v>
      </c>
      <c r="AC136" s="334">
        <f t="shared" si="130"/>
        <v>0.35014485704244913</v>
      </c>
      <c r="AD136" s="334">
        <f t="shared" si="130"/>
        <v>0.30064990433005</v>
      </c>
      <c r="AE136" s="334">
        <f t="shared" si="130"/>
        <v>0.25372432070038375</v>
      </c>
      <c r="AF136" s="334">
        <f t="shared" si="130"/>
        <v>0.21029809302254887</v>
      </c>
      <c r="AG136" s="334">
        <f t="shared" si="130"/>
        <v>0.17108314984067063</v>
      </c>
      <c r="AH136" s="334">
        <f t="shared" si="130"/>
        <v>0.1365337579321989</v>
      </c>
      <c r="AI136" s="334">
        <f t="shared" si="130"/>
        <v>0.10683739785582014</v>
      </c>
      <c r="AJ136" s="334">
        <f t="shared" si="130"/>
        <v>0.08193397030912675</v>
      </c>
      <c r="AK136" s="334">
        <f t="shared" si="130"/>
        <v>0.06155681606410035</v>
      </c>
      <c r="AL136" s="335">
        <f aca="true" t="shared" si="131" ref="AL136:BA136">IF(AL118&lt;&gt;"",1-AL118,0)</f>
        <v>0.045286683194662225</v>
      </c>
      <c r="AM136" s="336">
        <f t="shared" si="131"/>
        <v>0.03260956051684427</v>
      </c>
      <c r="AN136" s="336">
        <f t="shared" si="131"/>
        <v>0.0229707567429418</v>
      </c>
      <c r="AO136" s="336">
        <f t="shared" si="131"/>
        <v>0.015819997440711164</v>
      </c>
      <c r="AP136" s="336">
        <f t="shared" si="131"/>
        <v>0.010644898960403548</v>
      </c>
      <c r="AQ136" s="336">
        <f t="shared" si="131"/>
        <v>0.006992418537601575</v>
      </c>
      <c r="AR136" s="336">
        <f t="shared" si="131"/>
        <v>0.004479490842975498</v>
      </c>
      <c r="AS136" s="336">
        <f t="shared" si="131"/>
        <v>0.0027949878850344057</v>
      </c>
      <c r="AT136" s="336">
        <f t="shared" si="131"/>
        <v>0.001695473888640664</v>
      </c>
      <c r="AU136" s="336">
        <f t="shared" si="131"/>
        <v>0.0009971293790279612</v>
      </c>
      <c r="AV136" s="336">
        <f t="shared" si="131"/>
        <v>0.0005658570142420549</v>
      </c>
      <c r="AW136" s="336">
        <f t="shared" si="131"/>
        <v>0.00030709864492217687</v>
      </c>
      <c r="AX136" s="336">
        <f t="shared" si="131"/>
        <v>0.00015639449664417437</v>
      </c>
      <c r="AY136" s="336">
        <f t="shared" si="131"/>
        <v>7.127009869722922E-05</v>
      </c>
      <c r="AZ136" s="336">
        <f t="shared" si="131"/>
        <v>2.4681812292426386E-05</v>
      </c>
      <c r="BA136" s="337">
        <f t="shared" si="131"/>
        <v>0</v>
      </c>
    </row>
  </sheetData>
  <sheetProtection/>
  <mergeCells count="6">
    <mergeCell ref="B3:Q3"/>
    <mergeCell ref="H31:BA31"/>
    <mergeCell ref="H52:BA52"/>
    <mergeCell ref="H99:BA99"/>
    <mergeCell ref="H102:BA102"/>
    <mergeCell ref="H120:BA120"/>
  </mergeCells>
  <printOptions/>
  <pageMargins left="0.75" right="0.75" top="1" bottom="1" header="0.5118055555555555" footer="0.511805555555555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1:N97"/>
  <sheetViews>
    <sheetView showGridLines="0" zoomScale="90" zoomScaleNormal="90" zoomScalePageLayoutView="0" workbookViewId="0" topLeftCell="A1">
      <selection activeCell="A1" sqref="A1:A3"/>
    </sheetView>
  </sheetViews>
  <sheetFormatPr defaultColWidth="9.140625" defaultRowHeight="12.75"/>
  <cols>
    <col min="1" max="1" width="48.57421875" style="0" customWidth="1"/>
    <col min="2" max="2" width="14.57421875" style="0" customWidth="1"/>
    <col min="3" max="3" width="14.28125" style="0" customWidth="1"/>
    <col min="4" max="4" width="15.140625" style="0" customWidth="1"/>
    <col min="5" max="5" width="14.8515625" style="0" customWidth="1"/>
    <col min="6" max="6" width="14.57421875" style="0" customWidth="1"/>
    <col min="7" max="7" width="15.57421875" style="0" customWidth="1"/>
    <col min="8" max="8" width="16.8515625" style="0" customWidth="1"/>
    <col min="9" max="9" width="16.00390625" style="0" customWidth="1"/>
    <col min="10" max="10" width="21.00390625" style="0" customWidth="1"/>
    <col min="11" max="11" width="18.421875" style="0" customWidth="1"/>
    <col min="12" max="12" width="17.421875" style="0" customWidth="1"/>
    <col min="13" max="13" width="13.421875" style="0" customWidth="1"/>
  </cols>
  <sheetData>
    <row r="1" spans="1:13" ht="25.5" customHeight="1">
      <c r="A1" s="543" t="s">
        <v>302</v>
      </c>
      <c r="B1" s="543" t="s">
        <v>303</v>
      </c>
      <c r="C1" s="544" t="s">
        <v>304</v>
      </c>
      <c r="D1" s="544"/>
      <c r="E1" s="544"/>
      <c r="F1" s="544"/>
      <c r="G1" s="544"/>
      <c r="H1" s="544"/>
      <c r="I1" s="544"/>
      <c r="J1" s="339"/>
      <c r="K1" s="339"/>
      <c r="L1" s="339"/>
      <c r="M1" s="339"/>
    </row>
    <row r="2" spans="1:14" ht="25.5" customHeight="1">
      <c r="A2" s="543"/>
      <c r="B2" s="543"/>
      <c r="C2" s="545" t="s">
        <v>305</v>
      </c>
      <c r="D2" s="545"/>
      <c r="E2" s="341">
        <f>D3+F3</f>
        <v>37400</v>
      </c>
      <c r="F2" s="341"/>
      <c r="G2" s="340" t="s">
        <v>306</v>
      </c>
      <c r="H2" s="341">
        <f>E2+H3</f>
        <v>150000</v>
      </c>
      <c r="I2" s="546" t="s">
        <v>307</v>
      </c>
      <c r="J2" s="339" t="s">
        <v>308</v>
      </c>
      <c r="K2" s="339" t="s">
        <v>309</v>
      </c>
      <c r="L2" s="339" t="s">
        <v>310</v>
      </c>
      <c r="M2" s="339" t="s">
        <v>311</v>
      </c>
      <c r="N2" t="s">
        <v>354</v>
      </c>
    </row>
    <row r="3" spans="1:13" ht="12.75" customHeight="1">
      <c r="A3" s="543"/>
      <c r="B3" s="543"/>
      <c r="C3" s="340" t="s">
        <v>312</v>
      </c>
      <c r="D3" s="412">
        <v>2440</v>
      </c>
      <c r="E3" s="340" t="s">
        <v>313</v>
      </c>
      <c r="F3" s="412">
        <f>37400-D3</f>
        <v>34960</v>
      </c>
      <c r="G3" s="340" t="s">
        <v>313</v>
      </c>
      <c r="H3" s="412">
        <v>112600</v>
      </c>
      <c r="I3" s="546"/>
      <c r="J3" s="408">
        <v>100000</v>
      </c>
      <c r="K3" s="408">
        <v>1</v>
      </c>
      <c r="L3" s="408">
        <v>2</v>
      </c>
      <c r="M3" s="408">
        <v>0</v>
      </c>
    </row>
    <row r="4" spans="1:13" ht="51" customHeight="1">
      <c r="A4" s="342" t="s">
        <v>314</v>
      </c>
      <c r="B4" s="401">
        <v>6475</v>
      </c>
      <c r="C4" s="547">
        <v>0.2</v>
      </c>
      <c r="D4" s="547"/>
      <c r="E4" s="547">
        <v>0.2</v>
      </c>
      <c r="F4" s="547"/>
      <c r="G4" s="547">
        <v>0.4</v>
      </c>
      <c r="H4" s="547"/>
      <c r="I4" s="402">
        <v>0.5</v>
      </c>
      <c r="J4" s="343">
        <f>MIN(MAX(B4+$K$3/$L$3*($J$3-$C$22),$M$3),B4)</f>
        <v>6475</v>
      </c>
      <c r="K4" s="78"/>
      <c r="L4" s="78"/>
      <c r="M4" s="78"/>
    </row>
    <row r="5" spans="1:13" ht="38.25" customHeight="1">
      <c r="A5" s="342" t="s">
        <v>315</v>
      </c>
      <c r="B5" s="403"/>
      <c r="C5" s="547">
        <v>0.1</v>
      </c>
      <c r="D5" s="547"/>
      <c r="E5" s="547">
        <v>0.2</v>
      </c>
      <c r="F5" s="547"/>
      <c r="G5" s="547">
        <v>0.4</v>
      </c>
      <c r="H5" s="547"/>
      <c r="I5" s="402">
        <v>0.5</v>
      </c>
      <c r="J5" s="344"/>
      <c r="K5" s="78"/>
      <c r="L5" s="260"/>
      <c r="M5" s="78"/>
    </row>
    <row r="6" spans="1:13" ht="12.75" customHeight="1">
      <c r="A6" s="345" t="s">
        <v>316</v>
      </c>
      <c r="B6" s="404"/>
      <c r="C6" s="547">
        <v>0</v>
      </c>
      <c r="D6" s="547"/>
      <c r="E6" s="547">
        <v>0</v>
      </c>
      <c r="F6" s="547"/>
      <c r="G6" s="547">
        <v>0.25</v>
      </c>
      <c r="H6" s="547"/>
      <c r="I6" s="405">
        <v>0.36111111</v>
      </c>
      <c r="J6" s="344"/>
      <c r="K6" s="78"/>
      <c r="L6" s="260"/>
      <c r="M6" s="78"/>
    </row>
    <row r="7" spans="1:13" ht="12.75" customHeight="1">
      <c r="A7" s="345" t="s">
        <v>317</v>
      </c>
      <c r="B7" s="404"/>
      <c r="C7" s="547">
        <v>0</v>
      </c>
      <c r="D7" s="547"/>
      <c r="E7" s="547">
        <v>0.1</v>
      </c>
      <c r="F7" s="547"/>
      <c r="G7" s="548">
        <v>0.325</v>
      </c>
      <c r="H7" s="548"/>
      <c r="I7" s="406">
        <v>0.425</v>
      </c>
      <c r="J7" s="344"/>
      <c r="K7" s="78"/>
      <c r="L7" s="260"/>
      <c r="M7" s="78"/>
    </row>
    <row r="8" spans="8:11" ht="12.75">
      <c r="H8" s="5"/>
      <c r="J8" s="346"/>
      <c r="K8" s="346"/>
    </row>
    <row r="9" spans="1:12" ht="12.75">
      <c r="A9" s="338" t="s">
        <v>318</v>
      </c>
      <c r="B9" s="347" t="s">
        <v>303</v>
      </c>
      <c r="C9" s="338" t="s">
        <v>312</v>
      </c>
      <c r="D9" s="348" t="s">
        <v>319</v>
      </c>
      <c r="E9" s="338" t="s">
        <v>313</v>
      </c>
      <c r="F9" s="348" t="s">
        <v>319</v>
      </c>
      <c r="G9" s="338" t="s">
        <v>313</v>
      </c>
      <c r="H9" s="348" t="s">
        <v>319</v>
      </c>
      <c r="I9" s="338" t="s">
        <v>320</v>
      </c>
      <c r="J9" s="349" t="s">
        <v>321</v>
      </c>
      <c r="K9" s="349" t="s">
        <v>355</v>
      </c>
      <c r="L9" s="346" t="s">
        <v>353</v>
      </c>
    </row>
    <row r="10" spans="1:11" ht="12.75">
      <c r="A10" s="350" t="s">
        <v>322</v>
      </c>
      <c r="B10" s="407">
        <v>5720</v>
      </c>
      <c r="C10" s="408">
        <v>0</v>
      </c>
      <c r="D10" s="409">
        <v>0</v>
      </c>
      <c r="E10" s="408">
        <v>38168</v>
      </c>
      <c r="F10" s="409">
        <v>0.11</v>
      </c>
      <c r="G10" s="408">
        <v>0</v>
      </c>
      <c r="H10" s="409">
        <v>0.11</v>
      </c>
      <c r="I10" s="402">
        <v>0.01</v>
      </c>
      <c r="J10" s="411">
        <f>B10</f>
        <v>5720</v>
      </c>
      <c r="K10" s="408">
        <v>0</v>
      </c>
    </row>
    <row r="11" spans="1:11" ht="12.75">
      <c r="A11" s="350" t="s">
        <v>323</v>
      </c>
      <c r="B11" s="407">
        <v>5715</v>
      </c>
      <c r="C11" s="408">
        <v>0</v>
      </c>
      <c r="D11" s="402">
        <v>0</v>
      </c>
      <c r="E11" s="408">
        <v>38160</v>
      </c>
      <c r="F11" s="410">
        <v>0.08</v>
      </c>
      <c r="G11" s="408">
        <v>0</v>
      </c>
      <c r="H11" s="410">
        <v>0.08</v>
      </c>
      <c r="I11" s="402">
        <v>0.01</v>
      </c>
      <c r="J11" s="411">
        <f>B11</f>
        <v>5715</v>
      </c>
      <c r="K11" s="408">
        <f>2.4*52</f>
        <v>124.8</v>
      </c>
    </row>
    <row r="12" spans="1:12" ht="12.75">
      <c r="A12" s="350" t="s">
        <v>324</v>
      </c>
      <c r="B12" s="407">
        <v>5720</v>
      </c>
      <c r="C12" s="408">
        <v>0</v>
      </c>
      <c r="D12" s="409">
        <v>0</v>
      </c>
      <c r="E12" s="408">
        <v>38168</v>
      </c>
      <c r="F12" s="409">
        <f>F10-1.6%</f>
        <v>0.094</v>
      </c>
      <c r="G12" s="408">
        <v>0</v>
      </c>
      <c r="H12" s="409">
        <f>H10-1.6%</f>
        <v>0.094</v>
      </c>
      <c r="I12" s="402">
        <v>0.01</v>
      </c>
      <c r="J12" s="411">
        <f>B12</f>
        <v>5720</v>
      </c>
      <c r="K12" s="408">
        <v>0</v>
      </c>
      <c r="L12" s="351" t="s">
        <v>325</v>
      </c>
    </row>
    <row r="13" spans="8:11" ht="12.75">
      <c r="H13" s="5"/>
      <c r="J13" s="346"/>
      <c r="K13" s="346"/>
    </row>
    <row r="14" spans="6:11" ht="12.75">
      <c r="F14" s="352"/>
      <c r="H14" s="5"/>
      <c r="J14" s="346"/>
      <c r="K14" s="346"/>
    </row>
    <row r="15" spans="1:13" ht="12.75" customHeight="1">
      <c r="A15" s="353"/>
      <c r="B15" s="340" t="s">
        <v>326</v>
      </c>
      <c r="C15" s="340" t="s">
        <v>327</v>
      </c>
      <c r="D15" s="340" t="s">
        <v>328</v>
      </c>
      <c r="E15" s="340" t="s">
        <v>329</v>
      </c>
      <c r="F15" s="340" t="s">
        <v>330</v>
      </c>
      <c r="G15" s="340" t="s">
        <v>331</v>
      </c>
      <c r="H15" s="340" t="s">
        <v>332</v>
      </c>
      <c r="I15" s="340" t="s">
        <v>333</v>
      </c>
      <c r="J15" s="340" t="s">
        <v>334</v>
      </c>
      <c r="K15" s="549" t="s">
        <v>335</v>
      </c>
      <c r="L15" s="549"/>
      <c r="M15" s="549"/>
    </row>
    <row r="16" spans="1:13" ht="12.75">
      <c r="A16" s="354" t="s">
        <v>336</v>
      </c>
      <c r="B16" s="413">
        <v>12345</v>
      </c>
      <c r="C16" s="355">
        <f aca="true" t="shared" si="0" ref="C16:C21">ROUNDDOWN(B16,0)</f>
        <v>12345</v>
      </c>
      <c r="D16" s="356">
        <f>H33</f>
        <v>1174</v>
      </c>
      <c r="E16" s="356">
        <f>H81</f>
        <v>728.75</v>
      </c>
      <c r="F16" s="356">
        <f>H97</f>
        <v>622.75</v>
      </c>
      <c r="G16" s="356">
        <f aca="true" t="shared" si="1" ref="G16:G22">B16-D16-E16</f>
        <v>10442.25</v>
      </c>
      <c r="H16" s="356">
        <f aca="true" t="shared" si="2" ref="H16:H22">B16-D16-F16</f>
        <v>10548.25</v>
      </c>
      <c r="I16" s="357">
        <f aca="true" t="shared" si="3" ref="I16:J21">IF($B16&gt;0,1-G16/$B16,"")</f>
        <v>0.15413122721749695</v>
      </c>
      <c r="J16" s="357">
        <f t="shared" si="3"/>
        <v>0.14554475496152286</v>
      </c>
      <c r="K16" s="549"/>
      <c r="L16" s="549"/>
      <c r="M16" s="549"/>
    </row>
    <row r="17" spans="1:13" ht="12.75">
      <c r="A17" s="354" t="s">
        <v>337</v>
      </c>
      <c r="B17" s="413">
        <v>8439.75</v>
      </c>
      <c r="C17" s="355">
        <f t="shared" si="0"/>
        <v>8439</v>
      </c>
      <c r="D17" s="356">
        <f>H41</f>
        <v>1687.8000000000002</v>
      </c>
      <c r="E17" s="356">
        <f>H89</f>
        <v>342.72</v>
      </c>
      <c r="F17" s="356">
        <f>H89</f>
        <v>342.72</v>
      </c>
      <c r="G17" s="356">
        <f t="shared" si="1"/>
        <v>6409.23</v>
      </c>
      <c r="H17" s="356">
        <f t="shared" si="2"/>
        <v>6409.23</v>
      </c>
      <c r="I17" s="357">
        <f t="shared" si="3"/>
        <v>0.24059006487158985</v>
      </c>
      <c r="J17" s="357">
        <f t="shared" si="3"/>
        <v>0.24059006487158985</v>
      </c>
      <c r="K17" s="549"/>
      <c r="L17" s="549"/>
      <c r="M17" s="549"/>
    </row>
    <row r="18" spans="1:13" ht="12.75">
      <c r="A18" s="345" t="s">
        <v>338</v>
      </c>
      <c r="B18" s="413">
        <v>15050.82</v>
      </c>
      <c r="C18" s="355">
        <f t="shared" si="0"/>
        <v>15050</v>
      </c>
      <c r="D18" s="356">
        <f>H49</f>
        <v>3010</v>
      </c>
      <c r="E18" s="358"/>
      <c r="F18" s="358"/>
      <c r="G18" s="356">
        <f t="shared" si="1"/>
        <v>12040.82</v>
      </c>
      <c r="H18" s="356">
        <f t="shared" si="2"/>
        <v>12040.82</v>
      </c>
      <c r="I18" s="357">
        <f t="shared" si="3"/>
        <v>0.19998910358372501</v>
      </c>
      <c r="J18" s="357">
        <f t="shared" si="3"/>
        <v>0.19998910358372501</v>
      </c>
      <c r="K18" s="549"/>
      <c r="L18" s="549"/>
      <c r="M18" s="549"/>
    </row>
    <row r="19" spans="1:13" ht="12.75">
      <c r="A19" s="345" t="s">
        <v>339</v>
      </c>
      <c r="B19" s="413">
        <v>236</v>
      </c>
      <c r="C19" s="355">
        <f t="shared" si="0"/>
        <v>236</v>
      </c>
      <c r="D19" s="356">
        <f>H57</f>
        <v>47.2</v>
      </c>
      <c r="E19" s="358"/>
      <c r="F19" s="358"/>
      <c r="G19" s="356">
        <f t="shared" si="1"/>
        <v>188.8</v>
      </c>
      <c r="H19" s="356">
        <f t="shared" si="2"/>
        <v>188.8</v>
      </c>
      <c r="I19" s="357">
        <f t="shared" si="3"/>
        <v>0.19999999999999996</v>
      </c>
      <c r="J19" s="357">
        <f t="shared" si="3"/>
        <v>0.19999999999999996</v>
      </c>
      <c r="K19" s="549"/>
      <c r="L19" s="549"/>
      <c r="M19" s="549"/>
    </row>
    <row r="20" spans="1:13" ht="12.75">
      <c r="A20" s="345" t="s">
        <v>340</v>
      </c>
      <c r="B20" s="413">
        <v>58.21</v>
      </c>
      <c r="C20" s="355">
        <f t="shared" si="0"/>
        <v>58</v>
      </c>
      <c r="D20" s="356">
        <f>H65</f>
        <v>0</v>
      </c>
      <c r="E20" s="358"/>
      <c r="F20" s="358"/>
      <c r="G20" s="356">
        <f t="shared" si="1"/>
        <v>58.21</v>
      </c>
      <c r="H20" s="356">
        <f t="shared" si="2"/>
        <v>58.21</v>
      </c>
      <c r="I20" s="357">
        <f t="shared" si="3"/>
        <v>0</v>
      </c>
      <c r="J20" s="357">
        <f t="shared" si="3"/>
        <v>0</v>
      </c>
      <c r="K20" s="549"/>
      <c r="L20" s="549"/>
      <c r="M20" s="549"/>
    </row>
    <row r="21" spans="1:13" ht="12.75">
      <c r="A21" s="345" t="s">
        <v>341</v>
      </c>
      <c r="B21" s="413">
        <v>49.99</v>
      </c>
      <c r="C21" s="355">
        <f t="shared" si="0"/>
        <v>49</v>
      </c>
      <c r="D21" s="356">
        <f>H73</f>
        <v>4.9</v>
      </c>
      <c r="E21" s="358"/>
      <c r="F21" s="358"/>
      <c r="G21" s="356">
        <f t="shared" si="1"/>
        <v>45.09</v>
      </c>
      <c r="H21" s="356">
        <f t="shared" si="2"/>
        <v>45.09</v>
      </c>
      <c r="I21" s="357">
        <f t="shared" si="3"/>
        <v>0.09801960392078413</v>
      </c>
      <c r="J21" s="357">
        <f t="shared" si="3"/>
        <v>0.09801960392078413</v>
      </c>
      <c r="K21" s="549"/>
      <c r="L21" s="549"/>
      <c r="M21" s="549"/>
    </row>
    <row r="22" spans="1:13" ht="12.75">
      <c r="A22" s="345" t="s">
        <v>342</v>
      </c>
      <c r="B22" s="359">
        <f>SUM(B16:B21)</f>
        <v>36179.77</v>
      </c>
      <c r="C22" s="360">
        <f>SUM(C16:C21)</f>
        <v>36177</v>
      </c>
      <c r="D22" s="359">
        <f>SUM(D16:D21)</f>
        <v>5923.9</v>
      </c>
      <c r="E22" s="359">
        <f>SUM(E16:E21)</f>
        <v>1071.47</v>
      </c>
      <c r="F22" s="359">
        <f>SUM(F16:F21)</f>
        <v>965.47</v>
      </c>
      <c r="G22" s="359">
        <f t="shared" si="1"/>
        <v>29184.399999999994</v>
      </c>
      <c r="H22" s="359">
        <f t="shared" si="2"/>
        <v>29290.399999999994</v>
      </c>
      <c r="I22" s="361">
        <f>IF(B22&gt;0,(D22+E22)/B22,"")</f>
        <v>0.1933503170418165</v>
      </c>
      <c r="J22" s="362">
        <f>IF(B22&gt;0,(D22+F22)/B22,"")</f>
        <v>0.19042050294957652</v>
      </c>
      <c r="K22" s="549"/>
      <c r="L22" s="549"/>
      <c r="M22" s="549"/>
    </row>
    <row r="24" spans="1:10" ht="12.75" customHeight="1">
      <c r="A24" s="550" t="s">
        <v>343</v>
      </c>
      <c r="B24" s="550"/>
      <c r="C24" s="550"/>
      <c r="D24" s="550"/>
      <c r="E24" s="550"/>
      <c r="F24" s="550"/>
      <c r="G24" s="550"/>
      <c r="H24" s="550"/>
      <c r="I24" s="550"/>
      <c r="J24" s="550"/>
    </row>
    <row r="25" spans="1:10" ht="12.75">
      <c r="A25" s="550"/>
      <c r="B25" s="550"/>
      <c r="C25" s="550"/>
      <c r="D25" s="550"/>
      <c r="E25" s="550"/>
      <c r="F25" s="550"/>
      <c r="G25" s="550"/>
      <c r="H25" s="550"/>
      <c r="I25" s="550"/>
      <c r="J25" s="550"/>
    </row>
    <row r="27" spans="1:12" ht="12.75" customHeight="1">
      <c r="A27" s="551" t="s">
        <v>344</v>
      </c>
      <c r="B27" s="363" t="s">
        <v>345</v>
      </c>
      <c r="C27" s="363" t="s">
        <v>346</v>
      </c>
      <c r="D27" s="363" t="s">
        <v>347</v>
      </c>
      <c r="E27" s="363" t="s">
        <v>348</v>
      </c>
      <c r="F27" s="363" t="s">
        <v>349</v>
      </c>
      <c r="G27" s="363" t="s">
        <v>319</v>
      </c>
      <c r="H27" s="363" t="s">
        <v>328</v>
      </c>
      <c r="J27" s="351"/>
      <c r="K27" s="352"/>
      <c r="L27" s="364"/>
    </row>
    <row r="28" spans="1:8" ht="12.75">
      <c r="A28" s="551"/>
      <c r="B28" s="365">
        <f>$C$16</f>
        <v>12345</v>
      </c>
      <c r="C28" s="365">
        <f>$J$4</f>
        <v>6475</v>
      </c>
      <c r="D28" s="366">
        <f>$J$4</f>
        <v>6475</v>
      </c>
      <c r="E28" s="367">
        <f>MIN(D28,B28)</f>
        <v>6475</v>
      </c>
      <c r="F28" s="367">
        <f>C28-E28</f>
        <v>0</v>
      </c>
      <c r="G28" s="368">
        <v>0</v>
      </c>
      <c r="H28" s="369">
        <f>E28*G28</f>
        <v>0</v>
      </c>
    </row>
    <row r="29" spans="1:12" ht="12.75">
      <c r="A29" s="551"/>
      <c r="B29" s="369">
        <f>B28-E28</f>
        <v>5870</v>
      </c>
      <c r="C29" s="365">
        <f>$D$3</f>
        <v>2440</v>
      </c>
      <c r="D29" s="369">
        <f>MAX(D28-E28,0)</f>
        <v>0</v>
      </c>
      <c r="E29" s="367">
        <f>MAX(MIN(B29-D29,C29),0)</f>
        <v>2440</v>
      </c>
      <c r="F29" s="367">
        <f>C29-E29</f>
        <v>0</v>
      </c>
      <c r="G29" s="368">
        <f>$C$4</f>
        <v>0.2</v>
      </c>
      <c r="H29" s="369">
        <f>E29*G29</f>
        <v>488</v>
      </c>
      <c r="L29" s="370"/>
    </row>
    <row r="30" spans="1:10" ht="12.75">
      <c r="A30" s="551"/>
      <c r="B30" s="369">
        <f>B29-E29</f>
        <v>3430</v>
      </c>
      <c r="C30" s="365">
        <f>$F$3</f>
        <v>34960</v>
      </c>
      <c r="D30" s="369">
        <f>MAX(D29-E29,0)</f>
        <v>0</v>
      </c>
      <c r="E30" s="367">
        <f>MAX(MIN(B30-D30,C30),0)</f>
        <v>3430</v>
      </c>
      <c r="F30" s="367">
        <f>C30-E30</f>
        <v>31530</v>
      </c>
      <c r="G30" s="368">
        <f>$E$4</f>
        <v>0.2</v>
      </c>
      <c r="H30" s="369">
        <f>E30*G30</f>
        <v>686</v>
      </c>
      <c r="J30" s="364"/>
    </row>
    <row r="31" spans="1:8" ht="12.75">
      <c r="A31" s="551"/>
      <c r="B31" s="369">
        <f>B30-E30</f>
        <v>0</v>
      </c>
      <c r="C31" s="365">
        <f>$H$3</f>
        <v>112600</v>
      </c>
      <c r="D31" s="369">
        <f>MAX(D30-E30,0)</f>
        <v>0</v>
      </c>
      <c r="E31" s="367">
        <f>MAX(MIN(B31-D31,C31),0)</f>
        <v>0</v>
      </c>
      <c r="F31" s="367">
        <f>C31-E31</f>
        <v>112600</v>
      </c>
      <c r="G31" s="368">
        <f>$G$4</f>
        <v>0.4</v>
      </c>
      <c r="H31" s="369">
        <f>E31*G31</f>
        <v>0</v>
      </c>
    </row>
    <row r="32" spans="1:12" ht="12.75">
      <c r="A32" s="551"/>
      <c r="B32" s="369">
        <f>B31-E31</f>
        <v>0</v>
      </c>
      <c r="C32" s="369"/>
      <c r="D32" s="369">
        <f>MAX(D31-E31,0)</f>
        <v>0</v>
      </c>
      <c r="E32" s="369">
        <f>MAX(B32-D32,0)</f>
        <v>0</v>
      </c>
      <c r="F32" s="369"/>
      <c r="G32" s="368">
        <f>$I$4</f>
        <v>0.5</v>
      </c>
      <c r="H32" s="369">
        <f>E32*G32</f>
        <v>0</v>
      </c>
      <c r="L32" s="371"/>
    </row>
    <row r="33" spans="1:8" ht="12.75">
      <c r="A33" s="551"/>
      <c r="B33" s="372"/>
      <c r="C33" s="373"/>
      <c r="D33" s="374"/>
      <c r="E33" s="373"/>
      <c r="F33" s="372"/>
      <c r="G33" s="375" t="s">
        <v>342</v>
      </c>
      <c r="H33" s="376">
        <f>SUM(H28:H32)</f>
        <v>1174</v>
      </c>
    </row>
    <row r="34" spans="5:8" ht="12.75">
      <c r="E34" s="377"/>
      <c r="G34" s="378"/>
      <c r="H34" s="377"/>
    </row>
    <row r="35" spans="1:8" ht="12.75" customHeight="1">
      <c r="A35" s="551" t="s">
        <v>337</v>
      </c>
      <c r="B35" s="363" t="s">
        <v>345</v>
      </c>
      <c r="C35" s="363" t="s">
        <v>346</v>
      </c>
      <c r="D35" s="363" t="s">
        <v>347</v>
      </c>
      <c r="E35" s="363" t="s">
        <v>348</v>
      </c>
      <c r="F35" s="363" t="s">
        <v>349</v>
      </c>
      <c r="G35" s="363" t="s">
        <v>319</v>
      </c>
      <c r="H35" s="363" t="s">
        <v>328</v>
      </c>
    </row>
    <row r="36" spans="1:8" ht="12.75">
      <c r="A36" s="551"/>
      <c r="B36" s="365">
        <f>$C$17</f>
        <v>8439</v>
      </c>
      <c r="C36" s="365">
        <f>$J$4</f>
        <v>6475</v>
      </c>
      <c r="D36" s="379">
        <f>MAX(D32-E32,0)</f>
        <v>0</v>
      </c>
      <c r="E36" s="380">
        <f>MIN(D36,B36,F28)</f>
        <v>0</v>
      </c>
      <c r="F36" s="369">
        <f>F28-E36</f>
        <v>0</v>
      </c>
      <c r="G36" s="368">
        <v>0</v>
      </c>
      <c r="H36" s="369">
        <f>E36*G36</f>
        <v>0</v>
      </c>
    </row>
    <row r="37" spans="1:8" ht="12.75">
      <c r="A37" s="551"/>
      <c r="B37" s="369">
        <f>B36-E36</f>
        <v>8439</v>
      </c>
      <c r="C37" s="365">
        <f>$D$3</f>
        <v>2440</v>
      </c>
      <c r="D37" s="369">
        <f>MAX(D36-E36,0)</f>
        <v>0</v>
      </c>
      <c r="E37" s="380">
        <f>MAX(MIN(B37-D37,C37,F29),0)</f>
        <v>0</v>
      </c>
      <c r="F37" s="369">
        <f>F29-E37</f>
        <v>0</v>
      </c>
      <c r="G37" s="368">
        <f>$C$4</f>
        <v>0.2</v>
      </c>
      <c r="H37" s="369">
        <f>E37*G37</f>
        <v>0</v>
      </c>
    </row>
    <row r="38" spans="1:8" ht="12.75">
      <c r="A38" s="551"/>
      <c r="B38" s="369">
        <f>B37-E37</f>
        <v>8439</v>
      </c>
      <c r="C38" s="365">
        <f>$F$3</f>
        <v>34960</v>
      </c>
      <c r="D38" s="369">
        <f>MAX(D37-E37,0)</f>
        <v>0</v>
      </c>
      <c r="E38" s="380">
        <f>MAX(MIN(B38-D38,C38,F30),0)</f>
        <v>8439</v>
      </c>
      <c r="F38" s="369">
        <f>F30-E38</f>
        <v>23091</v>
      </c>
      <c r="G38" s="368">
        <f>$E$4</f>
        <v>0.2</v>
      </c>
      <c r="H38" s="369">
        <f>E38*G38</f>
        <v>1687.8000000000002</v>
      </c>
    </row>
    <row r="39" spans="1:8" ht="12.75">
      <c r="A39" s="551"/>
      <c r="B39" s="369">
        <f>B38-E38</f>
        <v>0</v>
      </c>
      <c r="C39" s="365">
        <f>$H$3</f>
        <v>112600</v>
      </c>
      <c r="D39" s="369">
        <f>MAX(D38-E38,0)</f>
        <v>0</v>
      </c>
      <c r="E39" s="380">
        <f>MAX(MIN(B39-D39,C39,F31),0)</f>
        <v>0</v>
      </c>
      <c r="F39" s="369">
        <f>F31-E39</f>
        <v>112600</v>
      </c>
      <c r="G39" s="368">
        <f>$G$4</f>
        <v>0.4</v>
      </c>
      <c r="H39" s="369">
        <f>E39*G39</f>
        <v>0</v>
      </c>
    </row>
    <row r="40" spans="1:8" ht="12.75">
      <c r="A40" s="551"/>
      <c r="B40" s="369">
        <f>B39-E39</f>
        <v>0</v>
      </c>
      <c r="C40" s="369"/>
      <c r="D40" s="369">
        <f>MAX(D39-E39,0)</f>
        <v>0</v>
      </c>
      <c r="E40" s="369">
        <f>MAX(B40-D40,0)</f>
        <v>0</v>
      </c>
      <c r="F40" s="369"/>
      <c r="G40" s="368">
        <f>$I$4</f>
        <v>0.5</v>
      </c>
      <c r="H40" s="356">
        <f>E40*G40</f>
        <v>0</v>
      </c>
    </row>
    <row r="41" spans="1:8" ht="12.75">
      <c r="A41" s="551"/>
      <c r="B41" s="372"/>
      <c r="C41" s="373"/>
      <c r="D41" s="374"/>
      <c r="E41" s="373"/>
      <c r="F41" s="372"/>
      <c r="G41" s="375" t="s">
        <v>342</v>
      </c>
      <c r="H41" s="376">
        <f>SUM(H36:H40)</f>
        <v>1687.8000000000002</v>
      </c>
    </row>
    <row r="42" spans="5:7" ht="12.75">
      <c r="E42" s="377"/>
      <c r="G42" s="381"/>
    </row>
    <row r="43" spans="1:8" ht="12.75" customHeight="1">
      <c r="A43" s="551" t="s">
        <v>338</v>
      </c>
      <c r="B43" s="363" t="s">
        <v>345</v>
      </c>
      <c r="C43" s="363" t="s">
        <v>346</v>
      </c>
      <c r="D43" s="363" t="s">
        <v>347</v>
      </c>
      <c r="E43" s="363" t="s">
        <v>348</v>
      </c>
      <c r="F43" s="363" t="s">
        <v>349</v>
      </c>
      <c r="G43" s="363" t="s">
        <v>319</v>
      </c>
      <c r="H43" s="363" t="s">
        <v>328</v>
      </c>
    </row>
    <row r="44" spans="1:8" ht="12.75">
      <c r="A44" s="551"/>
      <c r="B44" s="365">
        <f>$C$18</f>
        <v>15050</v>
      </c>
      <c r="C44" s="365">
        <f>$J$4</f>
        <v>6475</v>
      </c>
      <c r="D44" s="379">
        <f>MAX(D40-E40,0)</f>
        <v>0</v>
      </c>
      <c r="E44" s="380">
        <f>MIN(D44,B44,F36)</f>
        <v>0</v>
      </c>
      <c r="F44" s="369">
        <f>F36-E44</f>
        <v>0</v>
      </c>
      <c r="G44" s="368">
        <v>0</v>
      </c>
      <c r="H44" s="369">
        <f>E44*G44</f>
        <v>0</v>
      </c>
    </row>
    <row r="45" spans="1:8" ht="12.75">
      <c r="A45" s="551"/>
      <c r="B45" s="369">
        <f>B44-E44</f>
        <v>15050</v>
      </c>
      <c r="C45" s="365">
        <f>$D$3</f>
        <v>2440</v>
      </c>
      <c r="D45" s="369">
        <f>MAX(D44-E44,0)</f>
        <v>0</v>
      </c>
      <c r="E45" s="380">
        <f>MAX(MIN(B45-D45,C45,F37),0)</f>
        <v>0</v>
      </c>
      <c r="F45" s="369">
        <f>F37-E45</f>
        <v>0</v>
      </c>
      <c r="G45" s="368">
        <f>$C$4</f>
        <v>0.2</v>
      </c>
      <c r="H45" s="369">
        <f>E45*G45</f>
        <v>0</v>
      </c>
    </row>
    <row r="46" spans="1:8" ht="12.75">
      <c r="A46" s="551"/>
      <c r="B46" s="369">
        <f>B45-E45</f>
        <v>15050</v>
      </c>
      <c r="C46" s="365">
        <f>$F$3</f>
        <v>34960</v>
      </c>
      <c r="D46" s="369">
        <f>MAX(D45-E45,0)</f>
        <v>0</v>
      </c>
      <c r="E46" s="380">
        <f>MAX(MIN(B46-D46,C46,F38),0)</f>
        <v>15050</v>
      </c>
      <c r="F46" s="369">
        <f>F38-E46</f>
        <v>8041</v>
      </c>
      <c r="G46" s="368">
        <f>$E$4</f>
        <v>0.2</v>
      </c>
      <c r="H46" s="369">
        <f>E46*G46</f>
        <v>3010</v>
      </c>
    </row>
    <row r="47" spans="1:8" ht="12.75">
      <c r="A47" s="551"/>
      <c r="B47" s="369">
        <f>B46-E46</f>
        <v>0</v>
      </c>
      <c r="C47" s="365">
        <f>$H$3</f>
        <v>112600</v>
      </c>
      <c r="D47" s="369">
        <f>MAX(D46-E46,0)</f>
        <v>0</v>
      </c>
      <c r="E47" s="380">
        <f>MAX(MIN(B47-D47,C47,F39),0)</f>
        <v>0</v>
      </c>
      <c r="F47" s="369">
        <f>F39-E47</f>
        <v>112600</v>
      </c>
      <c r="G47" s="368">
        <f>$G$4</f>
        <v>0.4</v>
      </c>
      <c r="H47" s="369">
        <f>E47*G47</f>
        <v>0</v>
      </c>
    </row>
    <row r="48" spans="1:8" ht="12.75">
      <c r="A48" s="551"/>
      <c r="B48" s="369">
        <f>B47-E47</f>
        <v>0</v>
      </c>
      <c r="C48" s="369"/>
      <c r="D48" s="369">
        <f>MAX(D47-E47,0)</f>
        <v>0</v>
      </c>
      <c r="E48" s="369">
        <f>MAX(B48-D48,0)</f>
        <v>0</v>
      </c>
      <c r="F48" s="369"/>
      <c r="G48" s="368">
        <f>$I$4</f>
        <v>0.5</v>
      </c>
      <c r="H48" s="369">
        <f>E48*G48</f>
        <v>0</v>
      </c>
    </row>
    <row r="49" spans="1:8" ht="12.75">
      <c r="A49" s="551"/>
      <c r="B49" s="372"/>
      <c r="C49" s="373"/>
      <c r="D49" s="374"/>
      <c r="E49" s="373"/>
      <c r="F49" s="372"/>
      <c r="G49" s="375" t="s">
        <v>342</v>
      </c>
      <c r="H49" s="376">
        <f>SUM(H44:H48)</f>
        <v>3010</v>
      </c>
    </row>
    <row r="51" spans="1:8" ht="12.75" customHeight="1">
      <c r="A51" s="551" t="s">
        <v>339</v>
      </c>
      <c r="B51" s="363" t="s">
        <v>345</v>
      </c>
      <c r="C51" s="363" t="s">
        <v>346</v>
      </c>
      <c r="D51" s="363" t="s">
        <v>347</v>
      </c>
      <c r="E51" s="363" t="s">
        <v>348</v>
      </c>
      <c r="F51" s="363" t="s">
        <v>349</v>
      </c>
      <c r="G51" s="363" t="s">
        <v>319</v>
      </c>
      <c r="H51" s="363" t="s">
        <v>328</v>
      </c>
    </row>
    <row r="52" spans="1:8" ht="12.75">
      <c r="A52" s="551"/>
      <c r="B52" s="365">
        <f>$C$19</f>
        <v>236</v>
      </c>
      <c r="C52" s="365">
        <f>$J$4</f>
        <v>6475</v>
      </c>
      <c r="D52" s="379">
        <f>MAX(D48-E48,0)</f>
        <v>0</v>
      </c>
      <c r="E52" s="380">
        <f>MIN(D52,B52,F44)</f>
        <v>0</v>
      </c>
      <c r="F52" s="369">
        <f>F44-E52</f>
        <v>0</v>
      </c>
      <c r="G52" s="368">
        <v>0</v>
      </c>
      <c r="H52" s="369">
        <f>E52*G52</f>
        <v>0</v>
      </c>
    </row>
    <row r="53" spans="1:8" ht="12.75">
      <c r="A53" s="551"/>
      <c r="B53" s="369">
        <f>B52-E52</f>
        <v>236</v>
      </c>
      <c r="C53" s="365">
        <f>$D$3</f>
        <v>2440</v>
      </c>
      <c r="D53" s="369">
        <f>MAX(D52-E52,0)</f>
        <v>0</v>
      </c>
      <c r="E53" s="380">
        <f>MAX(MIN(B53-D53,C53,F45),0)</f>
        <v>0</v>
      </c>
      <c r="F53" s="369">
        <f>F45-E53</f>
        <v>0</v>
      </c>
      <c r="G53" s="368">
        <f>$C$5</f>
        <v>0.1</v>
      </c>
      <c r="H53" s="369">
        <f>E53*G53</f>
        <v>0</v>
      </c>
    </row>
    <row r="54" spans="1:8" ht="12.75">
      <c r="A54" s="551"/>
      <c r="B54" s="369">
        <f>B53-E53</f>
        <v>236</v>
      </c>
      <c r="C54" s="365">
        <f>$F$3</f>
        <v>34960</v>
      </c>
      <c r="D54" s="369">
        <f>MAX(D53-E53,0)</f>
        <v>0</v>
      </c>
      <c r="E54" s="380">
        <f>MAX(MIN(B54-D54,C54,F46),0)</f>
        <v>236</v>
      </c>
      <c r="F54" s="369">
        <f>F46-E54</f>
        <v>7805</v>
      </c>
      <c r="G54" s="368">
        <f>$E$5</f>
        <v>0.2</v>
      </c>
      <c r="H54" s="369">
        <f>E54*G54</f>
        <v>47.2</v>
      </c>
    </row>
    <row r="55" spans="1:8" ht="12.75">
      <c r="A55" s="551"/>
      <c r="B55" s="369">
        <f>B54-E54</f>
        <v>0</v>
      </c>
      <c r="C55" s="365">
        <f>$H$3</f>
        <v>112600</v>
      </c>
      <c r="D55" s="369">
        <f>MAX(D54-E54,0)</f>
        <v>0</v>
      </c>
      <c r="E55" s="380">
        <f>MAX(MIN(B55-D55,C55,F47),0)</f>
        <v>0</v>
      </c>
      <c r="F55" s="369">
        <f>F47-E55</f>
        <v>112600</v>
      </c>
      <c r="G55" s="368">
        <f>$G$5</f>
        <v>0.4</v>
      </c>
      <c r="H55" s="369">
        <f>E55*G55</f>
        <v>0</v>
      </c>
    </row>
    <row r="56" spans="1:8" ht="12.75">
      <c r="A56" s="551"/>
      <c r="B56" s="369">
        <f>B55-E55</f>
        <v>0</v>
      </c>
      <c r="C56" s="369"/>
      <c r="D56" s="369">
        <f>MAX(D55-E55,0)</f>
        <v>0</v>
      </c>
      <c r="E56" s="369">
        <f>MAX(B56-D56,0)</f>
        <v>0</v>
      </c>
      <c r="F56" s="369"/>
      <c r="G56" s="368">
        <f>$I$5</f>
        <v>0.5</v>
      </c>
      <c r="H56" s="369">
        <f>E56*G56</f>
        <v>0</v>
      </c>
    </row>
    <row r="57" spans="1:8" ht="12.75">
      <c r="A57" s="551"/>
      <c r="B57" s="372"/>
      <c r="C57" s="373"/>
      <c r="D57" s="374"/>
      <c r="E57" s="373"/>
      <c r="F57" s="372"/>
      <c r="G57" s="375" t="s">
        <v>342</v>
      </c>
      <c r="H57" s="376">
        <f>SUM(H52:H56)</f>
        <v>47.2</v>
      </c>
    </row>
    <row r="59" spans="1:8" ht="12.75" customHeight="1">
      <c r="A59" s="551" t="s">
        <v>340</v>
      </c>
      <c r="B59" s="363" t="s">
        <v>345</v>
      </c>
      <c r="C59" s="363" t="s">
        <v>346</v>
      </c>
      <c r="D59" s="363" t="s">
        <v>347</v>
      </c>
      <c r="E59" s="363" t="s">
        <v>348</v>
      </c>
      <c r="F59" s="363" t="s">
        <v>349</v>
      </c>
      <c r="G59" s="363" t="s">
        <v>319</v>
      </c>
      <c r="H59" s="363" t="s">
        <v>328</v>
      </c>
    </row>
    <row r="60" spans="1:8" ht="12.75">
      <c r="A60" s="551"/>
      <c r="B60" s="365">
        <f>$C$20</f>
        <v>58</v>
      </c>
      <c r="C60" s="365">
        <f>$J$4</f>
        <v>6475</v>
      </c>
      <c r="D60" s="379">
        <f>MAX(D56-E56,0)</f>
        <v>0</v>
      </c>
      <c r="E60" s="380">
        <f>MIN(D60,B60,F52)</f>
        <v>0</v>
      </c>
      <c r="F60" s="369">
        <f>F52-E60</f>
        <v>0</v>
      </c>
      <c r="G60" s="368">
        <v>0</v>
      </c>
      <c r="H60" s="369">
        <f>E60*G60</f>
        <v>0</v>
      </c>
    </row>
    <row r="61" spans="1:8" ht="12.75">
      <c r="A61" s="551"/>
      <c r="B61" s="369">
        <f>B60-E60</f>
        <v>58</v>
      </c>
      <c r="C61" s="365">
        <f>$D$3</f>
        <v>2440</v>
      </c>
      <c r="D61" s="369">
        <f>MAX(D60-E60,0)</f>
        <v>0</v>
      </c>
      <c r="E61" s="380">
        <f>MAX(MIN(B61-D61,C61,F53),0)</f>
        <v>0</v>
      </c>
      <c r="F61" s="369">
        <f>F53-E61</f>
        <v>0</v>
      </c>
      <c r="G61" s="368">
        <f>$C$6</f>
        <v>0</v>
      </c>
      <c r="H61" s="369">
        <f>E61*G61</f>
        <v>0</v>
      </c>
    </row>
    <row r="62" spans="1:8" ht="12.75">
      <c r="A62" s="551"/>
      <c r="B62" s="369">
        <f>B61-E61</f>
        <v>58</v>
      </c>
      <c r="C62" s="365">
        <f>$F$3</f>
        <v>34960</v>
      </c>
      <c r="D62" s="369">
        <f>MAX(D61-E61,0)</f>
        <v>0</v>
      </c>
      <c r="E62" s="380">
        <f>MAX(MIN(B62-D62,C62,F54),0)</f>
        <v>58</v>
      </c>
      <c r="F62" s="369">
        <f>F54-E62</f>
        <v>7747</v>
      </c>
      <c r="G62" s="368">
        <f>$E$6</f>
        <v>0</v>
      </c>
      <c r="H62" s="369">
        <f>E62*G62</f>
        <v>0</v>
      </c>
    </row>
    <row r="63" spans="1:8" ht="12.75">
      <c r="A63" s="551"/>
      <c r="B63" s="369">
        <f>B62-E62</f>
        <v>0</v>
      </c>
      <c r="C63" s="365">
        <f>$H$3</f>
        <v>112600</v>
      </c>
      <c r="D63" s="369">
        <f>MAX(D62-E62,0)</f>
        <v>0</v>
      </c>
      <c r="E63" s="380">
        <f>MAX(MIN(B63-D63,C63,F55),0)</f>
        <v>0</v>
      </c>
      <c r="F63" s="369">
        <f>F55-E63</f>
        <v>112600</v>
      </c>
      <c r="G63" s="368">
        <f>$G$6</f>
        <v>0.25</v>
      </c>
      <c r="H63" s="369">
        <f>E63*G63</f>
        <v>0</v>
      </c>
    </row>
    <row r="64" spans="1:8" ht="12.75">
      <c r="A64" s="551"/>
      <c r="B64" s="369">
        <f>B63-E63</f>
        <v>0</v>
      </c>
      <c r="C64" s="369"/>
      <c r="D64" s="369">
        <f>MAX(D63-E63,0)</f>
        <v>0</v>
      </c>
      <c r="E64" s="369">
        <f>MAX(B64-D64,0)</f>
        <v>0</v>
      </c>
      <c r="F64" s="369"/>
      <c r="G64" s="368">
        <f>$I$6</f>
        <v>0.36111111</v>
      </c>
      <c r="H64" s="369">
        <f>E64*G64</f>
        <v>0</v>
      </c>
    </row>
    <row r="65" spans="1:8" ht="12.75">
      <c r="A65" s="551"/>
      <c r="B65" s="372"/>
      <c r="C65" s="373"/>
      <c r="D65" s="374"/>
      <c r="E65" s="373"/>
      <c r="F65" s="372"/>
      <c r="G65" s="375" t="s">
        <v>342</v>
      </c>
      <c r="H65" s="376">
        <f>SUM(H60:H64)</f>
        <v>0</v>
      </c>
    </row>
    <row r="67" spans="1:8" ht="12.75" customHeight="1">
      <c r="A67" s="551" t="s">
        <v>341</v>
      </c>
      <c r="B67" s="363" t="s">
        <v>345</v>
      </c>
      <c r="C67" s="363" t="s">
        <v>346</v>
      </c>
      <c r="D67" s="363" t="s">
        <v>347</v>
      </c>
      <c r="E67" s="363" t="s">
        <v>348</v>
      </c>
      <c r="F67" s="363" t="s">
        <v>349</v>
      </c>
      <c r="G67" s="363" t="s">
        <v>319</v>
      </c>
      <c r="H67" s="363" t="s">
        <v>328</v>
      </c>
    </row>
    <row r="68" spans="1:8" ht="12.75">
      <c r="A68" s="551"/>
      <c r="B68" s="365">
        <f>$C$21</f>
        <v>49</v>
      </c>
      <c r="C68" s="365">
        <f>$J$4</f>
        <v>6475</v>
      </c>
      <c r="D68" s="379">
        <f>MAX(D64-E64,0)</f>
        <v>0</v>
      </c>
      <c r="E68" s="380">
        <f>MIN(D68,B68,F60)</f>
        <v>0</v>
      </c>
      <c r="F68" s="369">
        <f>F60-E68</f>
        <v>0</v>
      </c>
      <c r="G68" s="368">
        <v>0</v>
      </c>
      <c r="H68" s="369">
        <f>E68*G68</f>
        <v>0</v>
      </c>
    </row>
    <row r="69" spans="1:8" ht="12.75">
      <c r="A69" s="551"/>
      <c r="B69" s="369">
        <f>B68-E68</f>
        <v>49</v>
      </c>
      <c r="C69" s="365">
        <f>$D$3</f>
        <v>2440</v>
      </c>
      <c r="D69" s="369">
        <f>MAX(D68-E68,0)</f>
        <v>0</v>
      </c>
      <c r="E69" s="380">
        <f>MAX(MIN(B69-D69,C69,F61),0)</f>
        <v>0</v>
      </c>
      <c r="F69" s="369">
        <f>F61-E69</f>
        <v>0</v>
      </c>
      <c r="G69" s="368">
        <f>$C$7</f>
        <v>0</v>
      </c>
      <c r="H69" s="369">
        <f>E69*G69</f>
        <v>0</v>
      </c>
    </row>
    <row r="70" spans="1:8" ht="12.75">
      <c r="A70" s="551"/>
      <c r="B70" s="369">
        <f>B69-E69</f>
        <v>49</v>
      </c>
      <c r="C70" s="365">
        <f>$F$3</f>
        <v>34960</v>
      </c>
      <c r="D70" s="369">
        <f>MAX(D69-E69,0)</f>
        <v>0</v>
      </c>
      <c r="E70" s="380">
        <f>MAX(MIN(B70-D70,C70,F62),0)</f>
        <v>49</v>
      </c>
      <c r="F70" s="369">
        <f>F62-E70</f>
        <v>7698</v>
      </c>
      <c r="G70" s="368">
        <f>$E$7</f>
        <v>0.1</v>
      </c>
      <c r="H70" s="369">
        <f>E70*G70</f>
        <v>4.9</v>
      </c>
    </row>
    <row r="71" spans="1:8" ht="12.75">
      <c r="A71" s="551"/>
      <c r="B71" s="369">
        <f>B70-E70</f>
        <v>0</v>
      </c>
      <c r="C71" s="365">
        <f>$H$3</f>
        <v>112600</v>
      </c>
      <c r="D71" s="369">
        <f>MAX(D70-E70,0)</f>
        <v>0</v>
      </c>
      <c r="E71" s="380">
        <f>MAX(MIN(B71-D71,C71,F63),0)</f>
        <v>0</v>
      </c>
      <c r="F71" s="369">
        <f>F63-E71</f>
        <v>112600</v>
      </c>
      <c r="G71" s="368">
        <f>$G$7</f>
        <v>0.325</v>
      </c>
      <c r="H71" s="369">
        <f>E71*G71</f>
        <v>0</v>
      </c>
    </row>
    <row r="72" spans="1:8" ht="12.75">
      <c r="A72" s="551"/>
      <c r="B72" s="369">
        <f>B71-E71</f>
        <v>0</v>
      </c>
      <c r="C72" s="369"/>
      <c r="D72" s="369">
        <f>MAX(D71-E71,0)</f>
        <v>0</v>
      </c>
      <c r="E72" s="369">
        <f>MAX(B72-D72,0)</f>
        <v>0</v>
      </c>
      <c r="F72" s="369"/>
      <c r="G72" s="368">
        <f>$I$7</f>
        <v>0.425</v>
      </c>
      <c r="H72" s="369">
        <f>E72*G72</f>
        <v>0</v>
      </c>
    </row>
    <row r="73" spans="1:8" ht="12.75">
      <c r="A73" s="551"/>
      <c r="B73" s="372"/>
      <c r="C73" s="373"/>
      <c r="D73" s="374"/>
      <c r="E73" s="373"/>
      <c r="F73" s="372"/>
      <c r="G73" s="375" t="s">
        <v>342</v>
      </c>
      <c r="H73" s="376">
        <f>SUM(H68:H72)</f>
        <v>4.9</v>
      </c>
    </row>
    <row r="74" spans="1:8" ht="12.75">
      <c r="A74" s="382"/>
      <c r="B74" s="382"/>
      <c r="C74" s="382"/>
      <c r="D74" s="382"/>
      <c r="E74" s="382"/>
      <c r="F74" s="382"/>
      <c r="G74" s="382"/>
      <c r="H74" s="382"/>
    </row>
    <row r="75" spans="1:8" ht="12.75" customHeight="1">
      <c r="A75" s="551" t="s">
        <v>350</v>
      </c>
      <c r="B75" s="363" t="s">
        <v>345</v>
      </c>
      <c r="C75" s="363" t="s">
        <v>346</v>
      </c>
      <c r="D75" s="363" t="s">
        <v>347</v>
      </c>
      <c r="E75" s="363" t="s">
        <v>348</v>
      </c>
      <c r="F75" s="363" t="s">
        <v>349</v>
      </c>
      <c r="G75" s="363" t="s">
        <v>319</v>
      </c>
      <c r="H75" s="363" t="s">
        <v>328</v>
      </c>
    </row>
    <row r="76" spans="1:8" ht="12.75">
      <c r="A76" s="551"/>
      <c r="B76" s="365">
        <f>$C$16</f>
        <v>12345</v>
      </c>
      <c r="C76" s="365">
        <f>$J$10</f>
        <v>5720</v>
      </c>
      <c r="D76" s="366">
        <f>$J$10</f>
        <v>5720</v>
      </c>
      <c r="E76" s="367">
        <f>MIN(D76,B76)</f>
        <v>5720</v>
      </c>
      <c r="F76" s="367">
        <f>C76-E76</f>
        <v>0</v>
      </c>
      <c r="G76" s="368">
        <v>0</v>
      </c>
      <c r="H76" s="369">
        <f>E76*G76</f>
        <v>0</v>
      </c>
    </row>
    <row r="77" spans="1:8" ht="12.75">
      <c r="A77" s="551"/>
      <c r="B77" s="369">
        <f>B76-E76</f>
        <v>6625</v>
      </c>
      <c r="C77" s="365">
        <f>$C$10</f>
        <v>0</v>
      </c>
      <c r="D77" s="369">
        <f>MAX(D76-E76,0)</f>
        <v>0</v>
      </c>
      <c r="E77" s="367">
        <f>MAX(MIN(B77-D77,C77),0)</f>
        <v>0</v>
      </c>
      <c r="F77" s="367">
        <f>C77-E77</f>
        <v>0</v>
      </c>
      <c r="G77" s="368">
        <f>$D$10</f>
        <v>0</v>
      </c>
      <c r="H77" s="369">
        <f>E77*G77</f>
        <v>0</v>
      </c>
    </row>
    <row r="78" spans="1:8" ht="12.75">
      <c r="A78" s="551"/>
      <c r="B78" s="369">
        <f>B77-E77</f>
        <v>6625</v>
      </c>
      <c r="C78" s="365">
        <f>$E$10</f>
        <v>38168</v>
      </c>
      <c r="D78" s="369">
        <f>MAX(D77-E77,0)</f>
        <v>0</v>
      </c>
      <c r="E78" s="367">
        <f>MAX(MIN(B78-D78,C78),0)</f>
        <v>6625</v>
      </c>
      <c r="F78" s="367">
        <f>C78-E78</f>
        <v>31543</v>
      </c>
      <c r="G78" s="368">
        <f>$F$10</f>
        <v>0.11</v>
      </c>
      <c r="H78" s="369">
        <f>E78*G78</f>
        <v>728.75</v>
      </c>
    </row>
    <row r="79" spans="1:8" ht="12.75">
      <c r="A79" s="551"/>
      <c r="B79" s="369">
        <f>B78-E78</f>
        <v>0</v>
      </c>
      <c r="C79" s="365">
        <f>$G$10</f>
        <v>0</v>
      </c>
      <c r="D79" s="369">
        <f>MAX(D78-E78,0)</f>
        <v>0</v>
      </c>
      <c r="E79" s="367">
        <f>MAX(MIN(B79-D79,C79),0)</f>
        <v>0</v>
      </c>
      <c r="F79" s="367">
        <f>C79-E79</f>
        <v>0</v>
      </c>
      <c r="G79" s="368">
        <f>$H$10</f>
        <v>0.11</v>
      </c>
      <c r="H79" s="369">
        <f>E79*G79</f>
        <v>0</v>
      </c>
    </row>
    <row r="80" spans="1:8" ht="12.75">
      <c r="A80" s="551"/>
      <c r="B80" s="369">
        <f>B79-E79</f>
        <v>0</v>
      </c>
      <c r="C80" s="369"/>
      <c r="D80" s="369">
        <f>MAX(D79-E79,0)</f>
        <v>0</v>
      </c>
      <c r="E80" s="369">
        <f>MAX(B80-D80,0)</f>
        <v>0</v>
      </c>
      <c r="F80" s="369"/>
      <c r="G80" s="368">
        <f>$I$10</f>
        <v>0.01</v>
      </c>
      <c r="H80" s="369">
        <f>E80*G80</f>
        <v>0</v>
      </c>
    </row>
    <row r="81" spans="1:8" ht="12.75">
      <c r="A81" s="551"/>
      <c r="B81" s="372"/>
      <c r="C81" s="373"/>
      <c r="D81" s="374"/>
      <c r="E81" s="373"/>
      <c r="F81" s="372"/>
      <c r="G81" s="375" t="s">
        <v>342</v>
      </c>
      <c r="H81" s="376">
        <f>SUM(H76:H80)+K10</f>
        <v>728.75</v>
      </c>
    </row>
    <row r="83" spans="1:8" ht="12.75" customHeight="1">
      <c r="A83" s="551" t="s">
        <v>351</v>
      </c>
      <c r="B83" s="363" t="s">
        <v>345</v>
      </c>
      <c r="C83" s="363" t="s">
        <v>346</v>
      </c>
      <c r="D83" s="363" t="s">
        <v>347</v>
      </c>
      <c r="E83" s="363" t="s">
        <v>348</v>
      </c>
      <c r="F83" s="363" t="s">
        <v>349</v>
      </c>
      <c r="G83" s="363" t="s">
        <v>319</v>
      </c>
      <c r="H83" s="363" t="s">
        <v>328</v>
      </c>
    </row>
    <row r="84" spans="1:8" ht="12.75">
      <c r="A84" s="551"/>
      <c r="B84" s="365">
        <f>$C$17</f>
        <v>8439</v>
      </c>
      <c r="C84" s="365">
        <f>$J$11</f>
        <v>5715</v>
      </c>
      <c r="D84" s="366">
        <f>$J$11</f>
        <v>5715</v>
      </c>
      <c r="E84" s="367">
        <f>MIN(D84,B84)</f>
        <v>5715</v>
      </c>
      <c r="F84" s="367">
        <f>C84-E84</f>
        <v>0</v>
      </c>
      <c r="G84" s="368">
        <v>0</v>
      </c>
      <c r="H84" s="369">
        <f>E84*G84</f>
        <v>0</v>
      </c>
    </row>
    <row r="85" spans="1:8" ht="12.75">
      <c r="A85" s="551"/>
      <c r="B85" s="369">
        <f>B84-E84</f>
        <v>2724</v>
      </c>
      <c r="C85" s="365">
        <f>$C$11</f>
        <v>0</v>
      </c>
      <c r="D85" s="369">
        <f>MAX(D84-E84,0)</f>
        <v>0</v>
      </c>
      <c r="E85" s="367">
        <f>MAX(MIN(B85-D85,C85),0)</f>
        <v>0</v>
      </c>
      <c r="F85" s="367">
        <f>C85-E85</f>
        <v>0</v>
      </c>
      <c r="G85" s="368">
        <f>$D$11</f>
        <v>0</v>
      </c>
      <c r="H85" s="369">
        <f>E85*G85</f>
        <v>0</v>
      </c>
    </row>
    <row r="86" spans="1:8" ht="12.75">
      <c r="A86" s="551"/>
      <c r="B86" s="369">
        <f>B85-E85</f>
        <v>2724</v>
      </c>
      <c r="C86" s="365">
        <f>$E$11</f>
        <v>38160</v>
      </c>
      <c r="D86" s="369">
        <f>MAX(D85-E85,0)</f>
        <v>0</v>
      </c>
      <c r="E86" s="367">
        <f>MAX(MIN(B86-D86,C86),0)</f>
        <v>2724</v>
      </c>
      <c r="F86" s="367">
        <f>C86-E86</f>
        <v>35436</v>
      </c>
      <c r="G86" s="368">
        <f>$F$11</f>
        <v>0.08</v>
      </c>
      <c r="H86" s="369">
        <f>E86*G86</f>
        <v>217.92000000000002</v>
      </c>
    </row>
    <row r="87" spans="1:8" ht="12.75">
      <c r="A87" s="551"/>
      <c r="B87" s="369">
        <f>B86-E86</f>
        <v>0</v>
      </c>
      <c r="C87" s="365">
        <f>$G$11</f>
        <v>0</v>
      </c>
      <c r="D87" s="369">
        <f>MAX(D86-E86,0)</f>
        <v>0</v>
      </c>
      <c r="E87" s="367">
        <f>MAX(MIN(B87-D87,C87),0)</f>
        <v>0</v>
      </c>
      <c r="F87" s="367">
        <f>C87-E87</f>
        <v>0</v>
      </c>
      <c r="G87" s="368">
        <f>$H$11</f>
        <v>0.08</v>
      </c>
      <c r="H87" s="369">
        <f>E87*G87</f>
        <v>0</v>
      </c>
    </row>
    <row r="88" spans="1:8" ht="12.75">
      <c r="A88" s="551"/>
      <c r="B88" s="369">
        <f>B87-E87</f>
        <v>0</v>
      </c>
      <c r="C88" s="369"/>
      <c r="D88" s="369">
        <f>MAX(D87-E87,0)</f>
        <v>0</v>
      </c>
      <c r="E88" s="369">
        <f>MAX(B88-D88,0)</f>
        <v>0</v>
      </c>
      <c r="F88" s="369"/>
      <c r="G88" s="368">
        <f>$I$11</f>
        <v>0.01</v>
      </c>
      <c r="H88" s="369">
        <f>E88*G88</f>
        <v>0</v>
      </c>
    </row>
    <row r="89" spans="1:8" ht="12.75">
      <c r="A89" s="551"/>
      <c r="B89" s="372"/>
      <c r="C89" s="373"/>
      <c r="D89" s="374"/>
      <c r="E89" s="373"/>
      <c r="F89" s="372"/>
      <c r="G89" s="375" t="s">
        <v>342</v>
      </c>
      <c r="H89" s="376">
        <f>SUM(H84:H88)+K11</f>
        <v>342.72</v>
      </c>
    </row>
    <row r="91" spans="1:8" ht="12.75" customHeight="1">
      <c r="A91" s="551" t="s">
        <v>352</v>
      </c>
      <c r="B91" s="363" t="s">
        <v>345</v>
      </c>
      <c r="C91" s="363" t="s">
        <v>346</v>
      </c>
      <c r="D91" s="363" t="s">
        <v>347</v>
      </c>
      <c r="E91" s="363" t="s">
        <v>348</v>
      </c>
      <c r="F91" s="363" t="s">
        <v>349</v>
      </c>
      <c r="G91" s="363" t="s">
        <v>319</v>
      </c>
      <c r="H91" s="363" t="s">
        <v>328</v>
      </c>
    </row>
    <row r="92" spans="1:8" ht="12.75">
      <c r="A92" s="551"/>
      <c r="B92" s="365">
        <f>$C$16</f>
        <v>12345</v>
      </c>
      <c r="C92" s="365">
        <f>$J$12</f>
        <v>5720</v>
      </c>
      <c r="D92" s="366">
        <f>$J$12</f>
        <v>5720</v>
      </c>
      <c r="E92" s="367">
        <f>MIN(D92,B92)</f>
        <v>5720</v>
      </c>
      <c r="F92" s="367">
        <f>C92-E92</f>
        <v>0</v>
      </c>
      <c r="G92" s="368">
        <v>0</v>
      </c>
      <c r="H92" s="369">
        <f>E92*G92</f>
        <v>0</v>
      </c>
    </row>
    <row r="93" spans="1:8" ht="12.75">
      <c r="A93" s="551"/>
      <c r="B93" s="369">
        <f>B92-E92</f>
        <v>6625</v>
      </c>
      <c r="C93" s="365">
        <f>$C$12</f>
        <v>0</v>
      </c>
      <c r="D93" s="369">
        <f>MAX(D92-E92,0)</f>
        <v>0</v>
      </c>
      <c r="E93" s="367">
        <f>MAX(MIN(B93-D93,C93),0)</f>
        <v>0</v>
      </c>
      <c r="F93" s="367">
        <f>C93-E93</f>
        <v>0</v>
      </c>
      <c r="G93" s="368">
        <f>$D$12</f>
        <v>0</v>
      </c>
      <c r="H93" s="369">
        <f>E93*G93</f>
        <v>0</v>
      </c>
    </row>
    <row r="94" spans="1:8" ht="12.75">
      <c r="A94" s="551"/>
      <c r="B94" s="369">
        <f>B93-E93</f>
        <v>6625</v>
      </c>
      <c r="C94" s="365">
        <f>$E$12</f>
        <v>38168</v>
      </c>
      <c r="D94" s="369">
        <f>MAX(D93-E93,0)</f>
        <v>0</v>
      </c>
      <c r="E94" s="367">
        <f>MAX(MIN(B94-D94,C94),0)</f>
        <v>6625</v>
      </c>
      <c r="F94" s="367">
        <f>C94-E94</f>
        <v>31543</v>
      </c>
      <c r="G94" s="368">
        <f>$F$12</f>
        <v>0.094</v>
      </c>
      <c r="H94" s="369">
        <f>E94*G94</f>
        <v>622.75</v>
      </c>
    </row>
    <row r="95" spans="1:8" ht="12.75">
      <c r="A95" s="551"/>
      <c r="B95" s="369">
        <f>B94-E94</f>
        <v>0</v>
      </c>
      <c r="C95" s="365">
        <f>$G$12</f>
        <v>0</v>
      </c>
      <c r="D95" s="369">
        <f>MAX(D94-E94,0)</f>
        <v>0</v>
      </c>
      <c r="E95" s="367">
        <f>MAX(MIN(B95-D95,C95),0)</f>
        <v>0</v>
      </c>
      <c r="F95" s="367">
        <f>C95-E95</f>
        <v>0</v>
      </c>
      <c r="G95" s="368">
        <f>$H$12</f>
        <v>0.094</v>
      </c>
      <c r="H95" s="369">
        <f>E95*G95</f>
        <v>0</v>
      </c>
    </row>
    <row r="96" spans="1:8" ht="12.75">
      <c r="A96" s="551"/>
      <c r="B96" s="369">
        <f>B95-E95</f>
        <v>0</v>
      </c>
      <c r="C96" s="369"/>
      <c r="D96" s="369">
        <f>MAX(D95-E95,0)</f>
        <v>0</v>
      </c>
      <c r="E96" s="369">
        <f>MAX(B96-D96,0)</f>
        <v>0</v>
      </c>
      <c r="F96" s="369"/>
      <c r="G96" s="368">
        <f>$I$12</f>
        <v>0.01</v>
      </c>
      <c r="H96" s="369">
        <f>E96*G96</f>
        <v>0</v>
      </c>
    </row>
    <row r="97" spans="1:8" ht="12.75">
      <c r="A97" s="551"/>
      <c r="B97" s="372"/>
      <c r="C97" s="373"/>
      <c r="D97" s="374"/>
      <c r="E97" s="373"/>
      <c r="F97" s="372"/>
      <c r="G97" s="375" t="s">
        <v>342</v>
      </c>
      <c r="H97" s="376">
        <f>SUM(H92:H96)+K12</f>
        <v>622.75</v>
      </c>
    </row>
  </sheetData>
  <sheetProtection/>
  <mergeCells count="28">
    <mergeCell ref="A83:A89"/>
    <mergeCell ref="A91:A97"/>
    <mergeCell ref="A35:A41"/>
    <mergeCell ref="A43:A49"/>
    <mergeCell ref="A51:A57"/>
    <mergeCell ref="A59:A65"/>
    <mergeCell ref="A67:A73"/>
    <mergeCell ref="A75:A81"/>
    <mergeCell ref="C7:D7"/>
    <mergeCell ref="E7:F7"/>
    <mergeCell ref="G7:H7"/>
    <mergeCell ref="K15:M22"/>
    <mergeCell ref="A24:J25"/>
    <mergeCell ref="A27:A33"/>
    <mergeCell ref="C5:D5"/>
    <mergeCell ref="E5:F5"/>
    <mergeCell ref="G5:H5"/>
    <mergeCell ref="C6:D6"/>
    <mergeCell ref="E6:F6"/>
    <mergeCell ref="G6:H6"/>
    <mergeCell ref="A1:A3"/>
    <mergeCell ref="B1:B3"/>
    <mergeCell ref="C1:I1"/>
    <mergeCell ref="C2:D2"/>
    <mergeCell ref="I2:I3"/>
    <mergeCell ref="C4:D4"/>
    <mergeCell ref="E4:F4"/>
    <mergeCell ref="G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MymsMan</dc:creator>
  <cp:keywords/>
  <dc:description/>
  <cp:lastModifiedBy>MymsMan</cp:lastModifiedBy>
  <dcterms:created xsi:type="dcterms:W3CDTF">2014-07-05T17:45:59Z</dcterms:created>
  <dcterms:modified xsi:type="dcterms:W3CDTF">2014-07-23T16:22:21Z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