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5" activeTab="1"/>
  </bookViews>
  <sheets>
    <sheet name="MenuItems" sheetId="1" r:id="rId1"/>
    <sheet name="PV Loan Calculator" sheetId="2" r:id="rId2"/>
  </sheets>
  <definedNames>
    <definedName name="_xlnm.Print_Area" localSheetId="1">'PV Loan Calculator'!$B$1:$L$99</definedName>
    <definedName name="Account">'PV Loan Calculator'!$P$11:$P$13</definedName>
    <definedName name="CAC_TRC_YES_NO">'MenuItems'!$L$7:$L$9</definedName>
    <definedName name="CustCont">'PV Loan Calculator'!$E$19</definedName>
    <definedName name="FinFee">'PV Loan Calculator'!$E$9</definedName>
    <definedName name="HOI">'MenuItems'!$K$1:$K$2</definedName>
    <definedName name="HPWH_TRC_YES_NO">'MenuItems'!$L$12:$L$13</definedName>
    <definedName name="Interest">'MenuItems'!$A$1:$A$4</definedName>
    <definedName name="kwhprod">'PV Loan Calculator'!$E$15</definedName>
    <definedName name="LC_PSavings">'PV Loan Calculator'!$E$79</definedName>
    <definedName name="LED_TRC_YES_NO">'MenuItems'!$L$16:$L$18</definedName>
    <definedName name="LoanPrincipal">'PV Loan Calculator'!$E$57</definedName>
    <definedName name="MCash">'MenuItems'!$N$3:$N$32</definedName>
    <definedName name="MeasureList">'MenuItems'!$G$2:$G$8</definedName>
    <definedName name="MFinance">'MenuItems'!$U$3:$U$29</definedName>
    <definedName name="MLifeCash">'MenuItems'!$N$4:$Q$32</definedName>
    <definedName name="MLifeFinance">'MenuItems'!$U$4:$X$29</definedName>
    <definedName name="OtherInc">#N/A</definedName>
    <definedName name="PCost">'PV Loan Calculator'!$E$11</definedName>
    <definedName name="_xlnm.Print_Area">'PV Loan Calculator'!$B$1:$L$99</definedName>
    <definedName name="PType">'MenuItems'!$I$2:$I$3</definedName>
    <definedName name="PVINCENTIVE">'PV Loan Calculator'!$E$13</definedName>
    <definedName name="Save">'PV Loan Calculator'!$R$56:$R$58</definedName>
    <definedName name="SavingsAnnual">'PV Loan Calculator'!$E$21</definedName>
    <definedName name="SVCD">'PV Loan Calculator'!$P$11:$P$12</definedName>
    <definedName name="Time">'PV Loan Calculator'!$P$18:$P$20</definedName>
    <definedName name="TRC_Yes_No">'MenuItems'!$L$2:$L$4</definedName>
    <definedName name="Unsecured">'MenuItems'!$J$1:$J$2</definedName>
    <definedName name="UnsecuredSIR">'PV Loan Calculator'!$G$29:$L$29</definedName>
    <definedName name="utility">'PV Loan Calculator'!$E$17</definedName>
    <definedName name="ValidAccounts">'MenuItems'!$D$1:$D$2</definedName>
    <definedName name="ValidPeriod">'MenuItems'!$E$1:$E$3</definedName>
    <definedName name="ValidRates">'MenuItems'!$A$1:$A$2</definedName>
    <definedName name="ValidTerms">'MenuItems'!$B$1:$B$3</definedName>
    <definedName name="WeightedAvgMLife">'PV Loan Calculator'!$E$23</definedName>
    <definedName name="Years">'MenuItems'!$B$1:$B$3</definedName>
    <definedName name="YESNO">'MenuItems'!$K$1:$K$2</definedName>
  </definedNames>
  <calcPr fullCalcOnLoad="1"/>
</workbook>
</file>

<file path=xl/sharedStrings.xml><?xml version="1.0" encoding="utf-8"?>
<sst xmlns="http://schemas.openxmlformats.org/spreadsheetml/2006/main" count="288" uniqueCount="196">
  <si>
    <t>Savings Account</t>
  </si>
  <si>
    <t>Monthly</t>
  </si>
  <si>
    <t>Measure</t>
  </si>
  <si>
    <t>Life</t>
  </si>
  <si>
    <t>Yes</t>
  </si>
  <si>
    <t>Insulation TRC Eligible?</t>
  </si>
  <si>
    <t>CASH BACK HOI AND FINANCING INCENTIVE</t>
  </si>
  <si>
    <t>FINANCING INCENTIVE ONLY</t>
  </si>
  <si>
    <t>Certificate of Deposit (CD)</t>
  </si>
  <si>
    <t>Annual</t>
  </si>
  <si>
    <t>HEMI</t>
  </si>
  <si>
    <t>No</t>
  </si>
  <si>
    <t>Yes-Program Rules for Insulation</t>
  </si>
  <si>
    <t>Category</t>
  </si>
  <si>
    <t>Minimum Efficiency Requirements</t>
  </si>
  <si>
    <t>Measure Life Category</t>
  </si>
  <si>
    <t>Loan Term</t>
  </si>
  <si>
    <t>Envelope - Roof Insulation</t>
  </si>
  <si>
    <t>Assisted</t>
  </si>
  <si>
    <t>Yes-TRC Screening Tool</t>
  </si>
  <si>
    <t xml:space="preserve">Envelope- Rim Joist Insulation </t>
  </si>
  <si>
    <t>No-Fails TRC</t>
  </si>
  <si>
    <t xml:space="preserve">Furnace – Natural Gas **1,2 </t>
  </si>
  <si>
    <t>Primary Heating and Cooling System</t>
  </si>
  <si>
    <t xml:space="preserve">AFUE 92% (as long as not prohibited by local codes). Furnaces with ECM Motor allowed. </t>
  </si>
  <si>
    <t>Replacement Windows</t>
  </si>
  <si>
    <t>Building Shell</t>
  </si>
  <si>
    <t xml:space="preserve">ENERGY STAR for climate/region </t>
  </si>
  <si>
    <t xml:space="preserve">Envelope- Ceiling Insulation </t>
  </si>
  <si>
    <t>Furnace – LP **1,2</t>
  </si>
  <si>
    <t>Storm Windows and Storm Doors</t>
  </si>
  <si>
    <t xml:space="preserve">No minimum efficiency requirement </t>
  </si>
  <si>
    <t xml:space="preserve">Envelope- Floor Insulation </t>
  </si>
  <si>
    <t>CAC TRC Eligible?</t>
  </si>
  <si>
    <t xml:space="preserve">Furnace – Fuel Oil **1,2 </t>
  </si>
  <si>
    <t xml:space="preserve">AFUE 85% </t>
  </si>
  <si>
    <t>Movable Window Insulation</t>
  </si>
  <si>
    <t xml:space="preserve">R-3 </t>
  </si>
  <si>
    <t>Envelope - Wall Insulation</t>
  </si>
  <si>
    <t>Yes-ConEd or Central Hudson Utility Area</t>
  </si>
  <si>
    <t>Boiler - Condensing **1</t>
  </si>
  <si>
    <t xml:space="preserve">AFUE 90% </t>
  </si>
  <si>
    <t>Exterior Doors</t>
  </si>
  <si>
    <t>HVAC - Central AC/HP</t>
  </si>
  <si>
    <t>Boiler – Hot Water **1</t>
  </si>
  <si>
    <t xml:space="preserve">Air Source Heat Pump (electric split systems) **1,2 </t>
  </si>
  <si>
    <t xml:space="preserve">14.5 SEER / 12 EER / 8.5 HSPF </t>
  </si>
  <si>
    <t>Boiler – Steam **1</t>
  </si>
  <si>
    <t xml:space="preserve">AFUE 82% (size must be matched to cumulative capacity of connected radiators, per Institute of Boilers &amp; Radiator Mfrs (IBR) standards) </t>
  </si>
  <si>
    <t xml:space="preserve">Ground Source Heat Pump **1,2 </t>
  </si>
  <si>
    <t xml:space="preserve">ENERGY STAR Qualified (closed-loop, open-loop, or direct expansion) </t>
  </si>
  <si>
    <t>Boiler Reset Controls</t>
  </si>
  <si>
    <t>Programmed properly per manufacturer’s specifications and site conditions. Maximum price of $250.</t>
  </si>
  <si>
    <t>Wood/or Solid Fuel Pellet Stove **1</t>
  </si>
  <si>
    <t xml:space="preserve">EPA phase 2 (Solid fuel pellet stoves are exempt from EPA Phase 2) </t>
  </si>
  <si>
    <t>Heat Pump Water Heater TRC Eligible?</t>
  </si>
  <si>
    <t xml:space="preserve">Distribution Improvements in Oil or Propane Heated Homes **1,3 </t>
  </si>
  <si>
    <t xml:space="preserve">Installed in accordance with all applicable state and local codes </t>
  </si>
  <si>
    <t>Distribution Improvements (NG or Electricity Heated Homes) **1,3</t>
  </si>
  <si>
    <t>Installed in accordance with all applicable state and local codes.</t>
  </si>
  <si>
    <t>Duct Sealing **1</t>
  </si>
  <si>
    <t xml:space="preserve">UL 181B Mastic or other permanent sealant; use of duct tape is disallowed </t>
  </si>
  <si>
    <t>Solar Thermal **1</t>
  </si>
  <si>
    <t xml:space="preserve">OG-300 certification from SRCC. SF 0.5. Warranty: 10 years-collector, 6 years-storage tank. 2 years-control. 1 year-piping and parts. </t>
  </si>
  <si>
    <t>Pipe Insulation - Natural Gas **1</t>
  </si>
  <si>
    <t xml:space="preserve">Water Heater - Natural Gas </t>
  </si>
  <si>
    <t xml:space="preserve">Water Heater </t>
  </si>
  <si>
    <t xml:space="preserve">&lt;51 gallon EF.63 / &gt;51 gallon EF.53 </t>
  </si>
  <si>
    <t>Pipe Insulation - Electric **1</t>
  </si>
  <si>
    <t>Water Heater - Natural Gas, Instantaneous</t>
  </si>
  <si>
    <t xml:space="preserve">Instantaneous: EF .78 </t>
  </si>
  <si>
    <t>LED TRC Eligible?</t>
  </si>
  <si>
    <t xml:space="preserve">Central Air Conditioner (split system) **1,4 </t>
  </si>
  <si>
    <t xml:space="preserve">AHRI Certificate Required. 14.5 SEER / 12 EER. Except in Con Edison and Central Hudson electric territory, this measure is subject to site-specific analysis and pre-approval by CSG in order to determine eligibility. </t>
  </si>
  <si>
    <t xml:space="preserve">Water Heater - Electric </t>
  </si>
  <si>
    <t xml:space="preserve">EF .93 </t>
  </si>
  <si>
    <t>Yes-on the Eligible LED list</t>
  </si>
  <si>
    <t>Programmable Thermostat **1</t>
  </si>
  <si>
    <t xml:space="preserve">5+2 day programmable thermostat. Limited to one thermostat installed per unit. </t>
  </si>
  <si>
    <t xml:space="preserve">Hot Water Tank Insulation - Natural Gas or Electric </t>
  </si>
  <si>
    <t xml:space="preserve">R-10 </t>
  </si>
  <si>
    <t xml:space="preserve">Insulation (attic, wall, floor, band joist, basement, crawl space) </t>
  </si>
  <si>
    <t>Must be accompanied by blower door assisted air sealing per BPI and program guidelines.  Those measures falling outside of the "Program Rules for Insulation Policy" must pass the "TRC Screening Tool" (see tab below).</t>
  </si>
  <si>
    <t xml:space="preserve">Dishwasher </t>
  </si>
  <si>
    <t>Appliances &amp; Lighting</t>
  </si>
  <si>
    <t xml:space="preserve">ENERGY STAR Qualified </t>
  </si>
  <si>
    <t xml:space="preserve">Air Sealing </t>
  </si>
  <si>
    <t xml:space="preserve">Supervised by professional; blower door assisted per BPI and program guidelines </t>
  </si>
  <si>
    <t xml:space="preserve">Clothes washer </t>
  </si>
  <si>
    <t xml:space="preserve">Water Heater - Propane or Oil </t>
  </si>
  <si>
    <t>LEDs **5</t>
  </si>
  <si>
    <t>Water Heater - Propane or Oil, Instantaneous</t>
  </si>
  <si>
    <t>Light Fixtures **5</t>
  </si>
  <si>
    <t xml:space="preserve">ENERGY STAR Qualified for compact fluorescent, or electronic ballast for fluorescent tubes </t>
  </si>
  <si>
    <t xml:space="preserve">Water Heater - Indirect-Fired Tank </t>
  </si>
  <si>
    <t xml:space="preserve">UL Approved </t>
  </si>
  <si>
    <t xml:space="preserve">Smoke Detectors, Radon Detectors, and CO Detectors </t>
  </si>
  <si>
    <t>Health and Safety</t>
  </si>
  <si>
    <t xml:space="preserve">Hard wired or battery operated </t>
  </si>
  <si>
    <t xml:space="preserve">Hot Water Tank Insulation – Oil or Propane </t>
  </si>
  <si>
    <t xml:space="preserve">Ventilation Fans (Whole house fans or similar attic exhaust fans are not eligible) </t>
  </si>
  <si>
    <t xml:space="preserve">ENERGY STAR Qualified (must vent to exterior of building shell) </t>
  </si>
  <si>
    <t>Heat Pump Water Heater</t>
  </si>
  <si>
    <t>Subject to site-specific TRC analysis and pre-approval by CSG in order to determine eligibility.  See "TRC Screening Tool" tab.</t>
  </si>
  <si>
    <t xml:space="preserve">Repairs/upgrades to heating and/or DHW systems to correct spillage, inadequate draft, CO failures </t>
  </si>
  <si>
    <t xml:space="preserve">Per code and/or manufacturer specifications, as appropriate </t>
  </si>
  <si>
    <t xml:space="preserve">Faucet Aerator </t>
  </si>
  <si>
    <t xml:space="preserve">Conservation </t>
  </si>
  <si>
    <t xml:space="preserve">Measures to provide sufficient combustion air and prevent CAZ depressurization, spillage or inadequate draft </t>
  </si>
  <si>
    <t xml:space="preserve">Allowed when BPI-required combustion safety tests indicate problem(s) with CAZ depressurization, draft or spillage, per BPI standards </t>
  </si>
  <si>
    <t xml:space="preserve">Low Flow Showerhead </t>
  </si>
  <si>
    <t xml:space="preserve">Maximum flow rate of 1.5 gallons per minute. Aerating type showerheads not eligible. </t>
  </si>
  <si>
    <t xml:space="preserve">Gas leak repair </t>
  </si>
  <si>
    <t xml:space="preserve">Repaired in compliance with applicable codes </t>
  </si>
  <si>
    <t>Refrigerator **5</t>
  </si>
  <si>
    <t xml:space="preserve">Appliances &amp; Lighting </t>
  </si>
  <si>
    <t xml:space="preserve">ENERGY STAR Qualified. Existing refrigerators must be greater than 10 years old to be eligible for replacement. </t>
  </si>
  <si>
    <t xml:space="preserve">Dry vent repair </t>
  </si>
  <si>
    <t>Freezer **5</t>
  </si>
  <si>
    <t xml:space="preserve">Heat/Energy Recovery Ventilator </t>
  </si>
  <si>
    <t>Dehumidifier **5</t>
  </si>
  <si>
    <t xml:space="preserve">Gas Oven Replacements, venting repairs and repairs to reduce carbon monoxide </t>
  </si>
  <si>
    <t xml:space="preserve">UL Listed Gas Ovens </t>
  </si>
  <si>
    <t>Room Air Conditioner **5</t>
  </si>
  <si>
    <t>Other</t>
  </si>
  <si>
    <t>CFLs **5</t>
  </si>
  <si>
    <t>Please refer to the Contractor Support Site portal for a list of eligible LEDs.</t>
  </si>
  <si>
    <t>Project Information</t>
  </si>
  <si>
    <t>Customer Information</t>
  </si>
  <si>
    <t>$150 Processing Fee Financed?</t>
  </si>
  <si>
    <t>Name:</t>
  </si>
  <si>
    <t>Jane Smith</t>
  </si>
  <si>
    <t>Total Cost of Project</t>
  </si>
  <si>
    <t>Address:</t>
  </si>
  <si>
    <t>123 Central St</t>
  </si>
  <si>
    <t>NYSERDA PV Incentive</t>
  </si>
  <si>
    <t>City, State, Zip:</t>
  </si>
  <si>
    <t>Syracuse, NY 12345</t>
  </si>
  <si>
    <t>Annual kWh Produced by System</t>
  </si>
  <si>
    <t>Customer Utility</t>
  </si>
  <si>
    <t>NYSEG</t>
  </si>
  <si>
    <t>PV Installer/Contractor Information</t>
  </si>
  <si>
    <t>Customer Contribution</t>
  </si>
  <si>
    <t>ABC Contractor</t>
  </si>
  <si>
    <t>Annual Value of kWh Generated (Estimated)</t>
  </si>
  <si>
    <t>Average Measure Life (Years)</t>
  </si>
  <si>
    <t>Loan Eligibilitity Criteria</t>
  </si>
  <si>
    <t>On-Bill Recovery Loan at 3.49% APR</t>
  </si>
  <si>
    <t>Smart Energy Loan at 3.49% APR</t>
  </si>
  <si>
    <t>Smart Energy Loan at 3.99% APR</t>
  </si>
  <si>
    <t>5 Year</t>
  </si>
  <si>
    <t>10 Year</t>
  </si>
  <si>
    <t>15 Year</t>
  </si>
  <si>
    <t>SIR</t>
  </si>
  <si>
    <t>Required Customer Contribution</t>
  </si>
  <si>
    <t>-or-</t>
  </si>
  <si>
    <t>Required FY Savings</t>
  </si>
  <si>
    <t>LoanPrincipal Compliance Value</t>
  </si>
  <si>
    <t xml:space="preserve"> Savings Compliance value</t>
  </si>
  <si>
    <t>Cash Flow Eligibility</t>
  </si>
  <si>
    <t xml:space="preserve">Loans &gt;$13,000 Payback Must be &lt;=15 Years  </t>
  </si>
  <si>
    <r>
      <t>OBR-</t>
    </r>
    <r>
      <rPr>
        <sz val="10"/>
        <color indexed="8"/>
        <rFont val="Times New Roman"/>
        <family val="1"/>
      </rPr>
      <t xml:space="preserve"> 1/12th Rule                                                   </t>
    </r>
    <r>
      <rPr>
        <b/>
        <sz val="10"/>
        <color indexed="8"/>
        <rFont val="Times New Roman"/>
        <family val="1"/>
      </rPr>
      <t xml:space="preserve">Smart Energy- </t>
    </r>
    <r>
      <rPr>
        <sz val="10"/>
        <color indexed="8"/>
        <rFont val="Times New Roman"/>
        <family val="1"/>
      </rPr>
      <t xml:space="preserve">loan term &lt;= average measure life </t>
    </r>
  </si>
  <si>
    <t>LoanPrincipal Compliance Value (1/12)</t>
  </si>
  <si>
    <t xml:space="preserve"> FY Savings Compliance value (1/12)</t>
  </si>
  <si>
    <t>Monthly Cash flow (1/12)</t>
  </si>
  <si>
    <t>LoanPrincipal Compliance Value (Payback)</t>
  </si>
  <si>
    <t xml:space="preserve"> FY Savings Compliance value (Payback)</t>
  </si>
  <si>
    <t>Payback Period</t>
  </si>
  <si>
    <t>Loan Calculator</t>
  </si>
  <si>
    <t>On-Bill Recovery Loan</t>
  </si>
  <si>
    <t>Smart Energy Loan</t>
  </si>
  <si>
    <t xml:space="preserve"> Personal Loan</t>
  </si>
  <si>
    <t>Loan Information</t>
  </si>
  <si>
    <t>Loan Amount (Above)</t>
  </si>
  <si>
    <t xml:space="preserve">Term in Years    </t>
  </si>
  <si>
    <t>Interest</t>
  </si>
  <si>
    <t>Payment Information</t>
  </si>
  <si>
    <t>Monthly Payment</t>
  </si>
  <si>
    <t>Total Invested</t>
  </si>
  <si>
    <t>Interest Accrued</t>
  </si>
  <si>
    <t>Savings After Improvement</t>
  </si>
  <si>
    <t>Dollar Savings</t>
  </si>
  <si>
    <t>Loan Payment Amount</t>
  </si>
  <si>
    <t>Net</t>
  </si>
  <si>
    <t>Project Lifetime Energy Savings</t>
  </si>
  <si>
    <t>Simple Payback Period (Years)</t>
  </si>
  <si>
    <t>Notes</t>
  </si>
  <si>
    <t>PV Installer/Contractor Notes</t>
  </si>
  <si>
    <t>NYSERDA Notes</t>
  </si>
  <si>
    <t>NYSERDA Project Number</t>
  </si>
  <si>
    <t xml:space="preserve">Reviewed by </t>
  </si>
  <si>
    <t>Central Hudson</t>
  </si>
  <si>
    <t>ConEd</t>
  </si>
  <si>
    <t>NGRID Upstate</t>
  </si>
  <si>
    <t>O &amp; R</t>
  </si>
  <si>
    <t>RG&amp;E</t>
  </si>
</sst>
</file>

<file path=xl/styles.xml><?xml version="1.0" encoding="utf-8"?>
<styleSheet xmlns="http://schemas.openxmlformats.org/spreadsheetml/2006/main">
  <numFmts count="16">
    <numFmt numFmtId="164" formatCode="GENERAL"/>
    <numFmt numFmtId="165" formatCode="0.00%"/>
    <numFmt numFmtId="166" formatCode="_(* #,##0.00_);_(* \(#,##0.00\);_(* \-??_);_(@_)"/>
    <numFmt numFmtId="167" formatCode="_(\$* #,##0.00_);_(\$* \(#,##0.00\);_(\$* \-??_);_(@_)"/>
    <numFmt numFmtId="168" formatCode="\$#,##0.00_);[RED]&quot;($&quot;#,##0.00\);&quot;&quot;"/>
    <numFmt numFmtId="169" formatCode="GENERAL"/>
    <numFmt numFmtId="170" formatCode="#,##0_);[RED]\(#,##0\);&quot;&quot;"/>
    <numFmt numFmtId="171" formatCode="0%"/>
    <numFmt numFmtId="172" formatCode="0"/>
    <numFmt numFmtId="173" formatCode="0.00"/>
    <numFmt numFmtId="174" formatCode="\$#,##0.00_);[RED]&quot;($&quot;#,##0.00\)"/>
    <numFmt numFmtId="175" formatCode="\$#,##0.00"/>
    <numFmt numFmtId="176" formatCode="#,##0"/>
    <numFmt numFmtId="177" formatCode="\$#,##0"/>
    <numFmt numFmtId="178" formatCode="#,##0.00"/>
    <numFmt numFmtId="179" formatCode="\$#,##0.000;[RED]\$#,##0.000"/>
  </numFmts>
  <fonts count="38">
    <font>
      <sz val="10"/>
      <name val="Arial"/>
      <family val="2"/>
    </font>
    <font>
      <sz val="10"/>
      <name val="Arial Unicode MS"/>
      <family val="2"/>
    </font>
    <font>
      <sz val="10"/>
      <color indexed="8"/>
      <name val="Arial"/>
      <family val="2"/>
    </font>
    <font>
      <sz val="10"/>
      <color indexed="9"/>
      <name val="Arial"/>
      <family val="2"/>
    </font>
    <font>
      <sz val="10"/>
      <color indexed="20"/>
      <name val="Arial"/>
      <family val="2"/>
    </font>
    <font>
      <sz val="9"/>
      <color indexed="12"/>
      <name val="Geneva"/>
      <family val="2"/>
    </font>
    <font>
      <b/>
      <sz val="9"/>
      <color indexed="12"/>
      <name val="Geneva"/>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sz val="9"/>
      <color indexed="10"/>
      <name val="Geneva"/>
      <family val="2"/>
    </font>
    <font>
      <b/>
      <sz val="18"/>
      <color indexed="56"/>
      <name val="Cambria"/>
      <family val="2"/>
    </font>
    <font>
      <b/>
      <sz val="10"/>
      <color indexed="8"/>
      <name val="Arial"/>
      <family val="2"/>
    </font>
    <font>
      <sz val="10"/>
      <color indexed="10"/>
      <name val="Arial"/>
      <family val="2"/>
    </font>
    <font>
      <sz val="16"/>
      <color indexed="8"/>
      <name val="Calibri"/>
      <family val="2"/>
    </font>
    <font>
      <b/>
      <sz val="16"/>
      <color indexed="8"/>
      <name val="Calibri"/>
      <family val="2"/>
    </font>
    <font>
      <sz val="16"/>
      <name val="Calibri"/>
      <family val="2"/>
    </font>
    <font>
      <b/>
      <sz val="14"/>
      <color indexed="8"/>
      <name val="Calibri"/>
      <family val="2"/>
    </font>
    <font>
      <sz val="14"/>
      <color indexed="8"/>
      <name val="Calibri"/>
      <family val="2"/>
    </font>
    <font>
      <sz val="12"/>
      <color indexed="8"/>
      <name val="Times New Roman"/>
      <family val="1"/>
    </font>
    <font>
      <b/>
      <sz val="12"/>
      <color indexed="8"/>
      <name val="Times New Roman"/>
      <family val="1"/>
    </font>
    <font>
      <sz val="12"/>
      <name val="Times New Roman"/>
      <family val="1"/>
    </font>
    <font>
      <sz val="10"/>
      <color indexed="8"/>
      <name val="Times New Roman"/>
      <family val="1"/>
    </font>
    <font>
      <b/>
      <sz val="10"/>
      <color indexed="8"/>
      <name val="Times New Roman"/>
      <family val="1"/>
    </font>
    <font>
      <sz val="12"/>
      <color indexed="10"/>
      <name val="Times New Roman"/>
      <family val="1"/>
    </font>
    <font>
      <u val="single"/>
      <sz val="12"/>
      <color indexed="8"/>
      <name val="Times New Roman"/>
      <family val="1"/>
    </font>
    <font>
      <b/>
      <sz val="14"/>
      <color indexed="8"/>
      <name val="Times New Roman"/>
      <family val="1"/>
    </font>
    <font>
      <sz val="14"/>
      <color indexed="8"/>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24"/>
        <bgColor indexed="64"/>
      </patternFill>
    </fill>
    <fill>
      <patternFill patternType="solid">
        <fgColor indexed="9"/>
        <bgColor indexed="64"/>
      </patternFill>
    </fill>
    <fill>
      <patternFill patternType="solid">
        <fgColor indexed="50"/>
        <bgColor indexed="64"/>
      </patternFill>
    </fill>
    <fill>
      <patternFill patternType="solid">
        <fgColor indexed="34"/>
        <bgColor indexed="64"/>
      </patternFill>
    </fill>
  </fills>
  <borders count="46">
    <border>
      <left/>
      <right/>
      <top/>
      <bottom/>
      <diagonal/>
    </border>
    <border>
      <left style="thin">
        <color indexed="22"/>
      </left>
      <right>
        <color indexed="63"/>
      </right>
      <top>
        <color indexed="63"/>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23"/>
      </top>
      <bottom style="thin">
        <color indexed="12"/>
      </bottom>
    </border>
    <border>
      <left>
        <color indexed="63"/>
      </left>
      <right>
        <color indexed="63"/>
      </right>
      <top style="thin">
        <color indexed="21"/>
      </top>
      <bottom>
        <color indexed="63"/>
      </bottom>
    </border>
    <border>
      <left>
        <color indexed="63"/>
      </left>
      <right>
        <color indexed="63"/>
      </right>
      <top style="thin">
        <color indexed="62"/>
      </top>
      <bottom style="double">
        <color indexed="62"/>
      </bottom>
    </border>
    <border>
      <left style="hair">
        <color indexed="8"/>
      </left>
      <right>
        <color indexed="63"/>
      </right>
      <top>
        <color indexed="63"/>
      </top>
      <bottom style="hair">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s>
  <cellStyleXfs count="11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3" borderId="0" applyNumberFormat="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1" fillId="0" borderId="1" applyNumberFormat="0" applyFill="0" applyAlignment="0">
      <protection locked="0"/>
    </xf>
    <xf numFmtId="164" fontId="7" fillId="20" borderId="2" applyNumberFormat="0" applyAlignment="0" applyProtection="0"/>
    <xf numFmtId="164" fontId="8" fillId="21" borderId="3" applyNumberFormat="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8" fontId="1" fillId="0" borderId="0" applyBorder="0" applyAlignment="0">
      <protection/>
    </xf>
    <xf numFmtId="168" fontId="1" fillId="0" borderId="0" applyBorder="0" applyAlignment="0">
      <protection/>
    </xf>
    <xf numFmtId="164" fontId="9" fillId="0" borderId="0" applyNumberFormat="0" applyFill="0" applyBorder="0" applyAlignment="0" applyProtection="0"/>
    <xf numFmtId="164" fontId="10" fillId="4" borderId="0" applyNumberFormat="0" applyBorder="0" applyAlignment="0" applyProtection="0"/>
    <xf numFmtId="164" fontId="11" fillId="0" borderId="4" applyNumberFormat="0" applyFill="0" applyAlignment="0" applyProtection="0"/>
    <xf numFmtId="164" fontId="12" fillId="0" borderId="5" applyNumberFormat="0" applyFill="0" applyAlignment="0" applyProtection="0"/>
    <xf numFmtId="164" fontId="13" fillId="0" borderId="6" applyNumberFormat="0" applyFill="0" applyAlignment="0" applyProtection="0"/>
    <xf numFmtId="164" fontId="13" fillId="0" borderId="0" applyNumberFormat="0" applyFill="0" applyBorder="0" applyAlignment="0" applyProtection="0"/>
    <xf numFmtId="164" fontId="14" fillId="0" borderId="0" applyNumberFormat="0" applyFill="0" applyBorder="0" applyAlignment="0" applyProtection="0"/>
    <xf numFmtId="164" fontId="15" fillId="7" borderId="2" applyNumberFormat="0" applyAlignment="0" applyProtection="0"/>
    <xf numFmtId="164" fontId="1" fillId="6" borderId="0" applyNumberFormat="0" applyBorder="0" applyAlignment="0" applyProtection="0"/>
    <xf numFmtId="164" fontId="16" fillId="0" borderId="7" applyNumberFormat="0" applyFill="0" applyAlignment="0" applyProtection="0"/>
    <xf numFmtId="164" fontId="17" fillId="22" borderId="0" applyNumberFormat="0" applyBorder="0" applyAlignment="0" applyProtection="0"/>
    <xf numFmtId="164" fontId="18" fillId="0" borderId="0">
      <alignment/>
      <protection/>
    </xf>
    <xf numFmtId="164" fontId="18"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8"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8" fillId="0" borderId="0">
      <alignment/>
      <protection/>
    </xf>
    <xf numFmtId="164" fontId="1" fillId="23" borderId="8" applyNumberFormat="0" applyAlignment="0" applyProtection="0"/>
    <xf numFmtId="170" fontId="1" fillId="0" borderId="0" applyFill="0" applyBorder="0" applyAlignment="0" applyProtection="0"/>
    <xf numFmtId="170" fontId="1" fillId="0" borderId="0" applyFill="0" applyBorder="0" applyAlignment="0" applyProtection="0"/>
    <xf numFmtId="164" fontId="1" fillId="24" borderId="0" applyNumberFormat="0" applyBorder="0" applyAlignment="0" applyProtection="0"/>
    <xf numFmtId="164" fontId="19" fillId="20" borderId="9" applyNumberFormat="0" applyAlignment="0" applyProtection="0"/>
    <xf numFmtId="171" fontId="1" fillId="0" borderId="0" applyFill="0" applyBorder="0" applyAlignment="0" applyProtection="0"/>
    <xf numFmtId="171" fontId="1" fillId="0" borderId="0" applyFill="0" applyBorder="0" applyAlignment="0" applyProtection="0"/>
    <xf numFmtId="171" fontId="1" fillId="0" borderId="0" applyFill="0" applyBorder="0" applyAlignment="0" applyProtection="0"/>
    <xf numFmtId="171" fontId="1" fillId="0" borderId="0" applyFill="0" applyBorder="0" applyAlignment="0" applyProtection="0"/>
    <xf numFmtId="171" fontId="1" fillId="0" borderId="0" applyFill="0" applyBorder="0" applyAlignment="0" applyProtection="0"/>
    <xf numFmtId="171" fontId="1" fillId="0" borderId="0" applyFill="0" applyBorder="0" applyAlignment="0" applyProtection="0"/>
    <xf numFmtId="171" fontId="1" fillId="0" borderId="0" applyFill="0" applyBorder="0" applyAlignment="0" applyProtection="0"/>
    <xf numFmtId="164" fontId="1" fillId="9" borderId="0" applyNumberFormat="0" applyBorder="0" applyAlignment="0" applyProtection="0"/>
    <xf numFmtId="164" fontId="20" fillId="0" borderId="0" applyNumberFormat="0" applyFill="0" applyBorder="0" applyAlignment="0" applyProtection="0"/>
    <xf numFmtId="164" fontId="1" fillId="0" borderId="10" applyNumberFormat="0" applyFill="0" applyAlignment="0" applyProtection="0"/>
    <xf numFmtId="164" fontId="21" fillId="0" borderId="0" applyNumberFormat="0" applyFill="0" applyBorder="0" applyAlignment="0" applyProtection="0"/>
    <xf numFmtId="164" fontId="1" fillId="0" borderId="11" applyNumberFormat="0" applyFill="0" applyAlignment="0" applyProtection="0"/>
    <xf numFmtId="164" fontId="22" fillId="0" borderId="12" applyNumberFormat="0" applyFill="0" applyAlignment="0" applyProtection="0"/>
    <xf numFmtId="164" fontId="1" fillId="0" borderId="13" applyNumberFormat="0" applyFill="0" applyAlignment="0">
      <protection locked="0"/>
    </xf>
    <xf numFmtId="164" fontId="23" fillId="0" borderId="0" applyNumberFormat="0" applyFill="0" applyBorder="0" applyAlignment="0" applyProtection="0"/>
  </cellStyleXfs>
  <cellXfs count="174">
    <xf numFmtId="164" fontId="0" fillId="0" borderId="0" xfId="0" applyAlignment="1">
      <alignment/>
    </xf>
    <xf numFmtId="164" fontId="24" fillId="0" borderId="0" xfId="79" applyFont="1">
      <alignment/>
      <protection/>
    </xf>
    <xf numFmtId="164" fontId="24" fillId="0" borderId="0" xfId="79" applyFont="1" applyFill="1">
      <alignment/>
      <protection/>
    </xf>
    <xf numFmtId="164" fontId="18" fillId="0" borderId="0" xfId="79">
      <alignment/>
      <protection/>
    </xf>
    <xf numFmtId="164" fontId="24" fillId="0" borderId="0" xfId="79" applyFont="1" applyAlignment="1">
      <alignment/>
      <protection/>
    </xf>
    <xf numFmtId="165" fontId="24" fillId="24" borderId="0" xfId="97" applyNumberFormat="1" applyFont="1" applyFill="1" applyBorder="1" applyAlignment="1" applyProtection="1">
      <alignment horizontal="right"/>
      <protection/>
    </xf>
    <xf numFmtId="172" fontId="24" fillId="24" borderId="0" xfId="79" applyNumberFormat="1" applyFont="1" applyFill="1" applyAlignment="1">
      <alignment horizontal="right"/>
      <protection/>
    </xf>
    <xf numFmtId="164" fontId="24" fillId="24" borderId="0" xfId="79" applyFont="1" applyFill="1">
      <alignment/>
      <protection/>
    </xf>
    <xf numFmtId="165" fontId="24" fillId="0" borderId="0" xfId="79" applyNumberFormat="1" applyFont="1">
      <alignment/>
      <protection/>
    </xf>
    <xf numFmtId="164" fontId="25" fillId="0" borderId="0" xfId="79" applyFont="1">
      <alignment/>
      <protection/>
    </xf>
    <xf numFmtId="164" fontId="26" fillId="25" borderId="14" xfId="79" applyFont="1" applyFill="1" applyBorder="1" applyAlignment="1" applyProtection="1">
      <alignment horizontal="left" vertical="center"/>
      <protection locked="0"/>
    </xf>
    <xf numFmtId="164" fontId="27" fillId="0" borderId="0" xfId="79" applyFont="1" applyAlignment="1">
      <alignment/>
      <protection/>
    </xf>
    <xf numFmtId="164" fontId="25" fillId="0" borderId="0" xfId="79" applyFont="1" applyAlignment="1">
      <alignment/>
      <protection/>
    </xf>
    <xf numFmtId="164" fontId="28" fillId="0" borderId="0" xfId="79" applyFont="1" applyAlignment="1">
      <alignment/>
      <protection/>
    </xf>
    <xf numFmtId="164" fontId="24" fillId="0" borderId="0" xfId="79" applyFont="1" applyAlignment="1">
      <alignment horizontal="center"/>
      <protection/>
    </xf>
    <xf numFmtId="164" fontId="29" fillId="0" borderId="0" xfId="79" applyFont="1" applyAlignment="1" applyProtection="1">
      <alignment vertical="center"/>
      <protection hidden="1"/>
    </xf>
    <xf numFmtId="173" fontId="29" fillId="0" borderId="0" xfId="79" applyNumberFormat="1" applyFont="1" applyAlignment="1" applyProtection="1">
      <alignment vertical="center"/>
      <protection hidden="1"/>
    </xf>
    <xf numFmtId="174" fontId="29" fillId="0" borderId="0" xfId="79" applyNumberFormat="1" applyFont="1" applyAlignment="1" applyProtection="1">
      <alignment vertical="center"/>
      <protection hidden="1"/>
    </xf>
    <xf numFmtId="175" fontId="29" fillId="0" borderId="0" xfId="79" applyNumberFormat="1" applyFont="1" applyAlignment="1" applyProtection="1">
      <alignment vertical="center"/>
      <protection hidden="1"/>
    </xf>
    <xf numFmtId="164" fontId="30" fillId="26" borderId="15" xfId="79" applyFont="1" applyFill="1" applyBorder="1" applyAlignment="1" applyProtection="1">
      <alignment horizontal="center" vertical="center"/>
      <protection hidden="1"/>
    </xf>
    <xf numFmtId="164" fontId="29" fillId="0" borderId="16" xfId="79" applyFont="1" applyBorder="1" applyAlignment="1" applyProtection="1">
      <alignment vertical="center"/>
      <protection hidden="1"/>
    </xf>
    <xf numFmtId="164" fontId="29" fillId="0" borderId="0" xfId="79" applyFont="1" applyBorder="1" applyAlignment="1" applyProtection="1">
      <alignment vertical="center"/>
      <protection hidden="1"/>
    </xf>
    <xf numFmtId="164" fontId="29" fillId="0" borderId="17" xfId="79" applyFont="1" applyBorder="1" applyAlignment="1" applyProtection="1">
      <alignment vertical="center"/>
      <protection hidden="1"/>
    </xf>
    <xf numFmtId="164" fontId="29" fillId="0" borderId="18" xfId="79" applyFont="1" applyBorder="1" applyAlignment="1" applyProtection="1">
      <alignment vertical="center"/>
      <protection hidden="1"/>
    </xf>
    <xf numFmtId="164" fontId="29" fillId="0" borderId="19" xfId="79" applyFont="1" applyBorder="1" applyAlignment="1" applyProtection="1">
      <alignment vertical="center"/>
      <protection hidden="1"/>
    </xf>
    <xf numFmtId="164" fontId="29" fillId="24" borderId="14" xfId="79" applyFont="1" applyFill="1" applyBorder="1" applyAlignment="1" applyProtection="1">
      <alignment horizontal="center" vertical="center"/>
      <protection hidden="1" locked="0"/>
    </xf>
    <xf numFmtId="164" fontId="29" fillId="0" borderId="20" xfId="79" applyFont="1" applyBorder="1" applyAlignment="1" applyProtection="1">
      <alignment vertical="center"/>
      <protection hidden="1"/>
    </xf>
    <xf numFmtId="164" fontId="29" fillId="0" borderId="21" xfId="79" applyFont="1" applyBorder="1" applyAlignment="1" applyProtection="1">
      <alignment horizontal="center" vertical="center"/>
      <protection hidden="1" locked="0"/>
    </xf>
    <xf numFmtId="164" fontId="29" fillId="0" borderId="20" xfId="79" applyFont="1" applyBorder="1" applyAlignment="1" applyProtection="1">
      <alignment horizontal="center" vertical="center"/>
      <protection hidden="1"/>
    </xf>
    <xf numFmtId="175" fontId="29" fillId="24" borderId="14" xfId="79" applyNumberFormat="1" applyFont="1" applyFill="1" applyBorder="1" applyAlignment="1" applyProtection="1">
      <alignment horizontal="center" vertical="center"/>
      <protection hidden="1" locked="0"/>
    </xf>
    <xf numFmtId="175" fontId="29" fillId="0" borderId="20" xfId="79" applyNumberFormat="1" applyFont="1" applyFill="1" applyBorder="1" applyAlignment="1" applyProtection="1">
      <alignment horizontal="center" vertical="center"/>
      <protection hidden="1"/>
    </xf>
    <xf numFmtId="164" fontId="29" fillId="0" borderId="22" xfId="79" applyFont="1" applyBorder="1" applyAlignment="1" applyProtection="1">
      <alignment horizontal="center" vertical="center"/>
      <protection hidden="1"/>
    </xf>
    <xf numFmtId="164" fontId="29" fillId="0" borderId="0" xfId="79" applyFont="1" applyFill="1" applyBorder="1" applyAlignment="1" applyProtection="1">
      <alignment vertical="center"/>
      <protection hidden="1"/>
    </xf>
    <xf numFmtId="164" fontId="29" fillId="0" borderId="20" xfId="79" applyFont="1" applyFill="1" applyBorder="1" applyAlignment="1" applyProtection="1">
      <alignment vertical="center"/>
      <protection hidden="1"/>
    </xf>
    <xf numFmtId="164" fontId="29" fillId="0" borderId="16" xfId="79" applyFont="1" applyBorder="1" applyAlignment="1" applyProtection="1">
      <alignment vertical="center" wrapText="1"/>
      <protection hidden="1"/>
    </xf>
    <xf numFmtId="175" fontId="29" fillId="27" borderId="0" xfId="79" applyNumberFormat="1" applyFont="1" applyFill="1" applyBorder="1" applyAlignment="1" applyProtection="1">
      <alignment horizontal="center" vertical="center"/>
      <protection hidden="1" locked="0"/>
    </xf>
    <xf numFmtId="164" fontId="29" fillId="0" borderId="23" xfId="79" applyFont="1" applyBorder="1" applyAlignment="1" applyProtection="1">
      <alignment vertical="center" wrapText="1"/>
      <protection hidden="1"/>
    </xf>
    <xf numFmtId="164" fontId="29" fillId="0" borderId="24" xfId="79" applyFont="1" applyBorder="1" applyAlignment="1" applyProtection="1">
      <alignment horizontal="center" vertical="center"/>
      <protection hidden="1" locked="0"/>
    </xf>
    <xf numFmtId="164" fontId="29" fillId="0" borderId="25" xfId="79" applyFont="1" applyBorder="1" applyAlignment="1" applyProtection="1">
      <alignment horizontal="center" vertical="center"/>
      <protection hidden="1"/>
    </xf>
    <xf numFmtId="176" fontId="29" fillId="24" borderId="14" xfId="79" applyNumberFormat="1" applyFont="1" applyFill="1" applyBorder="1" applyAlignment="1" applyProtection="1">
      <alignment horizontal="center" vertical="center"/>
      <protection hidden="1" locked="0"/>
    </xf>
    <xf numFmtId="164" fontId="29" fillId="0" borderId="0" xfId="79" applyFont="1" applyBorder="1" applyAlignment="1" applyProtection="1">
      <alignment horizontal="center" vertical="center"/>
      <protection hidden="1"/>
    </xf>
    <xf numFmtId="164" fontId="29" fillId="24" borderId="14" xfId="79" applyNumberFormat="1" applyFont="1" applyFill="1" applyBorder="1" applyAlignment="1" applyProtection="1">
      <alignment horizontal="center" vertical="center"/>
      <protection hidden="1" locked="0"/>
    </xf>
    <xf numFmtId="175" fontId="29" fillId="0" borderId="16" xfId="79" applyNumberFormat="1" applyFont="1" applyBorder="1" applyAlignment="1" applyProtection="1">
      <alignment vertical="center"/>
      <protection hidden="1"/>
    </xf>
    <xf numFmtId="175" fontId="29" fillId="0" borderId="0" xfId="79" applyNumberFormat="1" applyFont="1" applyBorder="1" applyAlignment="1" applyProtection="1">
      <alignment horizontal="center" vertical="center"/>
      <protection hidden="1"/>
    </xf>
    <xf numFmtId="175" fontId="31" fillId="24" borderId="14" xfId="79" applyNumberFormat="1" applyFont="1" applyFill="1" applyBorder="1" applyAlignment="1" applyProtection="1">
      <alignment horizontal="center" vertical="center"/>
      <protection hidden="1" locked="0"/>
    </xf>
    <xf numFmtId="164" fontId="29" fillId="0" borderId="23" xfId="79" applyFont="1" applyBorder="1" applyAlignment="1" applyProtection="1">
      <alignment vertical="center"/>
      <protection hidden="1"/>
    </xf>
    <xf numFmtId="164" fontId="29" fillId="0" borderId="24" xfId="79" applyFont="1" applyBorder="1" applyAlignment="1" applyProtection="1">
      <alignment vertical="center"/>
      <protection hidden="1"/>
    </xf>
    <xf numFmtId="164" fontId="29" fillId="0" borderId="25" xfId="79" applyFont="1" applyBorder="1" applyAlignment="1" applyProtection="1">
      <alignment vertical="center"/>
      <protection hidden="1"/>
    </xf>
    <xf numFmtId="175" fontId="29" fillId="27" borderId="14" xfId="79" applyNumberFormat="1" applyFont="1" applyFill="1" applyBorder="1" applyAlignment="1" applyProtection="1">
      <alignment horizontal="center" vertical="center"/>
      <protection hidden="1"/>
    </xf>
    <xf numFmtId="173" fontId="29" fillId="27" borderId="14" xfId="79" applyNumberFormat="1" applyFont="1" applyFill="1" applyBorder="1" applyAlignment="1" applyProtection="1">
      <alignment horizontal="center" vertical="center"/>
      <protection hidden="1"/>
    </xf>
    <xf numFmtId="165" fontId="29" fillId="0" borderId="0" xfId="79" applyNumberFormat="1" applyFont="1" applyAlignment="1" applyProtection="1">
      <alignment vertical="center"/>
      <protection hidden="1"/>
    </xf>
    <xf numFmtId="165" fontId="29" fillId="0" borderId="0" xfId="101" applyNumberFormat="1" applyFont="1" applyFill="1" applyBorder="1" applyAlignment="1" applyProtection="1">
      <alignment vertical="center"/>
      <protection hidden="1"/>
    </xf>
    <xf numFmtId="164" fontId="30" fillId="28" borderId="15" xfId="79" applyFont="1" applyFill="1" applyBorder="1" applyAlignment="1" applyProtection="1">
      <alignment horizontal="center" vertical="center" textRotation="90" wrapText="1"/>
      <protection hidden="1"/>
    </xf>
    <xf numFmtId="164" fontId="30" fillId="0" borderId="26" xfId="79" applyFont="1" applyBorder="1" applyAlignment="1" applyProtection="1">
      <alignment horizontal="center" vertical="center"/>
      <protection hidden="1"/>
    </xf>
    <xf numFmtId="164" fontId="30" fillId="0" borderId="27" xfId="79" applyFont="1" applyBorder="1" applyAlignment="1" applyProtection="1">
      <alignment horizontal="center" vertical="center"/>
      <protection hidden="1"/>
    </xf>
    <xf numFmtId="164" fontId="29" fillId="0" borderId="28" xfId="79" applyFont="1" applyBorder="1" applyAlignment="1" applyProtection="1">
      <alignment horizontal="center" vertical="center"/>
      <protection hidden="1"/>
    </xf>
    <xf numFmtId="164" fontId="29" fillId="0" borderId="29" xfId="79" applyFont="1" applyBorder="1" applyAlignment="1" applyProtection="1">
      <alignment horizontal="center" vertical="center"/>
      <protection hidden="1"/>
    </xf>
    <xf numFmtId="164" fontId="29" fillId="0" borderId="30" xfId="79" applyFont="1" applyBorder="1" applyAlignment="1" applyProtection="1">
      <alignment horizontal="center" vertical="center"/>
      <protection hidden="1"/>
    </xf>
    <xf numFmtId="164" fontId="29" fillId="0" borderId="31" xfId="79" applyFont="1" applyBorder="1" applyAlignment="1" applyProtection="1">
      <alignment horizontal="center" vertical="center"/>
      <protection hidden="1"/>
    </xf>
    <xf numFmtId="164" fontId="29" fillId="0" borderId="22" xfId="79" applyFont="1" applyBorder="1" applyAlignment="1" applyProtection="1">
      <alignment vertical="center"/>
      <protection hidden="1"/>
    </xf>
    <xf numFmtId="164" fontId="29" fillId="0" borderId="32" xfId="79" applyFont="1" applyBorder="1" applyAlignment="1" applyProtection="1">
      <alignment horizontal="center" vertical="center"/>
      <protection hidden="1"/>
    </xf>
    <xf numFmtId="164" fontId="29" fillId="0" borderId="33" xfId="79" applyFont="1" applyBorder="1" applyAlignment="1" applyProtection="1">
      <alignment horizontal="center" vertical="center"/>
      <protection hidden="1"/>
    </xf>
    <xf numFmtId="164" fontId="29" fillId="0" borderId="17" xfId="79" applyFont="1" applyBorder="1" applyAlignment="1" applyProtection="1">
      <alignment horizontal="center" vertical="center"/>
      <protection hidden="1"/>
    </xf>
    <xf numFmtId="164" fontId="30" fillId="0" borderId="22" xfId="79" applyFont="1" applyBorder="1" applyAlignment="1" applyProtection="1">
      <alignment vertical="center"/>
      <protection hidden="1"/>
    </xf>
    <xf numFmtId="173" fontId="29" fillId="0" borderId="34" xfId="79" applyNumberFormat="1" applyFont="1" applyBorder="1" applyAlignment="1" applyProtection="1">
      <alignment horizontal="center" vertical="center"/>
      <protection hidden="1"/>
    </xf>
    <xf numFmtId="173" fontId="29" fillId="0" borderId="35" xfId="79" applyNumberFormat="1" applyFont="1" applyBorder="1" applyAlignment="1" applyProtection="1">
      <alignment horizontal="center" vertical="center"/>
      <protection hidden="1"/>
    </xf>
    <xf numFmtId="173" fontId="29" fillId="0" borderId="36" xfId="79" applyNumberFormat="1" applyFont="1" applyBorder="1" applyAlignment="1" applyProtection="1">
      <alignment horizontal="center" vertical="center"/>
      <protection hidden="1"/>
    </xf>
    <xf numFmtId="173" fontId="29" fillId="0" borderId="34" xfId="79" applyNumberFormat="1" applyFont="1" applyFill="1" applyBorder="1" applyAlignment="1" applyProtection="1">
      <alignment horizontal="center" vertical="center"/>
      <protection hidden="1"/>
    </xf>
    <xf numFmtId="173" fontId="29" fillId="0" borderId="35" xfId="79" applyNumberFormat="1" applyFont="1" applyFill="1" applyBorder="1" applyAlignment="1" applyProtection="1">
      <alignment horizontal="center" vertical="center"/>
      <protection hidden="1"/>
    </xf>
    <xf numFmtId="173" fontId="29" fillId="0" borderId="36" xfId="79" applyNumberFormat="1" applyFont="1" applyFill="1" applyBorder="1" applyAlignment="1" applyProtection="1">
      <alignment horizontal="center" vertical="center"/>
      <protection hidden="1"/>
    </xf>
    <xf numFmtId="173" fontId="29" fillId="0" borderId="20" xfId="79" applyNumberFormat="1" applyFont="1" applyFill="1" applyBorder="1" applyAlignment="1" applyProtection="1">
      <alignment horizontal="center" vertical="center"/>
      <protection hidden="1"/>
    </xf>
    <xf numFmtId="164" fontId="32" fillId="0" borderId="22" xfId="79" applyFont="1" applyBorder="1" applyAlignment="1" applyProtection="1">
      <alignment horizontal="center" vertical="center" wrapText="1"/>
      <protection hidden="1"/>
    </xf>
    <xf numFmtId="177" fontId="29" fillId="0" borderId="34" xfId="79" applyNumberFormat="1" applyFont="1" applyBorder="1" applyAlignment="1" applyProtection="1">
      <alignment horizontal="center" vertical="center"/>
      <protection hidden="1"/>
    </xf>
    <xf numFmtId="177" fontId="29" fillId="0" borderId="35" xfId="79" applyNumberFormat="1" applyFont="1" applyBorder="1" applyAlignment="1" applyProtection="1">
      <alignment horizontal="center" vertical="center"/>
      <protection hidden="1"/>
    </xf>
    <xf numFmtId="177" fontId="29" fillId="0" borderId="36" xfId="79" applyNumberFormat="1" applyFont="1" applyBorder="1" applyAlignment="1" applyProtection="1">
      <alignment horizontal="center" vertical="center"/>
      <protection hidden="1"/>
    </xf>
    <xf numFmtId="177" fontId="29" fillId="0" borderId="37" xfId="79" applyNumberFormat="1" applyFont="1" applyBorder="1" applyAlignment="1" applyProtection="1">
      <alignment horizontal="center" vertical="center"/>
      <protection hidden="1"/>
    </xf>
    <xf numFmtId="175" fontId="29" fillId="0" borderId="34" xfId="79" applyNumberFormat="1" applyFont="1" applyBorder="1" applyAlignment="1" applyProtection="1">
      <alignment horizontal="center" vertical="center"/>
      <protection hidden="1"/>
    </xf>
    <xf numFmtId="175" fontId="29" fillId="0" borderId="35" xfId="79" applyNumberFormat="1" applyFont="1" applyBorder="1" applyAlignment="1" applyProtection="1">
      <alignment horizontal="center" vertical="center"/>
      <protection hidden="1"/>
    </xf>
    <xf numFmtId="175" fontId="29" fillId="0" borderId="36" xfId="79" applyNumberFormat="1" applyFont="1" applyBorder="1" applyAlignment="1" applyProtection="1">
      <alignment horizontal="center" vertical="center"/>
      <protection hidden="1"/>
    </xf>
    <xf numFmtId="175" fontId="29" fillId="0" borderId="37" xfId="79" applyNumberFormat="1" applyFont="1" applyBorder="1" applyAlignment="1" applyProtection="1">
      <alignment horizontal="center" vertical="center"/>
      <protection hidden="1"/>
    </xf>
    <xf numFmtId="164" fontId="32" fillId="0" borderId="22" xfId="79" applyFont="1" applyBorder="1" applyAlignment="1" applyProtection="1">
      <alignment horizontal="center" vertical="center"/>
      <protection hidden="1"/>
    </xf>
    <xf numFmtId="164" fontId="32" fillId="0" borderId="22" xfId="79" applyFont="1" applyBorder="1" applyAlignment="1" applyProtection="1">
      <alignment horizontal="right" vertical="center"/>
      <protection hidden="1"/>
    </xf>
    <xf numFmtId="177" fontId="32" fillId="0" borderId="22" xfId="79" applyNumberFormat="1" applyFont="1" applyBorder="1" applyAlignment="1" applyProtection="1">
      <alignment horizontal="right" vertical="center"/>
      <protection hidden="1"/>
    </xf>
    <xf numFmtId="173" fontId="29" fillId="0" borderId="37" xfId="79" applyNumberFormat="1" applyFont="1" applyBorder="1" applyAlignment="1" applyProtection="1">
      <alignment horizontal="center" vertical="center"/>
      <protection hidden="1"/>
    </xf>
    <xf numFmtId="177" fontId="32" fillId="0" borderId="38" xfId="79" applyNumberFormat="1" applyFont="1" applyBorder="1" applyAlignment="1" applyProtection="1">
      <alignment horizontal="right" vertical="center"/>
      <protection hidden="1"/>
    </xf>
    <xf numFmtId="175" fontId="29" fillId="0" borderId="39" xfId="79" applyNumberFormat="1" applyFont="1" applyBorder="1" applyAlignment="1" applyProtection="1">
      <alignment horizontal="center" vertical="center"/>
      <protection hidden="1"/>
    </xf>
    <xf numFmtId="175" fontId="29" fillId="0" borderId="40" xfId="79" applyNumberFormat="1" applyFont="1" applyBorder="1" applyAlignment="1" applyProtection="1">
      <alignment horizontal="center" vertical="center"/>
      <protection hidden="1"/>
    </xf>
    <xf numFmtId="175" fontId="29" fillId="0" borderId="25" xfId="79" applyNumberFormat="1" applyFont="1" applyBorder="1" applyAlignment="1" applyProtection="1">
      <alignment horizontal="center" vertical="center"/>
      <protection hidden="1"/>
    </xf>
    <xf numFmtId="175" fontId="29" fillId="0" borderId="41" xfId="79" applyNumberFormat="1" applyFont="1" applyBorder="1" applyAlignment="1" applyProtection="1">
      <alignment horizontal="center" vertical="center"/>
      <protection hidden="1"/>
    </xf>
    <xf numFmtId="164" fontId="30" fillId="29" borderId="22" xfId="79" applyFont="1" applyFill="1" applyBorder="1" applyAlignment="1" applyProtection="1">
      <alignment vertical="center" wrapText="1"/>
      <protection hidden="1"/>
    </xf>
    <xf numFmtId="173" fontId="31" fillId="29" borderId="34" xfId="79" applyNumberFormat="1" applyFont="1" applyFill="1" applyBorder="1" applyAlignment="1" applyProtection="1">
      <alignment horizontal="center" vertical="center"/>
      <protection hidden="1"/>
    </xf>
    <xf numFmtId="173" fontId="31" fillId="29" borderId="35" xfId="79" applyNumberFormat="1" applyFont="1" applyFill="1" applyBorder="1" applyAlignment="1" applyProtection="1">
      <alignment horizontal="center" vertical="center"/>
      <protection hidden="1"/>
    </xf>
    <xf numFmtId="173" fontId="31" fillId="29" borderId="36" xfId="79" applyNumberFormat="1" applyFont="1" applyFill="1" applyBorder="1" applyAlignment="1" applyProtection="1">
      <alignment horizontal="center" vertical="center"/>
      <protection hidden="1"/>
    </xf>
    <xf numFmtId="173" fontId="31" fillId="29" borderId="37" xfId="79" applyNumberFormat="1" applyFont="1" applyFill="1" applyBorder="1" applyAlignment="1" applyProtection="1">
      <alignment horizontal="center" vertical="center"/>
      <protection hidden="1"/>
    </xf>
    <xf numFmtId="164" fontId="29" fillId="0" borderId="0" xfId="79" applyFont="1" applyFill="1" applyAlignment="1" applyProtection="1">
      <alignment vertical="center"/>
      <protection hidden="1"/>
    </xf>
    <xf numFmtId="164" fontId="32" fillId="29" borderId="22" xfId="79" applyFont="1" applyFill="1" applyBorder="1" applyAlignment="1" applyProtection="1">
      <alignment vertical="center" wrapText="1"/>
      <protection hidden="1"/>
    </xf>
    <xf numFmtId="173" fontId="31" fillId="29" borderId="20" xfId="79" applyNumberFormat="1" applyFont="1" applyFill="1" applyBorder="1" applyAlignment="1" applyProtection="1">
      <alignment horizontal="center" vertical="center"/>
      <protection hidden="1"/>
    </xf>
    <xf numFmtId="164" fontId="33" fillId="29" borderId="22" xfId="79" applyFont="1" applyFill="1" applyBorder="1" applyAlignment="1" applyProtection="1">
      <alignment vertical="center" wrapText="1"/>
      <protection hidden="1"/>
    </xf>
    <xf numFmtId="164" fontId="29" fillId="27" borderId="0" xfId="79" applyFont="1" applyFill="1" applyAlignment="1" applyProtection="1">
      <alignment vertical="center"/>
      <protection hidden="1"/>
    </xf>
    <xf numFmtId="164" fontId="32" fillId="29" borderId="22" xfId="79" applyFont="1" applyFill="1" applyBorder="1" applyAlignment="1" applyProtection="1">
      <alignment horizontal="center" vertical="center" wrapText="1"/>
      <protection hidden="1"/>
    </xf>
    <xf numFmtId="177" fontId="29" fillId="29" borderId="34" xfId="79" applyNumberFormat="1" applyFont="1" applyFill="1" applyBorder="1" applyAlignment="1" applyProtection="1">
      <alignment horizontal="center" vertical="center"/>
      <protection hidden="1"/>
    </xf>
    <xf numFmtId="177" fontId="29" fillId="29" borderId="35" xfId="79" applyNumberFormat="1" applyFont="1" applyFill="1" applyBorder="1" applyAlignment="1" applyProtection="1">
      <alignment horizontal="center" vertical="center"/>
      <protection hidden="1"/>
    </xf>
    <xf numFmtId="177" fontId="29" fillId="29" borderId="36" xfId="79" applyNumberFormat="1" applyFont="1" applyFill="1" applyBorder="1" applyAlignment="1" applyProtection="1">
      <alignment horizontal="center" vertical="center"/>
      <protection hidden="1"/>
    </xf>
    <xf numFmtId="177" fontId="29" fillId="29" borderId="37" xfId="79" applyNumberFormat="1" applyFont="1" applyFill="1" applyBorder="1" applyAlignment="1" applyProtection="1">
      <alignment horizontal="center" vertical="center"/>
      <protection hidden="1"/>
    </xf>
    <xf numFmtId="175" fontId="29" fillId="29" borderId="34" xfId="79" applyNumberFormat="1" applyFont="1" applyFill="1" applyBorder="1" applyAlignment="1" applyProtection="1">
      <alignment horizontal="center" vertical="center"/>
      <protection hidden="1"/>
    </xf>
    <xf numFmtId="175" fontId="29" fillId="29" borderId="35" xfId="79" applyNumberFormat="1" applyFont="1" applyFill="1" applyBorder="1" applyAlignment="1" applyProtection="1">
      <alignment horizontal="center" vertical="center"/>
      <protection hidden="1"/>
    </xf>
    <xf numFmtId="175" fontId="29" fillId="29" borderId="36" xfId="79" applyNumberFormat="1" applyFont="1" applyFill="1" applyBorder="1" applyAlignment="1" applyProtection="1">
      <alignment horizontal="center" vertical="center"/>
      <protection hidden="1"/>
    </xf>
    <xf numFmtId="175" fontId="29" fillId="29" borderId="37" xfId="79" applyNumberFormat="1" applyFont="1" applyFill="1" applyBorder="1" applyAlignment="1" applyProtection="1">
      <alignment horizontal="center" vertical="center"/>
      <protection hidden="1"/>
    </xf>
    <xf numFmtId="164" fontId="32" fillId="29" borderId="38" xfId="79" applyFont="1" applyFill="1" applyBorder="1" applyAlignment="1" applyProtection="1">
      <alignment horizontal="center" vertical="center"/>
      <protection hidden="1"/>
    </xf>
    <xf numFmtId="177" fontId="29" fillId="29" borderId="39" xfId="79" applyNumberFormat="1" applyFont="1" applyFill="1" applyBorder="1" applyAlignment="1" applyProtection="1">
      <alignment horizontal="center" vertical="center"/>
      <protection hidden="1"/>
    </xf>
    <xf numFmtId="177" fontId="29" fillId="29" borderId="40" xfId="79" applyNumberFormat="1" applyFont="1" applyFill="1" applyBorder="1" applyAlignment="1" applyProtection="1">
      <alignment horizontal="center" vertical="center"/>
      <protection hidden="1"/>
    </xf>
    <xf numFmtId="177" fontId="29" fillId="29" borderId="42" xfId="79" applyNumberFormat="1" applyFont="1" applyFill="1" applyBorder="1" applyAlignment="1" applyProtection="1">
      <alignment horizontal="center" vertical="center"/>
      <protection hidden="1"/>
    </xf>
    <xf numFmtId="177" fontId="29" fillId="29" borderId="41" xfId="79" applyNumberFormat="1" applyFont="1" applyFill="1" applyBorder="1" applyAlignment="1" applyProtection="1">
      <alignment horizontal="center" vertical="center"/>
      <protection hidden="1"/>
    </xf>
    <xf numFmtId="164" fontId="30" fillId="28" borderId="22" xfId="79" applyFont="1" applyFill="1" applyBorder="1" applyAlignment="1" applyProtection="1">
      <alignment horizontal="center" vertical="center" textRotation="90" wrapText="1"/>
      <protection hidden="1"/>
    </xf>
    <xf numFmtId="164" fontId="32" fillId="27" borderId="22" xfId="79" applyFont="1" applyFill="1" applyBorder="1" applyAlignment="1" applyProtection="1">
      <alignment horizontal="right" vertical="center"/>
      <protection hidden="1"/>
    </xf>
    <xf numFmtId="175" fontId="29" fillId="27" borderId="22" xfId="79" applyNumberFormat="1" applyFont="1" applyFill="1" applyBorder="1" applyAlignment="1" applyProtection="1">
      <alignment horizontal="center" vertical="center"/>
      <protection hidden="1"/>
    </xf>
    <xf numFmtId="175" fontId="29" fillId="27" borderId="34" xfId="79" applyNumberFormat="1" applyFont="1" applyFill="1" applyBorder="1" applyAlignment="1" applyProtection="1">
      <alignment horizontal="center" vertical="center"/>
      <protection hidden="1"/>
    </xf>
    <xf numFmtId="177" fontId="32" fillId="27" borderId="22" xfId="79" applyNumberFormat="1" applyFont="1" applyFill="1" applyBorder="1" applyAlignment="1" applyProtection="1">
      <alignment horizontal="right" vertical="center"/>
      <protection hidden="1"/>
    </xf>
    <xf numFmtId="175" fontId="29" fillId="0" borderId="22" xfId="79" applyNumberFormat="1" applyFont="1" applyBorder="1" applyAlignment="1" applyProtection="1">
      <alignment horizontal="center" vertical="center"/>
      <protection hidden="1"/>
    </xf>
    <xf numFmtId="164" fontId="30" fillId="28" borderId="38" xfId="79" applyFont="1" applyFill="1" applyBorder="1" applyAlignment="1" applyProtection="1">
      <alignment horizontal="center" vertical="center" textRotation="90" wrapText="1"/>
      <protection hidden="1"/>
    </xf>
    <xf numFmtId="177" fontId="32" fillId="27" borderId="38" xfId="79" applyNumberFormat="1" applyFont="1" applyFill="1" applyBorder="1" applyAlignment="1" applyProtection="1">
      <alignment horizontal="right" vertical="center"/>
      <protection hidden="1"/>
    </xf>
    <xf numFmtId="173" fontId="29" fillId="0" borderId="38" xfId="79" applyNumberFormat="1" applyFont="1" applyBorder="1" applyAlignment="1" applyProtection="1">
      <alignment horizontal="center" vertical="center"/>
      <protection hidden="1"/>
    </xf>
    <xf numFmtId="173" fontId="29" fillId="0" borderId="39" xfId="79" applyNumberFormat="1" applyFont="1" applyBorder="1" applyAlignment="1" applyProtection="1">
      <alignment horizontal="center" vertical="center"/>
      <protection hidden="1"/>
    </xf>
    <xf numFmtId="173" fontId="31" fillId="27" borderId="38" xfId="79" applyNumberFormat="1" applyFont="1" applyFill="1" applyBorder="1" applyAlignment="1" applyProtection="1">
      <alignment horizontal="center" vertical="center"/>
      <protection hidden="1"/>
    </xf>
    <xf numFmtId="173" fontId="31" fillId="27" borderId="39" xfId="79" applyNumberFormat="1" applyFont="1" applyFill="1" applyBorder="1" applyAlignment="1" applyProtection="1">
      <alignment horizontal="center" vertical="center"/>
      <protection hidden="1"/>
    </xf>
    <xf numFmtId="164" fontId="30" fillId="28" borderId="0" xfId="79" applyFont="1" applyFill="1" applyBorder="1" applyAlignment="1" applyProtection="1">
      <alignment horizontal="center" vertical="center" textRotation="90" wrapText="1"/>
      <protection hidden="1"/>
    </xf>
    <xf numFmtId="164" fontId="30" fillId="27" borderId="0" xfId="79" applyFont="1" applyFill="1" applyBorder="1" applyAlignment="1" applyProtection="1">
      <alignment horizontal="center" vertical="center" textRotation="90" wrapText="1"/>
      <protection hidden="1"/>
    </xf>
    <xf numFmtId="177" fontId="32" fillId="27" borderId="0" xfId="79" applyNumberFormat="1" applyFont="1" applyFill="1" applyBorder="1" applyAlignment="1" applyProtection="1">
      <alignment horizontal="right" vertical="center"/>
      <protection hidden="1"/>
    </xf>
    <xf numFmtId="173" fontId="31" fillId="27" borderId="0" xfId="79" applyNumberFormat="1" applyFont="1" applyFill="1" applyBorder="1" applyAlignment="1" applyProtection="1">
      <alignment horizontal="center" vertical="center"/>
      <protection hidden="1"/>
    </xf>
    <xf numFmtId="177" fontId="29" fillId="0" borderId="0" xfId="79" applyNumberFormat="1" applyFont="1" applyAlignment="1" applyProtection="1">
      <alignment vertical="center"/>
      <protection hidden="1"/>
    </xf>
    <xf numFmtId="164" fontId="29" fillId="28" borderId="15" xfId="79" applyFont="1" applyFill="1" applyBorder="1" applyAlignment="1" applyProtection="1">
      <alignment vertical="center"/>
      <protection hidden="1"/>
    </xf>
    <xf numFmtId="164" fontId="30" fillId="28" borderId="15" xfId="79" applyFont="1" applyFill="1" applyBorder="1" applyAlignment="1" applyProtection="1">
      <alignment horizontal="center" vertical="center"/>
      <protection hidden="1"/>
    </xf>
    <xf numFmtId="164" fontId="30" fillId="28" borderId="43" xfId="79" applyFont="1" applyFill="1" applyBorder="1" applyAlignment="1" applyProtection="1">
      <alignment horizontal="center" vertical="center"/>
      <protection hidden="1"/>
    </xf>
    <xf numFmtId="164" fontId="29" fillId="0" borderId="44" xfId="79" applyFont="1" applyBorder="1" applyAlignment="1" applyProtection="1">
      <alignment vertical="center"/>
      <protection hidden="1"/>
    </xf>
    <xf numFmtId="175" fontId="29" fillId="0" borderId="0" xfId="79" applyNumberFormat="1" applyFont="1" applyBorder="1" applyAlignment="1" applyProtection="1">
      <alignment vertical="center"/>
      <protection hidden="1"/>
    </xf>
    <xf numFmtId="175" fontId="29" fillId="0" borderId="15" xfId="79" applyNumberFormat="1" applyFont="1" applyFill="1" applyBorder="1" applyAlignment="1" applyProtection="1">
      <alignment horizontal="center" vertical="center"/>
      <protection hidden="1"/>
    </xf>
    <xf numFmtId="172" fontId="29" fillId="0" borderId="0" xfId="79" applyNumberFormat="1" applyFont="1" applyAlignment="1" applyProtection="1">
      <alignment vertical="center"/>
      <protection hidden="1"/>
    </xf>
    <xf numFmtId="172" fontId="29" fillId="24" borderId="45" xfId="79" applyNumberFormat="1" applyFont="1" applyFill="1" applyBorder="1" applyAlignment="1" applyProtection="1">
      <alignment horizontal="center" vertical="center"/>
      <protection hidden="1" locked="0"/>
    </xf>
    <xf numFmtId="165" fontId="29" fillId="0" borderId="22" xfId="97" applyNumberFormat="1" applyFont="1" applyFill="1" applyBorder="1" applyAlignment="1" applyProtection="1">
      <alignment horizontal="center" vertical="center"/>
      <protection hidden="1"/>
    </xf>
    <xf numFmtId="165" fontId="29" fillId="0" borderId="15" xfId="97" applyNumberFormat="1" applyFont="1" applyFill="1" applyBorder="1" applyAlignment="1" applyProtection="1">
      <alignment horizontal="center" vertical="center"/>
      <protection hidden="1"/>
    </xf>
    <xf numFmtId="165" fontId="29" fillId="0" borderId="20" xfId="97" applyNumberFormat="1" applyFont="1" applyFill="1" applyBorder="1" applyAlignment="1" applyProtection="1">
      <alignment horizontal="center" vertical="center"/>
      <protection hidden="1"/>
    </xf>
    <xf numFmtId="165" fontId="29" fillId="0" borderId="0" xfId="97" applyNumberFormat="1" applyFont="1" applyFill="1" applyBorder="1" applyAlignment="1" applyProtection="1">
      <alignment horizontal="center" vertical="center"/>
      <protection hidden="1"/>
    </xf>
    <xf numFmtId="165" fontId="29" fillId="24" borderId="15" xfId="79" applyNumberFormat="1" applyFont="1" applyFill="1" applyBorder="1" applyAlignment="1" applyProtection="1">
      <alignment horizontal="center" vertical="center"/>
      <protection hidden="1" locked="0"/>
    </xf>
    <xf numFmtId="165" fontId="29" fillId="0" borderId="20" xfId="79" applyNumberFormat="1" applyFont="1" applyFill="1" applyBorder="1" applyAlignment="1" applyProtection="1">
      <alignment vertical="center"/>
      <protection hidden="1"/>
    </xf>
    <xf numFmtId="165" fontId="29" fillId="0" borderId="16" xfId="97" applyNumberFormat="1" applyFont="1" applyFill="1" applyBorder="1" applyAlignment="1" applyProtection="1">
      <alignment horizontal="center" vertical="center"/>
      <protection hidden="1"/>
    </xf>
    <xf numFmtId="165" fontId="29" fillId="24" borderId="15" xfId="97" applyNumberFormat="1" applyFont="1" applyFill="1" applyBorder="1" applyAlignment="1" applyProtection="1">
      <alignment horizontal="center" vertical="center"/>
      <protection hidden="1" locked="0"/>
    </xf>
    <xf numFmtId="164" fontId="29" fillId="0" borderId="38" xfId="79" applyFont="1" applyBorder="1" applyAlignment="1" applyProtection="1">
      <alignment vertical="center"/>
      <protection hidden="1"/>
    </xf>
    <xf numFmtId="164" fontId="34" fillId="0" borderId="24" xfId="79" applyFont="1" applyBorder="1" applyAlignment="1" applyProtection="1">
      <alignment horizontal="center" vertical="center"/>
      <protection hidden="1"/>
    </xf>
    <xf numFmtId="164" fontId="29" fillId="0" borderId="24" xfId="79" applyFont="1" applyBorder="1" applyAlignment="1" applyProtection="1">
      <alignment horizontal="center" vertical="center"/>
      <protection hidden="1"/>
    </xf>
    <xf numFmtId="165" fontId="29" fillId="0" borderId="0" xfId="79" applyNumberFormat="1" applyFont="1" applyFill="1" applyBorder="1" applyAlignment="1" applyProtection="1">
      <alignment horizontal="center" vertical="center"/>
      <protection hidden="1"/>
    </xf>
    <xf numFmtId="164" fontId="29" fillId="0" borderId="19" xfId="79" applyFont="1" applyBorder="1" applyAlignment="1" applyProtection="1">
      <alignment horizontal="center" vertical="center"/>
      <protection hidden="1"/>
    </xf>
    <xf numFmtId="174" fontId="29" fillId="0" borderId="20" xfId="79" applyNumberFormat="1" applyFont="1" applyBorder="1" applyAlignment="1" applyProtection="1">
      <alignment horizontal="center" vertical="center"/>
      <protection hidden="1"/>
    </xf>
    <xf numFmtId="174" fontId="29" fillId="0" borderId="0" xfId="79" applyNumberFormat="1" applyFont="1" applyBorder="1" applyAlignment="1" applyProtection="1">
      <alignment horizontal="center" vertical="center"/>
      <protection hidden="1"/>
    </xf>
    <xf numFmtId="175" fontId="29" fillId="0" borderId="24" xfId="79" applyNumberFormat="1" applyFont="1" applyBorder="1" applyAlignment="1" applyProtection="1">
      <alignment horizontal="center" vertical="center"/>
      <protection hidden="1"/>
    </xf>
    <xf numFmtId="175" fontId="29" fillId="0" borderId="20" xfId="79" applyNumberFormat="1" applyFont="1" applyBorder="1" applyAlignment="1" applyProtection="1">
      <alignment horizontal="center" vertical="center"/>
      <protection hidden="1"/>
    </xf>
    <xf numFmtId="164" fontId="29" fillId="24" borderId="15" xfId="79" applyFont="1" applyFill="1" applyBorder="1" applyAlignment="1" applyProtection="1">
      <alignment vertical="center"/>
      <protection hidden="1" locked="0"/>
    </xf>
    <xf numFmtId="164" fontId="29" fillId="0" borderId="22" xfId="79" applyFont="1" applyBorder="1" applyAlignment="1" applyProtection="1">
      <alignment horizontal="left" vertical="center" wrapText="1"/>
      <protection hidden="1"/>
    </xf>
    <xf numFmtId="175" fontId="29" fillId="0" borderId="22" xfId="79" applyNumberFormat="1" applyFont="1" applyFill="1" applyBorder="1" applyAlignment="1" applyProtection="1">
      <alignment vertical="center"/>
      <protection hidden="1"/>
    </xf>
    <xf numFmtId="164" fontId="29" fillId="0" borderId="22" xfId="79" applyFont="1" applyBorder="1" applyAlignment="1" applyProtection="1">
      <alignment horizontal="left" vertical="center"/>
      <protection hidden="1"/>
    </xf>
    <xf numFmtId="164" fontId="29" fillId="0" borderId="22" xfId="79" applyFont="1" applyFill="1" applyBorder="1" applyAlignment="1" applyProtection="1">
      <alignment vertical="center"/>
      <protection hidden="1"/>
    </xf>
    <xf numFmtId="178" fontId="29" fillId="0" borderId="0" xfId="79" applyNumberFormat="1" applyFont="1" applyBorder="1" applyAlignment="1" applyProtection="1">
      <alignment horizontal="center" vertical="center"/>
      <protection hidden="1"/>
    </xf>
    <xf numFmtId="164" fontId="29" fillId="0" borderId="38" xfId="79" applyFont="1" applyFill="1" applyBorder="1" applyAlignment="1" applyProtection="1">
      <alignment vertical="center"/>
      <protection hidden="1"/>
    </xf>
    <xf numFmtId="178" fontId="29" fillId="0" borderId="24" xfId="79" applyNumberFormat="1" applyFont="1" applyBorder="1" applyAlignment="1" applyProtection="1">
      <alignment horizontal="center" vertical="center"/>
      <protection hidden="1"/>
    </xf>
    <xf numFmtId="177" fontId="29" fillId="0" borderId="0" xfId="79" applyNumberFormat="1" applyFont="1" applyBorder="1" applyAlignment="1" applyProtection="1">
      <alignment vertical="center"/>
      <protection hidden="1"/>
    </xf>
    <xf numFmtId="164" fontId="29" fillId="27" borderId="0" xfId="79" applyFont="1" applyFill="1" applyBorder="1" applyAlignment="1" applyProtection="1">
      <alignment vertical="center"/>
      <protection hidden="1"/>
    </xf>
    <xf numFmtId="164" fontId="0" fillId="0" borderId="0" xfId="75">
      <alignment/>
      <protection/>
    </xf>
    <xf numFmtId="164" fontId="29" fillId="27" borderId="15" xfId="79" applyFont="1" applyFill="1" applyBorder="1" applyAlignment="1" applyProtection="1">
      <alignment horizontal="left" vertical="top" wrapText="1"/>
      <protection hidden="1" locked="0"/>
    </xf>
    <xf numFmtId="164" fontId="29" fillId="27" borderId="0" xfId="79" applyFont="1" applyFill="1" applyBorder="1" applyAlignment="1" applyProtection="1">
      <alignment horizontal="center" vertical="center" wrapText="1"/>
      <protection hidden="1"/>
    </xf>
    <xf numFmtId="164" fontId="29" fillId="27" borderId="0" xfId="79" applyFont="1" applyFill="1" applyBorder="1" applyAlignment="1" applyProtection="1">
      <alignment horizontal="left" vertical="center" wrapText="1"/>
      <protection hidden="1"/>
    </xf>
    <xf numFmtId="164" fontId="35" fillId="27" borderId="21" xfId="79" applyFont="1" applyFill="1" applyBorder="1" applyAlignment="1" applyProtection="1">
      <alignment horizontal="center" vertical="center" wrapText="1"/>
      <protection hidden="1" locked="0"/>
    </xf>
    <xf numFmtId="164" fontId="29" fillId="27" borderId="21" xfId="79" applyFont="1" applyFill="1" applyBorder="1" applyAlignment="1" applyProtection="1">
      <alignment horizontal="center" vertical="center"/>
      <protection hidden="1" locked="0"/>
    </xf>
    <xf numFmtId="164" fontId="29" fillId="27" borderId="0" xfId="79" applyFont="1" applyFill="1" applyBorder="1" applyAlignment="1" applyProtection="1">
      <alignment horizontal="center" vertical="center"/>
      <protection hidden="1"/>
    </xf>
    <xf numFmtId="164" fontId="0" fillId="0" borderId="14" xfId="79" applyNumberFormat="1" applyFont="1" applyFill="1" applyBorder="1" applyAlignment="1" applyProtection="1">
      <alignment horizontal="left"/>
      <protection hidden="1"/>
    </xf>
    <xf numFmtId="179" fontId="29" fillId="0" borderId="14" xfId="79" applyNumberFormat="1" applyFont="1" applyBorder="1" applyAlignment="1" applyProtection="1">
      <alignment horizontal="left"/>
      <protection hidden="1"/>
    </xf>
  </cellXfs>
  <cellStyles count="96">
    <cellStyle name="Normal" xfId="0"/>
    <cellStyle name="Comma" xfId="15"/>
    <cellStyle name="Comma [0]" xfId="16"/>
    <cellStyle name="Currency" xfId="17"/>
    <cellStyle name="Currency [0]" xfId="18"/>
    <cellStyle name="Percent" xfId="19"/>
    <cellStyle name="0.00%" xfId="20"/>
    <cellStyle name="20% - Accent1 2" xfId="21"/>
    <cellStyle name="20% - Accent2 2" xfId="22"/>
    <cellStyle name="20% - Accent3 2" xfId="23"/>
    <cellStyle name="20% - Accent4 2" xfId="24"/>
    <cellStyle name="20% - Accent5 2" xfId="25"/>
    <cellStyle name="20% - Accent6 2" xfId="26"/>
    <cellStyle name="40% - Accent1 2" xfId="27"/>
    <cellStyle name="40% - Accent2 2" xfId="28"/>
    <cellStyle name="40% - Accent3 2" xfId="29"/>
    <cellStyle name="40% - Accent4 2" xfId="30"/>
    <cellStyle name="40% - Accent5 2" xfId="31"/>
    <cellStyle name="40% - Accent6 2" xfId="32"/>
    <cellStyle name="60% - Accent1 2" xfId="33"/>
    <cellStyle name="60% - Accent2 2" xfId="34"/>
    <cellStyle name="60% - Accent3 2" xfId="35"/>
    <cellStyle name="60% - Accent4 2" xfId="36"/>
    <cellStyle name="60% - Accent5 2" xfId="37"/>
    <cellStyle name="60% - Accent6 2" xfId="38"/>
    <cellStyle name="Accent1 2" xfId="39"/>
    <cellStyle name="Accent2 2" xfId="40"/>
    <cellStyle name="Accent3 2" xfId="41"/>
    <cellStyle name="Accent4 2" xfId="42"/>
    <cellStyle name="Accent5 2" xfId="43"/>
    <cellStyle name="Accent6 2" xfId="44"/>
    <cellStyle name="Bad 2" xfId="45"/>
    <cellStyle name="Blue Font" xfId="46"/>
    <cellStyle name="Blue, Bold" xfId="47"/>
    <cellStyle name="Bottom Border, Unlocked" xfId="48"/>
    <cellStyle name="Calculation 2" xfId="49"/>
    <cellStyle name="Check Cell 2" xfId="50"/>
    <cellStyle name="Comma 2" xfId="51"/>
    <cellStyle name="Comma 2 2" xfId="52"/>
    <cellStyle name="Comma 3" xfId="53"/>
    <cellStyle name="Comma 4" xfId="54"/>
    <cellStyle name="Comma 5" xfId="55"/>
    <cellStyle name="Currency 2" xfId="56"/>
    <cellStyle name="Currency 2 2" xfId="57"/>
    <cellStyle name="Currency 3" xfId="58"/>
    <cellStyle name="Currency 4" xfId="59"/>
    <cellStyle name="DollarHideZero" xfId="60"/>
    <cellStyle name="DollarHideZero 2"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Installed" xfId="70"/>
    <cellStyle name="Linked Cell 2" xfId="71"/>
    <cellStyle name="Neutral 2" xfId="72"/>
    <cellStyle name="Normal 18" xfId="73"/>
    <cellStyle name="Normal 18 2" xfId="74"/>
    <cellStyle name="Normal 2" xfId="75"/>
    <cellStyle name="Normal 2 2" xfId="76"/>
    <cellStyle name="Normal 2 2 2" xfId="77"/>
    <cellStyle name="Normal 2 3" xfId="78"/>
    <cellStyle name="Normal 2 4" xfId="79"/>
    <cellStyle name="Normal 3" xfId="80"/>
    <cellStyle name="Normal 3 2" xfId="81"/>
    <cellStyle name="Normal 4" xfId="82"/>
    <cellStyle name="Normal 4 2" xfId="83"/>
    <cellStyle name="Normal 5" xfId="84"/>
    <cellStyle name="Normal 5 2" xfId="85"/>
    <cellStyle name="Normal 6" xfId="86"/>
    <cellStyle name="Normal 6 2" xfId="87"/>
    <cellStyle name="Normal 7" xfId="88"/>
    <cellStyle name="Normal 8" xfId="89"/>
    <cellStyle name="Note 2" xfId="90"/>
    <cellStyle name="NumberHideZero" xfId="91"/>
    <cellStyle name="NumberHideZero 2" xfId="92"/>
    <cellStyle name="Ordered" xfId="93"/>
    <cellStyle name="Output 2" xfId="94"/>
    <cellStyle name="Percent 2" xfId="95"/>
    <cellStyle name="Percent 2 2" xfId="96"/>
    <cellStyle name="Percent 2 3" xfId="97"/>
    <cellStyle name="Percent 3" xfId="98"/>
    <cellStyle name="Percent 4" xfId="99"/>
    <cellStyle name="Percent 5" xfId="100"/>
    <cellStyle name="Percent 6" xfId="101"/>
    <cellStyle name="Received" xfId="102"/>
    <cellStyle name="Red Font" xfId="103"/>
    <cellStyle name="Subtotal" xfId="104"/>
    <cellStyle name="Title 2" xfId="105"/>
    <cellStyle name="Top Border. Aqua" xfId="106"/>
    <cellStyle name="Total 2" xfId="107"/>
    <cellStyle name="Unlocked" xfId="108"/>
    <cellStyle name="Warning Text 2" xfId="10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EB4E3"/>
      <rgbColor rgb="00993366"/>
      <rgbColor rgb="00FFFFCC"/>
      <rgbColor rgb="00CCFFFF"/>
      <rgbColor rgb="00660066"/>
      <rgbColor rgb="00FF8080"/>
      <rgbColor rgb="000066CC"/>
      <rgbColor rgb="00CCCCFF"/>
      <rgbColor rgb="00000080"/>
      <rgbColor rgb="00FF00FF"/>
      <rgbColor rgb="00EEECE1"/>
      <rgbColor rgb="0000FFFF"/>
      <rgbColor rgb="00800080"/>
      <rgbColor rgb="00800000"/>
      <rgbColor rgb="00008080"/>
      <rgbColor rgb="000000FF"/>
      <rgbColor rgb="0000CCFF"/>
      <rgbColor rgb="00DBEEF4"/>
      <rgbColor rgb="00CCFFCC"/>
      <rgbColor rgb="00FFFF99"/>
      <rgbColor rgb="0099CCFF"/>
      <rgbColor rgb="00FF99CC"/>
      <rgbColor rgb="00CC99FF"/>
      <rgbColor rgb="00FFCC99"/>
      <rgbColor rgb="003366FF"/>
      <rgbColor rgb="0033CCCC"/>
      <rgbColor rgb="00C6D9F1"/>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0</xdr:row>
      <xdr:rowOff>85725</xdr:rowOff>
    </xdr:from>
    <xdr:to>
      <xdr:col>10</xdr:col>
      <xdr:colOff>342900</xdr:colOff>
      <xdr:row>5</xdr:row>
      <xdr:rowOff>47625</xdr:rowOff>
    </xdr:to>
    <xdr:pic>
      <xdr:nvPicPr>
        <xdr:cNvPr id="1" name="Picture 2"/>
        <xdr:cNvPicPr preferRelativeResize="1">
          <a:picLocks noChangeAspect="1"/>
        </xdr:cNvPicPr>
      </xdr:nvPicPr>
      <xdr:blipFill>
        <a:blip r:embed="rId1"/>
        <a:stretch>
          <a:fillRect/>
        </a:stretch>
      </xdr:blipFill>
      <xdr:spPr>
        <a:xfrm>
          <a:off x="8867775" y="85725"/>
          <a:ext cx="3257550" cy="914400"/>
        </a:xfrm>
        <a:prstGeom prst="rect">
          <a:avLst/>
        </a:prstGeom>
        <a:blipFill>
          <a:blip r:embed=""/>
          <a:srcRect/>
          <a:stretch>
            <a:fillRect/>
          </a:stretch>
        </a:blipFill>
        <a:ln w="9360" cmpd="sng">
          <a:noFill/>
        </a:ln>
      </xdr:spPr>
    </xdr:pic>
    <xdr:clientData/>
  </xdr:twoCellAnchor>
  <xdr:twoCellAnchor>
    <xdr:from>
      <xdr:col>2</xdr:col>
      <xdr:colOff>190500</xdr:colOff>
      <xdr:row>0</xdr:row>
      <xdr:rowOff>47625</xdr:rowOff>
    </xdr:from>
    <xdr:to>
      <xdr:col>5</xdr:col>
      <xdr:colOff>200025</xdr:colOff>
      <xdr:row>4</xdr:row>
      <xdr:rowOff>133350</xdr:rowOff>
    </xdr:to>
    <xdr:grpSp>
      <xdr:nvGrpSpPr>
        <xdr:cNvPr id="2" name="Group 4"/>
        <xdr:cNvGrpSpPr>
          <a:grpSpLocks/>
        </xdr:cNvGrpSpPr>
      </xdr:nvGrpSpPr>
      <xdr:grpSpPr>
        <a:xfrm>
          <a:off x="942975" y="47625"/>
          <a:ext cx="5276850" cy="847725"/>
          <a:chOff x="1549" y="76"/>
          <a:chExt cx="8761" cy="1328"/>
        </a:xfrm>
        <a:solidFill>
          <a:srgbClr val="FFFFFF"/>
        </a:solidFill>
      </xdr:grpSpPr>
      <xdr:sp>
        <xdr:nvSpPr>
          <xdr:cNvPr id="3" name="Horizontal Scroll 5"/>
          <xdr:cNvSpPr>
            <a:spLocks/>
          </xdr:cNvSpPr>
        </xdr:nvSpPr>
        <xdr:spPr>
          <a:xfrm>
            <a:off x="1549" y="76"/>
            <a:ext cx="8761" cy="1328"/>
          </a:xfrm>
          <a:prstGeom prst="horizontalScroll">
            <a:avLst>
              <a:gd name="adj" fmla="val -37500"/>
            </a:avLst>
          </a:prstGeom>
          <a:noFill/>
          <a:ln w="25560" cmpd="sng">
            <a:solidFill>
              <a:srgbClr val="000000"/>
            </a:solidFill>
            <a:headEnd type="none"/>
            <a:tailEnd type="none"/>
          </a:ln>
        </xdr:spPr>
        <xdr:txBody>
          <a:bodyPr vertOverflow="clip" wrap="square" lIns="90000" tIns="45000" rIns="90000" bIns="45000"/>
          <a:p>
            <a:pPr algn="l">
              <a:defRPr/>
            </a:pPr>
            <a:r>
              <a:rPr lang="en-US" cap="none" sz="1600" b="0" i="0" u="none" baseline="0">
                <a:solidFill>
                  <a:srgbClr val="000000"/>
                </a:solidFill>
              </a:rPr>
              <a:t>KEY</a:t>
            </a:r>
          </a:p>
        </xdr:txBody>
      </xdr:sp>
      <xdr:sp>
        <xdr:nvSpPr>
          <xdr:cNvPr id="4" name="TextBox 6"/>
          <xdr:cNvSpPr>
            <a:spLocks/>
          </xdr:cNvSpPr>
        </xdr:nvSpPr>
        <xdr:spPr>
          <a:xfrm>
            <a:off x="3019" y="744"/>
            <a:ext cx="6205" cy="208"/>
          </a:xfrm>
          <a:prstGeom prst="rect">
            <a:avLst/>
          </a:prstGeom>
          <a:solidFill>
            <a:srgbClr val="FFFF00"/>
          </a:solidFill>
          <a:ln w="9360" cmpd="sng">
            <a:solidFill>
              <a:srgbClr val="000000"/>
            </a:solidFill>
            <a:headEnd type="none"/>
            <a:tailEnd type="none"/>
          </a:ln>
        </xdr:spPr>
        <xdr:txBody>
          <a:bodyPr vertOverflow="clip" wrap="square" lIns="90000" tIns="45000" rIns="90000" bIns="45000" anchor="ctr"/>
          <a:p>
            <a:pPr algn="l">
              <a:defRPr/>
            </a:pPr>
            <a:r>
              <a:rPr lang="en-US" cap="none" sz="1100" b="0" i="0" u="none" baseline="0">
                <a:solidFill>
                  <a:srgbClr val="000000"/>
                </a:solidFill>
              </a:rPr>
              <a:t>Yellow Cells are Required Input</a:t>
            </a:r>
          </a:p>
        </xdr:txBody>
      </xdr:sp>
    </xdr:grpSp>
    <xdr:clientData/>
  </xdr:twoCellAnchor>
  <xdr:twoCellAnchor>
    <xdr:from>
      <xdr:col>1</xdr:col>
      <xdr:colOff>38100</xdr:colOff>
      <xdr:row>49</xdr:row>
      <xdr:rowOff>9525</xdr:rowOff>
    </xdr:from>
    <xdr:to>
      <xdr:col>11</xdr:col>
      <xdr:colOff>247650</xdr:colOff>
      <xdr:row>51</xdr:row>
      <xdr:rowOff>161925</xdr:rowOff>
    </xdr:to>
    <xdr:sp>
      <xdr:nvSpPr>
        <xdr:cNvPr id="5" name="TextBox 7"/>
        <xdr:cNvSpPr>
          <a:spLocks/>
        </xdr:cNvSpPr>
      </xdr:nvSpPr>
      <xdr:spPr>
        <a:xfrm>
          <a:off x="219075" y="8162925"/>
          <a:ext cx="12963525" cy="533400"/>
        </a:xfrm>
        <a:prstGeom prst="rect">
          <a:avLst/>
        </a:prstGeom>
        <a:solidFill>
          <a:srgbClr val="FFFFFF"/>
        </a:solidFill>
        <a:ln w="9360" cmpd="sng">
          <a:noFill/>
        </a:ln>
      </xdr:spPr>
      <xdr:txBody>
        <a:bodyPr vertOverflow="clip" wrap="square" lIns="90000" tIns="45000" rIns="90000" bIns="45000"/>
        <a:p>
          <a:pPr algn="l">
            <a:defRPr/>
          </a:pPr>
          <a:r>
            <a:rPr lang="en-US" cap="none" sz="1400" b="1" i="0" u="none" baseline="0">
              <a:solidFill>
                <a:srgbClr val="000000"/>
              </a:solidFill>
            </a:rPr>
            <a:t>*Note: </a:t>
          </a:r>
          <a:r>
            <a:rPr lang="en-US" cap="none" sz="1400" b="0" i="0" u="none" baseline="0">
              <a:solidFill>
                <a:srgbClr val="000000"/>
              </a:solidFill>
            </a:rPr>
            <a:t>The monthly payment is an estimate and may be adjusted in the Loan Agreement.  The annual value of kWh generated will vary based upon your system operation and the cost per kWh which is subject to change.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59"/>
  <sheetViews>
    <sheetView showGridLines="0" workbookViewId="0" topLeftCell="A1">
      <selection activeCell="A2" sqref="A2"/>
    </sheetView>
  </sheetViews>
  <sheetFormatPr defaultColWidth="10.28125" defaultRowHeight="12.75"/>
  <cols>
    <col min="1" max="1" width="10.421875" style="1" customWidth="1"/>
    <col min="2" max="2" width="5.421875" style="1" customWidth="1"/>
    <col min="3" max="3" width="3.57421875" style="1" customWidth="1"/>
    <col min="4" max="4" width="43.7109375" style="1" customWidth="1"/>
    <col min="5" max="5" width="14.421875" style="1" customWidth="1"/>
    <col min="6" max="6" width="12.8515625" style="1" customWidth="1"/>
    <col min="7" max="7" width="52.00390625" style="1" customWidth="1"/>
    <col min="8" max="8" width="7.57421875" style="1" customWidth="1"/>
    <col min="9" max="9" width="15.28125" style="2" customWidth="1"/>
    <col min="10" max="10" width="10.421875" style="1" customWidth="1"/>
    <col min="11" max="11" width="7.28125" style="1" customWidth="1"/>
    <col min="12" max="12" width="67.7109375" style="1" customWidth="1"/>
    <col min="13" max="13" width="10.140625" style="3" customWidth="1"/>
    <col min="14" max="14" width="65.421875" style="4" customWidth="1"/>
    <col min="15" max="15" width="50.8515625" style="4" customWidth="1"/>
    <col min="16" max="16" width="85.57421875" style="4" customWidth="1"/>
    <col min="17" max="17" width="37.28125" style="4" customWidth="1"/>
    <col min="18" max="20" width="10.140625" style="4" customWidth="1"/>
    <col min="21" max="21" width="72.7109375" style="4" customWidth="1"/>
    <col min="22" max="22" width="51.421875" style="4" customWidth="1"/>
    <col min="23" max="23" width="41.00390625" style="4" customWidth="1"/>
    <col min="24" max="24" width="34.8515625" style="4" customWidth="1"/>
    <col min="25" max="16384" width="10.140625" style="1" customWidth="1"/>
  </cols>
  <sheetData>
    <row r="1" spans="1:21" ht="12.75">
      <c r="A1" s="5">
        <v>0.0349</v>
      </c>
      <c r="B1" s="6">
        <v>5</v>
      </c>
      <c r="C1" s="1">
        <v>0</v>
      </c>
      <c r="D1" s="7" t="s">
        <v>0</v>
      </c>
      <c r="E1" s="7" t="s">
        <v>1</v>
      </c>
      <c r="F1" s="7"/>
      <c r="G1" s="1" t="s">
        <v>2</v>
      </c>
      <c r="H1" s="1" t="s">
        <v>3</v>
      </c>
      <c r="J1" s="8">
        <v>0.0349</v>
      </c>
      <c r="K1" s="1" t="s">
        <v>4</v>
      </c>
      <c r="L1" s="9" t="s">
        <v>5</v>
      </c>
      <c r="N1" s="4" t="s">
        <v>6</v>
      </c>
      <c r="U1" s="4" t="s">
        <v>7</v>
      </c>
    </row>
    <row r="2" spans="1:24" ht="12.75">
      <c r="A2" s="5">
        <v>0.0399</v>
      </c>
      <c r="B2" s="6">
        <v>10</v>
      </c>
      <c r="D2" s="7" t="s">
        <v>8</v>
      </c>
      <c r="E2" s="7" t="s">
        <v>9</v>
      </c>
      <c r="F2" s="7"/>
      <c r="G2" s="10"/>
      <c r="H2" s="10"/>
      <c r="I2" s="2" t="s">
        <v>10</v>
      </c>
      <c r="J2" s="8">
        <v>0.0399</v>
      </c>
      <c r="K2" s="1" t="s">
        <v>11</v>
      </c>
      <c r="L2" s="1" t="s">
        <v>12</v>
      </c>
      <c r="N2" s="11" t="s">
        <v>2</v>
      </c>
      <c r="O2" s="11" t="s">
        <v>13</v>
      </c>
      <c r="P2" s="11" t="s">
        <v>14</v>
      </c>
      <c r="Q2" s="4" t="s">
        <v>15</v>
      </c>
      <c r="U2" s="11" t="s">
        <v>2</v>
      </c>
      <c r="V2" s="11" t="s">
        <v>13</v>
      </c>
      <c r="W2" s="11" t="s">
        <v>14</v>
      </c>
      <c r="X2" s="12" t="s">
        <v>15</v>
      </c>
    </row>
    <row r="3" spans="2:16" ht="24" customHeight="1">
      <c r="B3" s="6">
        <v>15</v>
      </c>
      <c r="E3" s="7" t="s">
        <v>16</v>
      </c>
      <c r="F3" s="7"/>
      <c r="G3" s="10" t="s">
        <v>17</v>
      </c>
      <c r="H3" s="10">
        <v>30</v>
      </c>
      <c r="I3" s="2" t="s">
        <v>18</v>
      </c>
      <c r="L3" s="1" t="s">
        <v>19</v>
      </c>
      <c r="N3" s="11"/>
      <c r="O3" s="11"/>
      <c r="P3" s="11"/>
    </row>
    <row r="4" spans="7:24" ht="24" customHeight="1">
      <c r="G4" s="10" t="s">
        <v>20</v>
      </c>
      <c r="H4" s="10">
        <v>30</v>
      </c>
      <c r="L4" s="1" t="s">
        <v>21</v>
      </c>
      <c r="N4" s="13" t="s">
        <v>22</v>
      </c>
      <c r="O4" s="13" t="s">
        <v>23</v>
      </c>
      <c r="P4" s="13" t="s">
        <v>24</v>
      </c>
      <c r="Q4" s="4">
        <v>20</v>
      </c>
      <c r="U4" s="13" t="s">
        <v>25</v>
      </c>
      <c r="V4" s="13" t="s">
        <v>26</v>
      </c>
      <c r="W4" s="13" t="s">
        <v>27</v>
      </c>
      <c r="X4" s="4">
        <v>20</v>
      </c>
    </row>
    <row r="5" spans="7:24" ht="24" customHeight="1">
      <c r="G5" s="10" t="s">
        <v>28</v>
      </c>
      <c r="H5" s="10">
        <v>30</v>
      </c>
      <c r="I5" s="1"/>
      <c r="N5" s="13" t="s">
        <v>29</v>
      </c>
      <c r="O5" s="13" t="s">
        <v>23</v>
      </c>
      <c r="P5" s="13" t="s">
        <v>24</v>
      </c>
      <c r="Q5" s="4">
        <v>20</v>
      </c>
      <c r="U5" s="13" t="s">
        <v>30</v>
      </c>
      <c r="V5" s="13" t="s">
        <v>26</v>
      </c>
      <c r="W5" s="13" t="s">
        <v>31</v>
      </c>
      <c r="X5" s="4">
        <v>20</v>
      </c>
    </row>
    <row r="6" spans="7:24" ht="24" customHeight="1">
      <c r="G6" s="10" t="s">
        <v>32</v>
      </c>
      <c r="H6" s="10">
        <v>30</v>
      </c>
      <c r="L6" s="9" t="s">
        <v>33</v>
      </c>
      <c r="N6" s="13" t="s">
        <v>34</v>
      </c>
      <c r="O6" s="13" t="s">
        <v>23</v>
      </c>
      <c r="P6" s="13" t="s">
        <v>35</v>
      </c>
      <c r="Q6" s="4">
        <v>20</v>
      </c>
      <c r="U6" s="13" t="s">
        <v>36</v>
      </c>
      <c r="V6" s="13" t="s">
        <v>26</v>
      </c>
      <c r="W6" s="13" t="s">
        <v>37</v>
      </c>
      <c r="X6" s="4">
        <v>20</v>
      </c>
    </row>
    <row r="7" spans="7:24" ht="24" customHeight="1">
      <c r="G7" s="10" t="s">
        <v>38</v>
      </c>
      <c r="H7" s="10">
        <v>30</v>
      </c>
      <c r="L7" s="1" t="s">
        <v>39</v>
      </c>
      <c r="N7" s="13" t="s">
        <v>40</v>
      </c>
      <c r="O7" s="13" t="s">
        <v>23</v>
      </c>
      <c r="P7" s="13" t="s">
        <v>41</v>
      </c>
      <c r="Q7" s="4">
        <v>25</v>
      </c>
      <c r="U7" s="13" t="s">
        <v>42</v>
      </c>
      <c r="V7" s="13" t="s">
        <v>26</v>
      </c>
      <c r="W7" s="13" t="s">
        <v>27</v>
      </c>
      <c r="X7" s="4">
        <v>20</v>
      </c>
    </row>
    <row r="8" spans="7:24" ht="24" customHeight="1">
      <c r="G8" s="10" t="s">
        <v>43</v>
      </c>
      <c r="H8" s="10">
        <v>15</v>
      </c>
      <c r="L8" s="1" t="s">
        <v>19</v>
      </c>
      <c r="N8" s="13" t="s">
        <v>44</v>
      </c>
      <c r="O8" s="13" t="s">
        <v>23</v>
      </c>
      <c r="P8" s="13" t="s">
        <v>35</v>
      </c>
      <c r="Q8" s="4">
        <v>25</v>
      </c>
      <c r="U8" s="13" t="s">
        <v>45</v>
      </c>
      <c r="V8" s="13" t="s">
        <v>23</v>
      </c>
      <c r="W8" s="13" t="s">
        <v>46</v>
      </c>
      <c r="X8" s="4">
        <v>20</v>
      </c>
    </row>
    <row r="9" spans="12:24" ht="12.75">
      <c r="L9" s="1" t="s">
        <v>21</v>
      </c>
      <c r="N9" s="13" t="s">
        <v>47</v>
      </c>
      <c r="O9" s="13" t="s">
        <v>23</v>
      </c>
      <c r="P9" s="13" t="s">
        <v>48</v>
      </c>
      <c r="Q9" s="4">
        <v>25</v>
      </c>
      <c r="U9" s="13" t="s">
        <v>49</v>
      </c>
      <c r="V9" s="13" t="s">
        <v>23</v>
      </c>
      <c r="W9" s="13" t="s">
        <v>50</v>
      </c>
      <c r="X9" s="4">
        <v>20</v>
      </c>
    </row>
    <row r="10" spans="14:24" ht="12.75">
      <c r="N10" s="13" t="s">
        <v>51</v>
      </c>
      <c r="O10" s="13" t="s">
        <v>23</v>
      </c>
      <c r="P10" s="13" t="s">
        <v>52</v>
      </c>
      <c r="Q10" s="13">
        <v>15</v>
      </c>
      <c r="U10" s="13" t="s">
        <v>53</v>
      </c>
      <c r="V10" s="13" t="s">
        <v>23</v>
      </c>
      <c r="W10" s="13" t="s">
        <v>54</v>
      </c>
      <c r="X10" s="4">
        <v>20</v>
      </c>
    </row>
    <row r="11" spans="4:24" ht="12.75">
      <c r="D11" s="4"/>
      <c r="E11" s="4"/>
      <c r="F11" s="14"/>
      <c r="L11" s="9" t="s">
        <v>55</v>
      </c>
      <c r="N11" s="13" t="s">
        <v>56</v>
      </c>
      <c r="O11" s="13" t="s">
        <v>23</v>
      </c>
      <c r="P11" s="13" t="s">
        <v>57</v>
      </c>
      <c r="Q11" s="4">
        <v>20</v>
      </c>
      <c r="U11" s="13" t="s">
        <v>58</v>
      </c>
      <c r="V11" s="13" t="s">
        <v>23</v>
      </c>
      <c r="W11" s="13" t="s">
        <v>59</v>
      </c>
      <c r="X11" s="4">
        <v>20</v>
      </c>
    </row>
    <row r="12" spans="12:24" ht="12.75">
      <c r="L12" s="1" t="s">
        <v>19</v>
      </c>
      <c r="N12" s="13" t="s">
        <v>60</v>
      </c>
      <c r="O12" s="13" t="s">
        <v>23</v>
      </c>
      <c r="P12" s="13" t="s">
        <v>61</v>
      </c>
      <c r="Q12" s="4">
        <v>20</v>
      </c>
      <c r="U12" s="13" t="s">
        <v>62</v>
      </c>
      <c r="V12" s="13" t="s">
        <v>23</v>
      </c>
      <c r="W12" s="13" t="s">
        <v>63</v>
      </c>
      <c r="X12" s="4">
        <v>20</v>
      </c>
    </row>
    <row r="13" spans="12:24" ht="12.75">
      <c r="L13" s="1" t="s">
        <v>21</v>
      </c>
      <c r="N13" s="13" t="s">
        <v>64</v>
      </c>
      <c r="O13" s="13" t="s">
        <v>23</v>
      </c>
      <c r="P13" s="13" t="s">
        <v>37</v>
      </c>
      <c r="Q13" s="4">
        <v>11</v>
      </c>
      <c r="U13" s="13" t="s">
        <v>65</v>
      </c>
      <c r="V13" s="13" t="s">
        <v>66</v>
      </c>
      <c r="W13" s="13" t="s">
        <v>67</v>
      </c>
      <c r="X13" s="4">
        <v>15</v>
      </c>
    </row>
    <row r="14" spans="14:24" ht="12.75">
      <c r="N14" s="13" t="s">
        <v>68</v>
      </c>
      <c r="O14" s="13" t="s">
        <v>23</v>
      </c>
      <c r="P14" s="13" t="s">
        <v>37</v>
      </c>
      <c r="Q14" s="4">
        <v>13</v>
      </c>
      <c r="U14" s="13" t="s">
        <v>69</v>
      </c>
      <c r="V14" s="13" t="s">
        <v>66</v>
      </c>
      <c r="W14" s="13" t="s">
        <v>70</v>
      </c>
      <c r="X14" s="4">
        <v>20</v>
      </c>
    </row>
    <row r="15" spans="12:24" ht="12.75">
      <c r="L15" s="9" t="s">
        <v>71</v>
      </c>
      <c r="N15" s="13" t="s">
        <v>72</v>
      </c>
      <c r="O15" s="13" t="s">
        <v>23</v>
      </c>
      <c r="P15" s="13" t="s">
        <v>73</v>
      </c>
      <c r="Q15" s="4">
        <v>15</v>
      </c>
      <c r="U15" s="13" t="s">
        <v>74</v>
      </c>
      <c r="V15" s="13" t="s">
        <v>66</v>
      </c>
      <c r="W15" s="13" t="s">
        <v>75</v>
      </c>
      <c r="X15" s="4">
        <v>15</v>
      </c>
    </row>
    <row r="16" spans="12:24" ht="12.75">
      <c r="L16" s="1" t="s">
        <v>76</v>
      </c>
      <c r="N16" s="13" t="s">
        <v>77</v>
      </c>
      <c r="O16" s="13" t="s">
        <v>23</v>
      </c>
      <c r="P16" s="13" t="s">
        <v>78</v>
      </c>
      <c r="Q16" s="4">
        <v>11</v>
      </c>
      <c r="U16" s="13" t="s">
        <v>79</v>
      </c>
      <c r="V16" s="13" t="s">
        <v>66</v>
      </c>
      <c r="W16" s="13" t="s">
        <v>80</v>
      </c>
      <c r="X16" s="4">
        <v>20</v>
      </c>
    </row>
    <row r="17" spans="12:24" ht="12.75">
      <c r="L17" s="1" t="s">
        <v>19</v>
      </c>
      <c r="N17" s="13" t="s">
        <v>81</v>
      </c>
      <c r="O17" s="13" t="s">
        <v>26</v>
      </c>
      <c r="P17" s="13" t="s">
        <v>82</v>
      </c>
      <c r="Q17" s="4">
        <v>30</v>
      </c>
      <c r="U17" s="13" t="s">
        <v>83</v>
      </c>
      <c r="V17" s="13" t="s">
        <v>84</v>
      </c>
      <c r="W17" s="13" t="s">
        <v>85</v>
      </c>
      <c r="X17" s="4">
        <v>15</v>
      </c>
    </row>
    <row r="18" spans="12:24" ht="12.75">
      <c r="L18" s="1" t="s">
        <v>21</v>
      </c>
      <c r="N18" s="13" t="s">
        <v>86</v>
      </c>
      <c r="O18" s="13" t="s">
        <v>26</v>
      </c>
      <c r="P18" s="13" t="s">
        <v>87</v>
      </c>
      <c r="Q18" s="4">
        <v>15</v>
      </c>
      <c r="U18" s="13" t="s">
        <v>88</v>
      </c>
      <c r="V18" s="13" t="s">
        <v>84</v>
      </c>
      <c r="W18" s="13" t="s">
        <v>85</v>
      </c>
      <c r="X18" s="4">
        <v>15</v>
      </c>
    </row>
    <row r="19" spans="14:24" ht="12.75">
      <c r="N19" s="13" t="s">
        <v>89</v>
      </c>
      <c r="O19" s="13" t="s">
        <v>66</v>
      </c>
      <c r="P19" s="13" t="s">
        <v>67</v>
      </c>
      <c r="Q19" s="4">
        <v>15</v>
      </c>
      <c r="U19" s="13" t="s">
        <v>90</v>
      </c>
      <c r="V19" s="13" t="s">
        <v>84</v>
      </c>
      <c r="W19" s="13" t="s">
        <v>85</v>
      </c>
      <c r="X19" s="4">
        <v>7</v>
      </c>
    </row>
    <row r="20" spans="14:24" ht="12.75">
      <c r="N20" s="13" t="s">
        <v>91</v>
      </c>
      <c r="O20" s="13" t="s">
        <v>66</v>
      </c>
      <c r="P20" s="13" t="s">
        <v>70</v>
      </c>
      <c r="Q20" s="4">
        <v>20</v>
      </c>
      <c r="U20" s="13" t="s">
        <v>92</v>
      </c>
      <c r="V20" s="13" t="s">
        <v>84</v>
      </c>
      <c r="W20" s="13" t="s">
        <v>93</v>
      </c>
      <c r="X20" s="4">
        <v>20</v>
      </c>
    </row>
    <row r="21" spans="14:24" ht="12.75">
      <c r="N21" s="13" t="s">
        <v>94</v>
      </c>
      <c r="O21" s="13" t="s">
        <v>66</v>
      </c>
      <c r="P21" s="13" t="s">
        <v>95</v>
      </c>
      <c r="Q21" s="4">
        <v>13</v>
      </c>
      <c r="U21" s="13" t="s">
        <v>96</v>
      </c>
      <c r="V21" s="13" t="s">
        <v>97</v>
      </c>
      <c r="W21" s="13" t="s">
        <v>98</v>
      </c>
      <c r="X21" s="4">
        <v>0</v>
      </c>
    </row>
    <row r="22" spans="14:24" ht="12.75">
      <c r="N22" s="13" t="s">
        <v>99</v>
      </c>
      <c r="O22" s="13" t="s">
        <v>66</v>
      </c>
      <c r="P22" s="13" t="s">
        <v>80</v>
      </c>
      <c r="Q22" s="4">
        <v>20</v>
      </c>
      <c r="U22" s="13" t="s">
        <v>100</v>
      </c>
      <c r="V22" s="13" t="s">
        <v>97</v>
      </c>
      <c r="W22" s="13" t="s">
        <v>101</v>
      </c>
      <c r="X22" s="4">
        <v>0</v>
      </c>
    </row>
    <row r="23" spans="14:24" ht="12.75">
      <c r="N23" s="13" t="s">
        <v>102</v>
      </c>
      <c r="O23" s="13" t="s">
        <v>66</v>
      </c>
      <c r="P23" s="13" t="s">
        <v>103</v>
      </c>
      <c r="Q23" s="13">
        <v>10</v>
      </c>
      <c r="U23" s="13" t="s">
        <v>104</v>
      </c>
      <c r="V23" s="13" t="s">
        <v>97</v>
      </c>
      <c r="W23" s="13" t="s">
        <v>105</v>
      </c>
      <c r="X23" s="4">
        <v>0</v>
      </c>
    </row>
    <row r="24" spans="14:24" ht="12.75">
      <c r="N24" s="13" t="s">
        <v>106</v>
      </c>
      <c r="O24" s="13" t="s">
        <v>107</v>
      </c>
      <c r="P24" s="13" t="s">
        <v>31</v>
      </c>
      <c r="Q24" s="4">
        <v>10</v>
      </c>
      <c r="U24" s="13" t="s">
        <v>108</v>
      </c>
      <c r="V24" s="13" t="s">
        <v>97</v>
      </c>
      <c r="W24" s="13" t="s">
        <v>109</v>
      </c>
      <c r="X24" s="4">
        <v>0</v>
      </c>
    </row>
    <row r="25" spans="14:24" ht="12.75">
      <c r="N25" s="13" t="s">
        <v>110</v>
      </c>
      <c r="O25" s="13" t="s">
        <v>107</v>
      </c>
      <c r="P25" s="13" t="s">
        <v>111</v>
      </c>
      <c r="Q25" s="4">
        <v>10</v>
      </c>
      <c r="U25" s="13" t="s">
        <v>112</v>
      </c>
      <c r="V25" s="13" t="s">
        <v>97</v>
      </c>
      <c r="W25" s="13" t="s">
        <v>113</v>
      </c>
      <c r="X25" s="4">
        <v>0</v>
      </c>
    </row>
    <row r="26" spans="14:24" ht="12.75">
      <c r="N26" s="13" t="s">
        <v>114</v>
      </c>
      <c r="O26" s="13" t="s">
        <v>115</v>
      </c>
      <c r="P26" s="13" t="s">
        <v>116</v>
      </c>
      <c r="Q26" s="4">
        <v>17</v>
      </c>
      <c r="U26" s="13" t="s">
        <v>117</v>
      </c>
      <c r="V26" s="13" t="s">
        <v>97</v>
      </c>
      <c r="W26" s="13" t="s">
        <v>113</v>
      </c>
      <c r="X26" s="4">
        <v>0</v>
      </c>
    </row>
    <row r="27" spans="14:24" ht="12.75">
      <c r="N27" s="13" t="s">
        <v>118</v>
      </c>
      <c r="O27" s="13" t="s">
        <v>84</v>
      </c>
      <c r="P27" s="13" t="s">
        <v>85</v>
      </c>
      <c r="Q27" s="4">
        <v>15</v>
      </c>
      <c r="U27" s="13" t="s">
        <v>119</v>
      </c>
      <c r="V27" s="13" t="s">
        <v>97</v>
      </c>
      <c r="W27" s="13" t="s">
        <v>31</v>
      </c>
      <c r="X27" s="4">
        <v>0</v>
      </c>
    </row>
    <row r="28" spans="14:24" ht="12.75">
      <c r="N28" s="13" t="s">
        <v>120</v>
      </c>
      <c r="O28" s="13" t="s">
        <v>84</v>
      </c>
      <c r="P28" s="13" t="s">
        <v>85</v>
      </c>
      <c r="Q28" s="4">
        <v>15</v>
      </c>
      <c r="U28" s="13" t="s">
        <v>121</v>
      </c>
      <c r="V28" s="13" t="s">
        <v>97</v>
      </c>
      <c r="W28" s="13" t="s">
        <v>122</v>
      </c>
      <c r="X28" s="4">
        <v>0</v>
      </c>
    </row>
    <row r="29" spans="14:22" ht="12.75">
      <c r="N29" s="13" t="s">
        <v>123</v>
      </c>
      <c r="O29" s="13" t="s">
        <v>84</v>
      </c>
      <c r="P29" s="13" t="s">
        <v>85</v>
      </c>
      <c r="Q29" s="4">
        <v>9</v>
      </c>
      <c r="U29" s="4" t="s">
        <v>124</v>
      </c>
      <c r="V29" s="4" t="s">
        <v>124</v>
      </c>
    </row>
    <row r="30" spans="14:17" ht="12.75">
      <c r="N30" s="13" t="s">
        <v>125</v>
      </c>
      <c r="O30" s="13" t="s">
        <v>84</v>
      </c>
      <c r="P30" s="13" t="s">
        <v>85</v>
      </c>
      <c r="Q30" s="4">
        <v>7</v>
      </c>
    </row>
    <row r="31" spans="14:17" ht="12.75">
      <c r="N31" s="13" t="s">
        <v>90</v>
      </c>
      <c r="O31" s="13" t="s">
        <v>84</v>
      </c>
      <c r="P31" s="13" t="s">
        <v>126</v>
      </c>
      <c r="Q31" s="4">
        <v>7</v>
      </c>
    </row>
    <row r="32" spans="14:15" ht="12.75">
      <c r="N32" s="4" t="s">
        <v>124</v>
      </c>
      <c r="O32" s="4" t="s">
        <v>124</v>
      </c>
    </row>
    <row r="33" ht="12.75">
      <c r="P33" s="13"/>
    </row>
    <row r="34" ht="12.75">
      <c r="P34" s="13"/>
    </row>
    <row r="35" spans="14:16" ht="12.75">
      <c r="N35" s="13"/>
      <c r="P35" s="13"/>
    </row>
    <row r="36" spans="14:16" ht="12.75">
      <c r="N36" s="13"/>
      <c r="P36" s="13"/>
    </row>
    <row r="37" spans="14:16" ht="12.75">
      <c r="N37" s="13"/>
      <c r="P37" s="13"/>
    </row>
    <row r="38" spans="14:16" ht="12.75">
      <c r="N38" s="13"/>
      <c r="P38" s="13"/>
    </row>
    <row r="39" spans="14:16" ht="12.75">
      <c r="N39" s="13"/>
      <c r="P39" s="13"/>
    </row>
    <row r="40" spans="14:16" ht="12.75">
      <c r="N40" s="13"/>
      <c r="P40" s="13"/>
    </row>
    <row r="41" spans="14:16" ht="12.75">
      <c r="N41" s="13"/>
      <c r="P41" s="13"/>
    </row>
    <row r="42" spans="14:16" ht="12.75">
      <c r="N42" s="13"/>
      <c r="P42" s="13"/>
    </row>
    <row r="43" spans="14:16" ht="12.75">
      <c r="N43" s="13"/>
      <c r="P43" s="13"/>
    </row>
    <row r="44" spans="14:16" ht="12.75">
      <c r="N44" s="13"/>
      <c r="P44" s="13"/>
    </row>
    <row r="45" spans="14:16" ht="12.75">
      <c r="N45" s="13"/>
      <c r="P45" s="13"/>
    </row>
    <row r="46" spans="14:16" ht="12.75">
      <c r="N46" s="13"/>
      <c r="P46" s="13"/>
    </row>
    <row r="47" spans="14:16" ht="12.75">
      <c r="N47" s="13"/>
      <c r="P47" s="13"/>
    </row>
    <row r="48" spans="14:16" ht="12.75">
      <c r="N48" s="13"/>
      <c r="P48" s="13"/>
    </row>
    <row r="49" spans="14:16" ht="12.75">
      <c r="N49" s="13"/>
      <c r="P49" s="13"/>
    </row>
    <row r="50" spans="14:16" ht="12.75">
      <c r="N50" s="13"/>
      <c r="P50" s="13"/>
    </row>
    <row r="51" spans="14:16" ht="12.75">
      <c r="N51" s="13"/>
      <c r="P51" s="13"/>
    </row>
    <row r="52" spans="14:16" ht="12.75">
      <c r="N52" s="13"/>
      <c r="P52" s="13"/>
    </row>
    <row r="53" spans="14:16" ht="12.75">
      <c r="N53" s="13"/>
      <c r="P53" s="13"/>
    </row>
    <row r="54" spans="14:16" ht="12.75">
      <c r="N54" s="13"/>
      <c r="P54" s="13"/>
    </row>
    <row r="55" spans="14:16" ht="12.75">
      <c r="N55" s="13"/>
      <c r="P55" s="13"/>
    </row>
    <row r="56" spans="14:16" ht="12.75">
      <c r="N56" s="13"/>
      <c r="P56" s="13"/>
    </row>
    <row r="57" spans="14:16" ht="12.75">
      <c r="N57" s="13"/>
      <c r="P57" s="13"/>
    </row>
    <row r="58" ht="12.75">
      <c r="N58" s="13"/>
    </row>
    <row r="59" ht="12.75">
      <c r="N59" s="13"/>
    </row>
  </sheetData>
  <sheetProtection selectLockedCells="1" selectUnlockedCells="1"/>
  <dataValidations count="1">
    <dataValidation type="list" allowBlank="1" showInputMessage="1" showErrorMessage="1" sqref="D11">
      <formula1>ValidRates</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indexed="13"/>
    <pageSetUpPr fitToPage="1"/>
  </sheetPr>
  <dimension ref="A2:Y107"/>
  <sheetViews>
    <sheetView showGridLines="0" tabSelected="1" workbookViewId="0" topLeftCell="A21">
      <selection activeCell="E16" sqref="E16"/>
    </sheetView>
  </sheetViews>
  <sheetFormatPr defaultColWidth="10.28125" defaultRowHeight="12.75"/>
  <cols>
    <col min="1" max="1" width="2.7109375" style="15" customWidth="1"/>
    <col min="2" max="2" width="8.57421875" style="15" customWidth="1"/>
    <col min="3" max="3" width="44.421875" style="15" customWidth="1"/>
    <col min="4" max="12" width="17.28125" style="15" customWidth="1"/>
    <col min="13" max="21" width="18.28125" style="15" customWidth="1"/>
    <col min="22" max="23" width="10.140625" style="15" customWidth="1"/>
    <col min="24" max="24" width="0" style="15" hidden="1" customWidth="1"/>
    <col min="25" max="16384" width="10.140625" style="15" customWidth="1"/>
  </cols>
  <sheetData>
    <row r="1" ht="15" customHeight="1"/>
    <row r="2" spans="7:11" ht="15" customHeight="1">
      <c r="G2" s="16"/>
      <c r="H2" s="16"/>
      <c r="I2" s="17"/>
      <c r="J2" s="17"/>
      <c r="K2" s="16"/>
    </row>
    <row r="3" spans="8:25" ht="15" customHeight="1">
      <c r="H3" s="16"/>
      <c r="Y3" s="15">
        <v>15</v>
      </c>
    </row>
    <row r="4" ht="15" customHeight="1"/>
    <row r="5" ht="15" customHeight="1"/>
    <row r="6" ht="15" customHeight="1">
      <c r="G6" s="18"/>
    </row>
    <row r="7" spans="3:12" ht="15" customHeight="1">
      <c r="C7" s="19" t="s">
        <v>127</v>
      </c>
      <c r="D7" s="19"/>
      <c r="E7" s="19"/>
      <c r="F7" s="19"/>
      <c r="H7" s="19" t="s">
        <v>128</v>
      </c>
      <c r="I7" s="19"/>
      <c r="J7" s="19"/>
      <c r="K7" s="19"/>
      <c r="L7" s="19"/>
    </row>
    <row r="8" spans="3:12" ht="15" customHeight="1">
      <c r="C8" s="20"/>
      <c r="D8" s="21"/>
      <c r="E8" s="21"/>
      <c r="F8" s="22"/>
      <c r="H8" s="23"/>
      <c r="I8" s="24"/>
      <c r="J8" s="24"/>
      <c r="K8" s="24"/>
      <c r="L8" s="22"/>
    </row>
    <row r="9" spans="3:12" ht="15" customHeight="1">
      <c r="C9" s="20" t="s">
        <v>129</v>
      </c>
      <c r="D9" s="21"/>
      <c r="E9" s="25" t="s">
        <v>4</v>
      </c>
      <c r="F9" s="26"/>
      <c r="H9" s="20" t="s">
        <v>130</v>
      </c>
      <c r="I9" s="27" t="s">
        <v>131</v>
      </c>
      <c r="J9" s="27"/>
      <c r="K9" s="27"/>
      <c r="L9" s="28"/>
    </row>
    <row r="10" spans="3:12" ht="15" customHeight="1">
      <c r="C10" s="20"/>
      <c r="D10" s="21"/>
      <c r="E10" s="21"/>
      <c r="F10" s="26"/>
      <c r="H10" s="20"/>
      <c r="I10" s="21"/>
      <c r="J10" s="21"/>
      <c r="K10" s="21"/>
      <c r="L10" s="26"/>
    </row>
    <row r="11" spans="3:12" ht="15" customHeight="1">
      <c r="C11" s="20" t="s">
        <v>132</v>
      </c>
      <c r="D11" s="21"/>
      <c r="E11" s="29">
        <v>27000</v>
      </c>
      <c r="F11" s="30"/>
      <c r="G11" s="18"/>
      <c r="H11" s="20" t="s">
        <v>133</v>
      </c>
      <c r="I11" s="27" t="s">
        <v>134</v>
      </c>
      <c r="J11" s="27"/>
      <c r="K11" s="27"/>
      <c r="L11" s="28"/>
    </row>
    <row r="12" spans="3:12" ht="15" customHeight="1">
      <c r="C12" s="31" t="str">
        <f>"!!! Loan Amount &gt; $25,000.  Please enter "&amp;TEXT(LoanPrincipal-25000+CustCont,"$0,000.00")&amp;" in Customer Contribution below !!!"</f>
        <v>!!! Loan Amount &gt; $25,000.  Please enter -$4,550.00 in Customer Contribution below !!!</v>
      </c>
      <c r="D12" s="31"/>
      <c r="E12" s="31"/>
      <c r="F12" s="31"/>
      <c r="H12" s="20"/>
      <c r="I12" s="21"/>
      <c r="J12" s="21"/>
      <c r="K12" s="32"/>
      <c r="L12" s="33"/>
    </row>
    <row r="13" spans="3:12" ht="15" customHeight="1">
      <c r="C13" s="34" t="s">
        <v>135</v>
      </c>
      <c r="D13" s="21"/>
      <c r="E13" s="29">
        <v>6700</v>
      </c>
      <c r="F13" s="30"/>
      <c r="H13" s="34" t="s">
        <v>136</v>
      </c>
      <c r="I13" s="27" t="s">
        <v>137</v>
      </c>
      <c r="J13" s="27"/>
      <c r="K13" s="27"/>
      <c r="L13" s="28"/>
    </row>
    <row r="14" spans="3:12" ht="15" customHeight="1">
      <c r="C14" s="34"/>
      <c r="D14" s="21"/>
      <c r="E14" s="35"/>
      <c r="F14" s="30"/>
      <c r="H14" s="36"/>
      <c r="I14" s="37"/>
      <c r="J14" s="37"/>
      <c r="K14" s="37"/>
      <c r="L14" s="38"/>
    </row>
    <row r="15" spans="3:19" ht="15" customHeight="1">
      <c r="C15" s="20" t="s">
        <v>138</v>
      </c>
      <c r="D15" s="21"/>
      <c r="E15" s="39">
        <v>10500</v>
      </c>
      <c r="F15" s="30"/>
      <c r="G15" s="18"/>
      <c r="S15" s="18"/>
    </row>
    <row r="16" spans="3:19" ht="15" customHeight="1">
      <c r="C16" s="20"/>
      <c r="D16" s="21"/>
      <c r="E16" s="21"/>
      <c r="F16" s="30"/>
      <c r="G16" s="18"/>
      <c r="H16" s="21"/>
      <c r="I16" s="40"/>
      <c r="J16" s="40"/>
      <c r="K16" s="40"/>
      <c r="L16" s="40"/>
      <c r="S16" s="18"/>
    </row>
    <row r="17" spans="3:19" ht="15" customHeight="1">
      <c r="C17" s="20" t="s">
        <v>139</v>
      </c>
      <c r="D17" s="21"/>
      <c r="E17" s="41" t="s">
        <v>140</v>
      </c>
      <c r="F17" s="30"/>
      <c r="G17" s="42"/>
      <c r="H17" s="19" t="s">
        <v>141</v>
      </c>
      <c r="I17" s="19"/>
      <c r="J17" s="19"/>
      <c r="K17" s="19"/>
      <c r="L17" s="19"/>
      <c r="M17" s="21"/>
      <c r="S17" s="18"/>
    </row>
    <row r="18" spans="3:19" ht="15" customHeight="1">
      <c r="C18" s="20"/>
      <c r="D18" s="21"/>
      <c r="E18" s="43"/>
      <c r="F18" s="26"/>
      <c r="H18" s="23"/>
      <c r="I18" s="24"/>
      <c r="J18" s="24"/>
      <c r="K18" s="24"/>
      <c r="L18" s="22"/>
      <c r="S18" s="18"/>
    </row>
    <row r="19" spans="2:19" ht="15" customHeight="1">
      <c r="B19" s="21"/>
      <c r="C19" s="20" t="s">
        <v>142</v>
      </c>
      <c r="D19" s="21"/>
      <c r="E19" s="44">
        <v>0</v>
      </c>
      <c r="F19" s="26"/>
      <c r="H19" s="20" t="s">
        <v>130</v>
      </c>
      <c r="I19" s="27" t="s">
        <v>143</v>
      </c>
      <c r="J19" s="27"/>
      <c r="K19" s="27"/>
      <c r="L19" s="28"/>
      <c r="S19" s="18"/>
    </row>
    <row r="20" spans="2:19" ht="15" customHeight="1">
      <c r="B20" s="21"/>
      <c r="C20" s="20"/>
      <c r="D20" s="21"/>
      <c r="E20" s="21"/>
      <c r="F20" s="26"/>
      <c r="H20" s="45"/>
      <c r="I20" s="46"/>
      <c r="J20" s="46"/>
      <c r="K20" s="46"/>
      <c r="L20" s="47"/>
      <c r="S20" s="18"/>
    </row>
    <row r="21" spans="2:19" ht="15" customHeight="1">
      <c r="B21" s="21"/>
      <c r="C21" s="20" t="s">
        <v>144</v>
      </c>
      <c r="D21" s="21"/>
      <c r="E21" s="48">
        <f>kwhprod*VLOOKUP(utility,C102:D107,2,0)</f>
        <v>1395.4500000000003</v>
      </c>
      <c r="F21" s="26"/>
      <c r="H21" s="21"/>
      <c r="I21" s="40"/>
      <c r="J21" s="40"/>
      <c r="K21" s="40"/>
      <c r="L21" s="40"/>
      <c r="S21" s="18"/>
    </row>
    <row r="22" spans="2:19" ht="15" customHeight="1">
      <c r="B22" s="21"/>
      <c r="C22" s="20"/>
      <c r="D22" s="21"/>
      <c r="E22" s="21"/>
      <c r="F22" s="26"/>
      <c r="H22" s="21"/>
      <c r="I22" s="21"/>
      <c r="J22" s="21"/>
      <c r="K22" s="32"/>
      <c r="L22" s="32"/>
      <c r="S22" s="18"/>
    </row>
    <row r="23" spans="2:19" ht="15" customHeight="1">
      <c r="B23" s="21"/>
      <c r="C23" s="20" t="s">
        <v>145</v>
      </c>
      <c r="D23" s="21"/>
      <c r="E23" s="49">
        <v>20</v>
      </c>
      <c r="F23" s="26"/>
      <c r="H23" s="21"/>
      <c r="I23" s="21"/>
      <c r="J23" s="21"/>
      <c r="K23" s="21"/>
      <c r="M23" s="21"/>
      <c r="S23" s="18"/>
    </row>
    <row r="24" spans="2:18" ht="15" customHeight="1">
      <c r="B24" s="21"/>
      <c r="C24" s="45"/>
      <c r="D24" s="46"/>
      <c r="E24" s="46"/>
      <c r="F24" s="47"/>
      <c r="H24" s="21"/>
      <c r="I24" s="21"/>
      <c r="J24" s="21"/>
      <c r="K24" s="21"/>
      <c r="M24" s="21"/>
      <c r="O24" s="50"/>
      <c r="R24" s="18"/>
    </row>
    <row r="25" spans="2:21" ht="15" customHeight="1">
      <c r="B25" s="46"/>
      <c r="C25" s="46"/>
      <c r="D25" s="46"/>
      <c r="E25" s="46"/>
      <c r="F25" s="46"/>
      <c r="G25" s="46"/>
      <c r="H25" s="46"/>
      <c r="I25" s="46"/>
      <c r="J25" s="46"/>
      <c r="K25" s="46"/>
      <c r="L25" s="46"/>
      <c r="Q25" s="32"/>
      <c r="R25" s="51"/>
      <c r="U25" s="18"/>
    </row>
    <row r="26" spans="1:13" ht="15" customHeight="1">
      <c r="A26" s="21"/>
      <c r="B26" s="52" t="s">
        <v>146</v>
      </c>
      <c r="C26" s="24"/>
      <c r="D26" s="53" t="s">
        <v>147</v>
      </c>
      <c r="E26" s="53"/>
      <c r="F26" s="53"/>
      <c r="G26" s="54" t="s">
        <v>148</v>
      </c>
      <c r="H26" s="54"/>
      <c r="I26" s="54"/>
      <c r="J26" s="53" t="s">
        <v>149</v>
      </c>
      <c r="K26" s="53"/>
      <c r="L26" s="53"/>
      <c r="M26" s="21"/>
    </row>
    <row r="27" spans="1:13" ht="15" customHeight="1">
      <c r="A27" s="21"/>
      <c r="B27" s="52"/>
      <c r="C27" s="45"/>
      <c r="D27" s="55" t="s">
        <v>150</v>
      </c>
      <c r="E27" s="56" t="s">
        <v>151</v>
      </c>
      <c r="F27" s="57" t="s">
        <v>152</v>
      </c>
      <c r="G27" s="55" t="s">
        <v>150</v>
      </c>
      <c r="H27" s="58" t="s">
        <v>151</v>
      </c>
      <c r="I27" s="57" t="s">
        <v>152</v>
      </c>
      <c r="J27" s="55" t="s">
        <v>150</v>
      </c>
      <c r="K27" s="56" t="s">
        <v>151</v>
      </c>
      <c r="L27" s="57" t="s">
        <v>152</v>
      </c>
      <c r="M27" s="21"/>
    </row>
    <row r="28" spans="1:13" ht="15" customHeight="1">
      <c r="A28" s="21"/>
      <c r="B28" s="52"/>
      <c r="C28" s="59"/>
      <c r="D28" s="60"/>
      <c r="E28" s="61"/>
      <c r="F28" s="28"/>
      <c r="G28" s="60"/>
      <c r="H28" s="61"/>
      <c r="I28" s="28"/>
      <c r="J28" s="60"/>
      <c r="K28" s="61"/>
      <c r="L28" s="62"/>
      <c r="M28" s="21"/>
    </row>
    <row r="29" spans="1:13" ht="15" customHeight="1">
      <c r="A29" s="21"/>
      <c r="B29" s="52"/>
      <c r="C29" s="63" t="s">
        <v>153</v>
      </c>
      <c r="D29" s="64">
        <f>IF(OR(PCost&lt;=0,AND(LC_PSavings&lt;=0,OR(SavingsAnnual&lt;=0,WeightedAvgMLife&lt;=0))),"Error!",D35)</f>
        <v>1.35</v>
      </c>
      <c r="E29" s="65">
        <f aca="true" t="shared" si="0" ref="E29:L29">IF(OR(PCost&lt;=0,AND(LC_PSavings&lt;=0,OR(SavingsAnnual&lt;=0,WeightedAvgMLife&lt;=0))),"Error!",E35)</f>
        <v>1.24</v>
      </c>
      <c r="F29" s="66">
        <f t="shared" si="0"/>
        <v>1.15</v>
      </c>
      <c r="G29" s="67">
        <f t="shared" si="0"/>
        <v>1.35</v>
      </c>
      <c r="H29" s="68">
        <f t="shared" si="0"/>
        <v>1.24</v>
      </c>
      <c r="I29" s="69">
        <f t="shared" si="0"/>
        <v>1.15</v>
      </c>
      <c r="J29" s="67">
        <f t="shared" si="0"/>
        <v>1.33</v>
      </c>
      <c r="K29" s="68">
        <f t="shared" si="0"/>
        <v>1.21</v>
      </c>
      <c r="L29" s="70">
        <f t="shared" si="0"/>
        <v>1.11</v>
      </c>
      <c r="M29" s="21"/>
    </row>
    <row r="30" spans="1:13" ht="15" customHeight="1">
      <c r="A30" s="21"/>
      <c r="B30" s="52"/>
      <c r="C30" s="71" t="s">
        <v>154</v>
      </c>
      <c r="D30" s="72">
        <f>IF(D29="Error!","Error!",IF(D33&gt;=(LoanPrincipal),"",CEILING((LoanPrincipal)-D33+CustCont,1)))</f>
      </c>
      <c r="E30" s="73">
        <f>IF(E29="Error!","Error!",IF(E33&gt;=(LoanPrincipal),"",CEILING((LoanPrincipal)-E33+CustCont,1)))</f>
      </c>
      <c r="F30" s="74">
        <f>IF(F29="Error!","Error!",IF(F33&gt;=(LoanPrincipal),"",CEILING((LoanPrincipal)-F33+CustCont,1)))</f>
      </c>
      <c r="G30" s="72">
        <f aca="true" t="shared" si="1" ref="G30:L30">IF(G29="Error!","Error!",IF(G35&gt;=1,"",CEILING((LoanPrincipal)-G33+CustCont,1)))</f>
      </c>
      <c r="H30" s="73">
        <f t="shared" si="1"/>
      </c>
      <c r="I30" s="74">
        <f t="shared" si="1"/>
      </c>
      <c r="J30" s="72">
        <f t="shared" si="1"/>
      </c>
      <c r="K30" s="73">
        <f t="shared" si="1"/>
      </c>
      <c r="L30" s="75">
        <f t="shared" si="1"/>
      </c>
      <c r="M30" s="21"/>
    </row>
    <row r="31" spans="1:13" ht="15" customHeight="1">
      <c r="A31" s="21"/>
      <c r="B31" s="52"/>
      <c r="C31" s="71" t="s">
        <v>155</v>
      </c>
      <c r="D31" s="76"/>
      <c r="E31" s="77"/>
      <c r="F31" s="78"/>
      <c r="G31" s="76"/>
      <c r="H31" s="77"/>
      <c r="I31" s="78"/>
      <c r="J31" s="76"/>
      <c r="K31" s="77"/>
      <c r="L31" s="79"/>
      <c r="M31" s="21"/>
    </row>
    <row r="32" spans="1:14" ht="15" customHeight="1">
      <c r="A32" s="21"/>
      <c r="B32" s="52"/>
      <c r="C32" s="80" t="s">
        <v>156</v>
      </c>
      <c r="D32" s="72">
        <f aca="true" t="shared" si="2" ref="D32:F32">IF(D29="Error!","Error!",IF(SavingsAnnual&gt;=D34,"",CEILING(D34,1)))</f>
      </c>
      <c r="E32" s="73">
        <f t="shared" si="2"/>
      </c>
      <c r="F32" s="74">
        <f t="shared" si="2"/>
      </c>
      <c r="G32" s="72">
        <f>IF(G29="Error!","Error!",IF(G35&gt;=1,"",CEILING(G34,1)))</f>
      </c>
      <c r="H32" s="73">
        <f aca="true" t="shared" si="3" ref="H32:L32">IF(H29="Error!","Error!",IF(H35&gt;=1,"",CEILING(H34,1)))</f>
      </c>
      <c r="I32" s="74">
        <f>IF(I29="Error!","Error!",IF(I35&gt;=1,"",CEILING(I34,1)))</f>
      </c>
      <c r="J32" s="72">
        <f t="shared" si="3"/>
      </c>
      <c r="K32" s="74">
        <f t="shared" si="3"/>
      </c>
      <c r="L32" s="75">
        <f t="shared" si="3"/>
      </c>
      <c r="M32" s="21"/>
      <c r="N32" s="21"/>
    </row>
    <row r="33" spans="1:14" ht="15" customHeight="1" hidden="1">
      <c r="A33" s="21"/>
      <c r="B33" s="52"/>
      <c r="C33" s="81" t="s">
        <v>157</v>
      </c>
      <c r="D33" s="76">
        <f>IF(OR((LoanPrincipal)&lt;=0,WeightedAvgMLife&lt;=0),"N/A",PV(0.0349/12,5*12,-(FV(0.008,WeightedAvgMLife,-SavingsAnnual)/(5*12))))</f>
        <v>27615.884666329952</v>
      </c>
      <c r="E33" s="77">
        <f>IF(OR((LoanPrincipal)&lt;=0,WeightedAvgMLife&lt;=0),"N/A",PV(0.0349/12,10*12,-(FV(0.008,WeightedAvgMLife,-SavingsAnnual)/(10*12))))</f>
        <v>25407.850937610525</v>
      </c>
      <c r="F33" s="78">
        <f>IF(OR((LoanPrincipal)&lt;=0,WeightedAvgMLife&lt;=0),"N/A",PV(0.0349/12,15*12,-(FV(0.008,WeightedAvgMLife,-SavingsAnnual)/(15*12))))</f>
        <v>23435.20892908258</v>
      </c>
      <c r="G33" s="76">
        <f>IF(OR((LoanPrincipal)&lt;=0,WeightedAvgMLife&lt;=0),"N/A",PV(0.0349/12,5*12,-(FV(0.008,WeightedAvgMLife,-SavingsAnnual)/(5*12))))</f>
        <v>27615.884666329952</v>
      </c>
      <c r="H33" s="77">
        <f>IF(OR((LoanPrincipal)&lt;=0,WeightedAvgMLife&lt;=0),"N/A",PV(0.0349/12,10*12,-(FV(0.008,WeightedAvgMLife,-SavingsAnnual)/(10*12))))</f>
        <v>25407.850937610525</v>
      </c>
      <c r="I33" s="78">
        <f>IF(OR((LoanPrincipal)&lt;=0,WeightedAvgMLife&lt;=0),"N/A",PV(0.0349/12,15*12,-(FV(0.008,WeightedAvgMLife,-SavingsAnnual)/(15*12))))</f>
        <v>23435.20892908258</v>
      </c>
      <c r="J33" s="76">
        <f>IF(OR((LoanPrincipal)&lt;=0,WeightedAvgMLife&lt;=0),"N/A",PV(0.0399/12,5*12,-(FV(0.008,WeightedAvgMLife,-SavingsAnnual)/(5*12))))</f>
        <v>27278.796680910582</v>
      </c>
      <c r="K33" s="78">
        <f>IF(OR((LoanPrincipal)&lt;=0,WeightedAvgMLife&lt;=0),"N/A",PV(0.0399/12,10*12,-(FV(0.008,WeightedAvgMLife,-SavingsAnnual)/(10*12))))</f>
        <v>24815.676122604673</v>
      </c>
      <c r="L33" s="79">
        <f>IF(OR((LoanPrincipal)&lt;=0,WeightedAvgMLife&lt;=0),"N/A",PV(0.0399/12,15*12,-(FV(0.008,WeightedAvgMLife,-SavingsAnnual)/(15*12))))</f>
        <v>22649.09664493936</v>
      </c>
      <c r="M33" s="21"/>
      <c r="N33" s="21"/>
    </row>
    <row r="34" spans="1:14" ht="15" customHeight="1" hidden="1">
      <c r="A34" s="21"/>
      <c r="B34" s="52"/>
      <c r="C34" s="82" t="s">
        <v>158</v>
      </c>
      <c r="D34" s="76">
        <f>IF(OR((LoanPrincipal)&lt;=0,WeightedAvgMLife&lt;=0),"N/A",PMT(0.008,WeightedAvgMLife,,-PMT(0.0349/12,5*12,-(LoanPrincipal))*5*12))</f>
        <v>1033.3528273600107</v>
      </c>
      <c r="E34" s="77">
        <f>IF(OR((LoanPrincipal)&lt;=0,WeightedAvgMLife&lt;=0),"N/A",PMT(0.008,WeightedAvgMLife,,-PMT(0.0349/12,10*12,-(LoanPrincipal))*10*12))</f>
        <v>1123.154908696255</v>
      </c>
      <c r="F34" s="78">
        <f>IF(OR((LoanPrincipal)&lt;=0,WeightedAvgMLife&lt;=0),"N/A",PMT(0.008,WeightedAvgMLife,,-PMT(0.0349/12,15*12,-(LoanPrincipal))*15*12))</f>
        <v>1217.6956726247176</v>
      </c>
      <c r="G34" s="76">
        <f>IF(OR((LoanPrincipal)&lt;=0,WeightedAvgMLife&lt;=0),"N/A",PMT(0.008,WeightedAvgMLife,,-PMT(0.0349/12,5*12,-(LoanPrincipal))*5*12))</f>
        <v>1033.3528273600107</v>
      </c>
      <c r="H34" s="77">
        <f>IF(OR((LoanPrincipal)&lt;=0,WeightedAvgMLife&lt;=0),"N/A",PMT(0.008,WeightedAvgMLife,,-PMT(0.0349/12,10*12,-(LoanPrincipal))*10*12))</f>
        <v>1123.154908696255</v>
      </c>
      <c r="I34" s="78">
        <f>IF(OR((LoanPrincipal)&lt;=0,WeightedAvgMLife&lt;=0),"N/A",PMT(0.008,WeightedAvgMLife,,-PMT(0.0349/12,15*12,-(LoanPrincipal))*15*12))</f>
        <v>1217.6956726247176</v>
      </c>
      <c r="J34" s="76">
        <f>IF(OR((LoanPrincipal)&lt;=0,WeightedAvgMLife&lt;=0),"N/A",PMT(0.008,WeightedAvgMLife,,-PMT(0.0399/12,5*12,-(LoanPrincipal))*5*12))</f>
        <v>1046.1221157885561</v>
      </c>
      <c r="K34" s="78">
        <f>IF(OR((LoanPrincipal)&lt;=0,WeightedAvgMLife&lt;=0),"N/A",PMT(0.008,WeightedAvgMLife,,-PMT(0.0399/12,10*12,-(LoanPrincipal))*10*12))</f>
        <v>1149.9566789560736</v>
      </c>
      <c r="L34" s="79">
        <f>IF(OR((LoanPrincipal)&lt;=0,WeightedAvgMLife&lt;=0),"N/A",PMT(0.008,WeightedAvgMLife,,-PMT(0.0399/12,15*12,-(LoanPrincipal))*15*12))</f>
        <v>1259.9598539121512</v>
      </c>
      <c r="M34" s="32"/>
      <c r="N34" s="21"/>
    </row>
    <row r="35" spans="1:14" ht="15" customHeight="1" hidden="1">
      <c r="A35" s="21"/>
      <c r="B35" s="52"/>
      <c r="C35" s="82" t="s">
        <v>153</v>
      </c>
      <c r="D35" s="64">
        <f>IF(LC_PSavings&gt;0,ROUND((LC_PSavings)/(PMT(0.0349/12,5*12,-(LoanPrincipal))*5*12),2),ROUND((FV(0.008,WeightedAvgMLife,-SavingsAnnual)/(PMT(0.0349/12,5*12,-(LoanPrincipal))*5*12)),2))</f>
        <v>1.35</v>
      </c>
      <c r="E35" s="65">
        <f>IF(LC_PSavings&gt;0,ROUND((LC_PSavings)/(PMT(0.0349/12,10*12,-(LoanPrincipal))*10*12),2),ROUND((FV(0.008,WeightedAvgMLife,-SavingsAnnual)/(PMT(0.0349/12,10*12,-(LoanPrincipal))*10*12)),2))</f>
        <v>1.24</v>
      </c>
      <c r="F35" s="66">
        <f>IF(LC_PSavings&gt;0,ROUND((LC_PSavings)/(PMT(0.0349/12,15*12,-(LoanPrincipal))*15*12),2),ROUND((FV(0.008,WeightedAvgMLife,-SavingsAnnual)/(PMT(0.0349/12,15*12,-(LoanPrincipal))*15*12)),2))</f>
        <v>1.15</v>
      </c>
      <c r="G35" s="64">
        <f>IF(LC_PSavings&gt;0,ROUND((LC_PSavings)/(PMT(0.0349/12,5*12,-(LoanPrincipal))*5*12),2),ROUND((FV(0.008,WeightedAvgMLife,-SavingsAnnual)/(PMT(0.0349/12,5*12,-(LoanPrincipal))*5*12)),2))</f>
        <v>1.35</v>
      </c>
      <c r="H35" s="65">
        <f>IF(LC_PSavings&gt;0,ROUND((LC_PSavings)/(PMT(0.0349/12,10*12,-(LoanPrincipal))*10*12),2),ROUND((FV(0.008,WeightedAvgMLife,-SavingsAnnual)/(PMT(0.0349/12,10*12,-(LoanPrincipal))*10*12)),2))</f>
        <v>1.24</v>
      </c>
      <c r="I35" s="66">
        <f>IF(LC_PSavings&gt;0,ROUND((LC_PSavings)/(PMT(0.0349/12,15*12,-(LoanPrincipal))*15*12),2),ROUND((FV(0.008,WeightedAvgMLife,-SavingsAnnual)/(PMT(0.0349/12,15*12,-(LoanPrincipal))*15*12)),2))</f>
        <v>1.15</v>
      </c>
      <c r="J35" s="64">
        <f>IF(LC_PSavings&gt;0,ROUND((LC_PSavings)/(PMT(0.0399/12,5*12,-(LoanPrincipal))*5*12),2),ROUND((FV(0.008,WeightedAvgMLife,-SavingsAnnual)/(PMT(0.0399/12,5*12,-(LoanPrincipal))*5*12)),2))</f>
        <v>1.33</v>
      </c>
      <c r="K35" s="66">
        <f>IF(LC_PSavings&gt;0,ROUND((LC_PSavings)/(PMT(0.0399/12,10*12,-(LoanPrincipal))*10*12),2),ROUND((FV(0.008,WeightedAvgMLife,-SavingsAnnual)/(PMT(0.0399/12,10*12,-(LoanPrincipal))*10*12)),2))</f>
        <v>1.21</v>
      </c>
      <c r="L35" s="83">
        <f>IF(LC_PSavings&gt;0,ROUND((LC_PSavings)/(PMT(0.0399/12,15*12,-(LoanPrincipal))*15*12),2),ROUND((FV(0.008,WeightedAvgMLife,-SavingsAnnual)/(PMT(0.0399/12,15*12,-(LoanPrincipal))*15*12)),2))</f>
        <v>1.11</v>
      </c>
      <c r="M35" s="32"/>
      <c r="N35" s="21"/>
    </row>
    <row r="36" spans="1:14" ht="15" customHeight="1">
      <c r="A36" s="21"/>
      <c r="B36" s="52"/>
      <c r="C36" s="84"/>
      <c r="D36" s="85"/>
      <c r="E36" s="86"/>
      <c r="F36" s="87"/>
      <c r="G36" s="85"/>
      <c r="H36" s="86"/>
      <c r="I36" s="87"/>
      <c r="J36" s="85"/>
      <c r="K36" s="86"/>
      <c r="L36" s="88"/>
      <c r="M36" s="32"/>
      <c r="N36" s="21"/>
    </row>
    <row r="37" spans="2:13" ht="15" customHeight="1">
      <c r="B37" s="52"/>
      <c r="C37" s="89" t="s">
        <v>159</v>
      </c>
      <c r="D37" s="90" t="e">
        <f>IF(D45="Error!","Error!",IF(AND(D45&gt;=0,WeightedAvgMLife&gt;=5),"YES","NO"))</f>
        <v>#NAME?</v>
      </c>
      <c r="E37" s="91" t="e">
        <f>IF(E45="Error!","Error!",IF(AND(E45&gt;=0,WeightedAvgMLife&gt;=10),"YES","NO"))</f>
        <v>#NAME?</v>
      </c>
      <c r="F37" s="92" t="e">
        <f>IF(F45="Error!","Error!",IF(AND(F45&gt;=0,WeightedAvgMLife&gt;=15),"YES","NO"))</f>
        <v>#NAME?</v>
      </c>
      <c r="G37" s="90" t="e">
        <f>IF(WeightedAvgMLife&lt;5,"NO",IF(G40="N/A","YES",IF(G45="Error!","Error!",IF(AND(G45&lt;=15,WeightedAvgMLife&gt;=5),"YES","NO"))))</f>
        <v>#NAME?</v>
      </c>
      <c r="H37" s="91" t="e">
        <f>IF(WeightedAvgMLife&lt;10,"NO",IF(H40="N/A","YES",IF(H45="Error!","Error!",IF(AND(H45&lt;=15,WeightedAvgMLife&gt;=10),"YES","NO"))))</f>
        <v>#NAME?</v>
      </c>
      <c r="I37" s="92" t="e">
        <f>IF(WeightedAvgMLife&lt;15,"NO",IF(I40="N/A","YES",IF(I45="Error!","Error!",IF(AND(I45&lt;=15,WeightedAvgMLife&gt;=15),"YES","NO"))))</f>
        <v>#NAME?</v>
      </c>
      <c r="J37" s="90" t="e">
        <f>IF(WeightedAvgMLife&lt;5,"NO",IF(J40="N/A","YES",IF(J45="Error!","Error!",IF(AND(J45&lt;=15,WeightedAvgMLife&gt;=5),"YES","NO"))))</f>
        <v>#NAME?</v>
      </c>
      <c r="K37" s="91" t="e">
        <f>IF(WeightedAvgMLife&lt;10,"NO",IF(K40="N/A","YES",IF(K45="Error!","Error!",IF(AND(K45&lt;=15,WeightedAvgMLife&gt;=10),"YES","NO"))))</f>
        <v>#NAME?</v>
      </c>
      <c r="L37" s="93" t="e">
        <f>IF(WeightedAvgMLife&lt;15,"NO",IF(L40="N/A","YES",IF(L45="Error!","Error!",IF(AND(L45&lt;=15,WeightedAvgMLife&gt;=15),"YES","NO"))))</f>
        <v>#NAME?</v>
      </c>
      <c r="M37" s="94"/>
    </row>
    <row r="38" spans="2:13" ht="28.5" customHeight="1">
      <c r="B38" s="52"/>
      <c r="C38" s="95" t="s">
        <v>160</v>
      </c>
      <c r="D38" s="90"/>
      <c r="E38" s="91"/>
      <c r="F38" s="92"/>
      <c r="G38" s="90"/>
      <c r="H38" s="91"/>
      <c r="I38" s="96"/>
      <c r="J38" s="90"/>
      <c r="K38" s="91"/>
      <c r="L38" s="96"/>
      <c r="M38" s="94"/>
    </row>
    <row r="39" spans="2:13" ht="43.5" customHeight="1">
      <c r="B39" s="52"/>
      <c r="C39" s="97" t="s">
        <v>161</v>
      </c>
      <c r="D39" s="90"/>
      <c r="E39" s="91"/>
      <c r="F39" s="92"/>
      <c r="G39" s="90"/>
      <c r="H39" s="91"/>
      <c r="I39" s="96"/>
      <c r="J39" s="90"/>
      <c r="K39" s="91"/>
      <c r="L39" s="93"/>
      <c r="M39" s="94"/>
    </row>
    <row r="40" spans="2:12" s="98" customFormat="1" ht="15" customHeight="1">
      <c r="B40" s="52"/>
      <c r="C40" s="99" t="s">
        <v>154</v>
      </c>
      <c r="D40" s="100" t="e">
        <f>IF(D45="Error!","Error!",IF(D43&gt;=(LoanPrincipal),"",CEILING((LoanPrincipal)-D43+CustCont,1)))</f>
        <v>#NAME?</v>
      </c>
      <c r="E40" s="101" t="e">
        <f>IF(E45="Error!","Error!",IF(E43&gt;=(LoanPrincipal),"",CEILING((LoanPrincipal)-E43+CustCont,1)))</f>
        <v>#NAME?</v>
      </c>
      <c r="F40" s="102" t="e">
        <f>IF(F45="Error!","Error!",IF(F43&gt;=(LoanPrincipal),"",CEILING((LoanPrincipal)-F43+CustCont,1)))</f>
        <v>#NAME?</v>
      </c>
      <c r="G40" s="100" t="e">
        <f aca="true" t="shared" si="4" ref="G40:L40">IF(G45="Error!","Error!",IF((LoanPrincipal)&lt;=13000,"N/A",IF(G45&lt;=15,"",IF(LoanPrincipal-CEILING((LoanPrincipal)-G43+CustCont,1)&lt;13000,LoanPrincipal-13000+CustCont,CEILING((LoanPrincipal)-G43+CustCont,1)))))</f>
        <v>#NAME?</v>
      </c>
      <c r="H40" s="101" t="e">
        <f t="shared" si="4"/>
        <v>#NAME?</v>
      </c>
      <c r="I40" s="102" t="e">
        <f t="shared" si="4"/>
        <v>#NAME?</v>
      </c>
      <c r="J40" s="100" t="e">
        <f t="shared" si="4"/>
        <v>#NAME?</v>
      </c>
      <c r="K40" s="101" t="e">
        <f t="shared" si="4"/>
        <v>#NAME?</v>
      </c>
      <c r="L40" s="103" t="e">
        <f t="shared" si="4"/>
        <v>#NAME?</v>
      </c>
    </row>
    <row r="41" spans="2:13" ht="15" customHeight="1">
      <c r="B41" s="52"/>
      <c r="C41" s="99" t="s">
        <v>155</v>
      </c>
      <c r="D41" s="104"/>
      <c r="E41" s="105"/>
      <c r="F41" s="106"/>
      <c r="G41" s="104"/>
      <c r="H41" s="105"/>
      <c r="I41" s="106"/>
      <c r="J41" s="104"/>
      <c r="K41" s="105"/>
      <c r="L41" s="107"/>
      <c r="M41" s="94"/>
    </row>
    <row r="42" spans="2:12" s="98" customFormat="1" ht="15" customHeight="1">
      <c r="B42" s="52"/>
      <c r="C42" s="108" t="s">
        <v>156</v>
      </c>
      <c r="D42" s="109" t="e">
        <f>IF(D45="Error!","Error!",IF(D44&lt;=SavingsAnnual,"",CEILING(D44,1)))</f>
        <v>#NAME?</v>
      </c>
      <c r="E42" s="110" t="e">
        <f>IF(E45="Error!","Error!",IF(E44&lt;=SavingsAnnual,"",CEILING(E44,1)))</f>
        <v>#NAME?</v>
      </c>
      <c r="F42" s="111" t="e">
        <f>IF(F45="Error!","Error!",IF(F44&lt;=SavingsAnnual,"",CEILING(F44,1)))</f>
        <v>#NAME?</v>
      </c>
      <c r="G42" s="109" t="e">
        <f aca="true" t="shared" si="5" ref="G42:L42">IF(G45="Error!","Error!",IF((LoanPrincipal)&lt;=13000,"N/A",IF(G45&lt;=15,"",CEILING(G44,1))))</f>
        <v>#NAME?</v>
      </c>
      <c r="H42" s="110" t="e">
        <f t="shared" si="5"/>
        <v>#NAME?</v>
      </c>
      <c r="I42" s="111" t="e">
        <f t="shared" si="5"/>
        <v>#NAME?</v>
      </c>
      <c r="J42" s="109" t="e">
        <f t="shared" si="5"/>
        <v>#NAME?</v>
      </c>
      <c r="K42" s="110" t="e">
        <f t="shared" si="5"/>
        <v>#NAME?</v>
      </c>
      <c r="L42" s="112" t="e">
        <f t="shared" si="5"/>
        <v>#NAME?</v>
      </c>
    </row>
    <row r="43" spans="2:12" s="98" customFormat="1" ht="15" customHeight="1" hidden="1">
      <c r="B43" s="113"/>
      <c r="C43" s="114" t="s">
        <v>162</v>
      </c>
      <c r="D43" s="115">
        <f>PV(0.0349/12,5*12,-(FV(0.008,5,-(SavingsAnnual))/(5*12)))</f>
        <v>6497.020387081851</v>
      </c>
      <c r="E43" s="115">
        <f>PV(0.0349/12,10*12,-(FV(0.008,10,-(SavingsAnnual))/(10*12)))</f>
        <v>12198.057927124693</v>
      </c>
      <c r="F43" s="115">
        <f>PV(0.0349/12,15*12,-(FV(0.008,15,-(SavingsAnnual))/(15*12)))</f>
        <v>17221.769334411438</v>
      </c>
      <c r="G43" s="115" t="e">
        <f aca="true" t="shared" si="6" ref="G43:L43">IF(G45="Error!","Error!",(SavingsAnnual*15))</f>
        <v>#NAME?</v>
      </c>
      <c r="H43" s="115" t="e">
        <f t="shared" si="6"/>
        <v>#NAME?</v>
      </c>
      <c r="I43" s="115" t="e">
        <f t="shared" si="6"/>
        <v>#NAME?</v>
      </c>
      <c r="J43" s="115" t="e">
        <f t="shared" si="6"/>
        <v>#NAME?</v>
      </c>
      <c r="K43" s="115" t="e">
        <f t="shared" si="6"/>
        <v>#NAME?</v>
      </c>
      <c r="L43" s="116" t="e">
        <f t="shared" si="6"/>
        <v>#NAME?</v>
      </c>
    </row>
    <row r="44" spans="2:12" s="98" customFormat="1" ht="15" customHeight="1" hidden="1">
      <c r="B44" s="113"/>
      <c r="C44" s="117" t="s">
        <v>163</v>
      </c>
      <c r="D44" s="118">
        <f>PMT(0.008,5,,-PMT(0.0349/12,5*12,-(LoanPrincipal))*5*12)</f>
        <v>4392.31383000438</v>
      </c>
      <c r="E44" s="118">
        <f>PMT(0.008,10,,-PMT(0.0349/12,10*12,-(LoanPrincipal))*10*12)</f>
        <v>2339.466878292378</v>
      </c>
      <c r="F44" s="76">
        <f>PMT(0.008,15,,-PMT(0.0349/12,15*12,-(LoanPrincipal))*15*12)</f>
        <v>1657.027913094811</v>
      </c>
      <c r="G44" s="115" t="e">
        <f aca="true" t="shared" si="7" ref="G44:L44">IF(G45="Error!","Error!",(LoanPrincipal)/15)</f>
        <v>#NAME?</v>
      </c>
      <c r="H44" s="115" t="e">
        <f t="shared" si="7"/>
        <v>#NAME?</v>
      </c>
      <c r="I44" s="115" t="e">
        <f t="shared" si="7"/>
        <v>#NAME?</v>
      </c>
      <c r="J44" s="115" t="e">
        <f t="shared" si="7"/>
        <v>#NAME?</v>
      </c>
      <c r="K44" s="115" t="e">
        <f t="shared" si="7"/>
        <v>#NAME?</v>
      </c>
      <c r="L44" s="116" t="e">
        <f t="shared" si="7"/>
        <v>#NAME?</v>
      </c>
    </row>
    <row r="45" spans="2:12" s="98" customFormat="1" ht="15" customHeight="1" hidden="1">
      <c r="B45" s="119"/>
      <c r="C45" s="120" t="s">
        <v>164</v>
      </c>
      <c r="D45" s="121" t="e">
        <f>#N/A</f>
        <v>#NAME?</v>
      </c>
      <c r="E45" s="121" t="e">
        <f>#N/A</f>
        <v>#NAME?</v>
      </c>
      <c r="F45" s="122" t="e">
        <f>#N/A</f>
        <v>#NAME?</v>
      </c>
      <c r="G45" s="123" t="e">
        <f aca="true" t="shared" si="8" ref="G45:L45">#N/A</f>
        <v>#NAME?</v>
      </c>
      <c r="H45" s="123" t="e">
        <f t="shared" si="8"/>
        <v>#NAME?</v>
      </c>
      <c r="I45" s="123" t="e">
        <f t="shared" si="8"/>
        <v>#NAME?</v>
      </c>
      <c r="J45" s="123" t="e">
        <f t="shared" si="8"/>
        <v>#NAME?</v>
      </c>
      <c r="K45" s="123" t="e">
        <f t="shared" si="8"/>
        <v>#NAME?</v>
      </c>
      <c r="L45" s="124" t="e">
        <f t="shared" si="8"/>
        <v>#NAME?</v>
      </c>
    </row>
    <row r="46" spans="2:6" s="98" customFormat="1" ht="15" customHeight="1" hidden="1">
      <c r="B46" s="125"/>
      <c r="C46" s="114" t="s">
        <v>165</v>
      </c>
      <c r="D46" s="115" t="e">
        <f>IF(D48="Error!","Error!",(SavingsAnnual*5))</f>
        <v>#NAME?</v>
      </c>
      <c r="E46" s="115" t="e">
        <f>IF(E48="Error!","Error!",(SavingsAnnual*10))</f>
        <v>#NAME?</v>
      </c>
      <c r="F46" s="116" t="e">
        <f>IF(F48="Error!","Error!",(SavingsAnnual*15))</f>
        <v>#NAME?</v>
      </c>
    </row>
    <row r="47" spans="2:6" s="98" customFormat="1" ht="15" customHeight="1" hidden="1">
      <c r="B47" s="125"/>
      <c r="C47" s="117" t="s">
        <v>166</v>
      </c>
      <c r="D47" s="115" t="e">
        <f>IF(D48="Error!","Error!",(LoanPrincipal)/5)</f>
        <v>#NAME?</v>
      </c>
      <c r="E47" s="115" t="e">
        <f>IF(E48="Error!","Error!",(LoanPrincipal)/10)</f>
        <v>#NAME?</v>
      </c>
      <c r="F47" s="116" t="e">
        <f>IF(F48="Error!","Error!",(LoanPrincipal)/15)</f>
        <v>#NAME?</v>
      </c>
    </row>
    <row r="48" spans="2:6" ht="15" customHeight="1" hidden="1">
      <c r="B48" s="126"/>
      <c r="C48" s="120" t="s">
        <v>167</v>
      </c>
      <c r="D48" s="123" t="e">
        <f>#N/A</f>
        <v>#NAME?</v>
      </c>
      <c r="E48" s="123" t="e">
        <f>#N/A</f>
        <v>#NAME?</v>
      </c>
      <c r="F48" s="124" t="e">
        <f>#N/A</f>
        <v>#NAME?</v>
      </c>
    </row>
    <row r="49" spans="2:6" ht="15" customHeight="1">
      <c r="B49" s="126"/>
      <c r="C49" s="127"/>
      <c r="D49" s="128"/>
      <c r="E49" s="128"/>
      <c r="F49" s="128"/>
    </row>
    <row r="50" spans="2:12" ht="15" customHeight="1">
      <c r="B50" s="126"/>
      <c r="C50" s="127"/>
      <c r="D50" s="21"/>
      <c r="E50" s="21"/>
      <c r="F50" s="21"/>
      <c r="G50" s="21"/>
      <c r="H50" s="21"/>
      <c r="I50" s="21"/>
      <c r="J50" s="21"/>
      <c r="K50" s="21"/>
      <c r="L50" s="21"/>
    </row>
    <row r="51" spans="2:12" ht="15" customHeight="1">
      <c r="B51" s="126"/>
      <c r="C51" s="127"/>
      <c r="D51" s="21"/>
      <c r="E51" s="21"/>
      <c r="F51" s="21"/>
      <c r="G51" s="21"/>
      <c r="H51" s="21"/>
      <c r="I51" s="21"/>
      <c r="J51" s="21"/>
      <c r="K51" s="21"/>
      <c r="L51" s="21"/>
    </row>
    <row r="52" spans="2:12" ht="15" customHeight="1">
      <c r="B52" s="21"/>
      <c r="C52" s="129"/>
      <c r="D52" s="129"/>
      <c r="E52" s="129"/>
      <c r="F52" s="129"/>
      <c r="H52" s="129"/>
      <c r="I52" s="129"/>
      <c r="J52" s="129"/>
      <c r="K52" s="129"/>
      <c r="L52" s="129"/>
    </row>
    <row r="53" spans="2:12" ht="15" customHeight="1">
      <c r="B53" s="21"/>
      <c r="C53" s="129"/>
      <c r="D53" s="129"/>
      <c r="E53" s="129"/>
      <c r="F53" s="129"/>
      <c r="H53" s="129"/>
      <c r="I53" s="129"/>
      <c r="J53" s="129"/>
      <c r="K53" s="129"/>
      <c r="L53" s="129"/>
    </row>
    <row r="54" spans="2:18" ht="15" customHeight="1">
      <c r="B54" s="19" t="s">
        <v>168</v>
      </c>
      <c r="C54" s="19"/>
      <c r="D54" s="19"/>
      <c r="E54" s="19"/>
      <c r="F54" s="19"/>
      <c r="G54" s="19"/>
      <c r="H54" s="19"/>
      <c r="I54" s="19"/>
      <c r="J54" s="19"/>
      <c r="K54" s="19"/>
      <c r="L54" s="19"/>
      <c r="N54" s="18"/>
      <c r="Q54" s="32"/>
      <c r="R54" s="51"/>
    </row>
    <row r="55" spans="2:18" ht="15" customHeight="1">
      <c r="B55" s="130"/>
      <c r="C55" s="131"/>
      <c r="D55" s="131" t="s">
        <v>169</v>
      </c>
      <c r="E55" s="131"/>
      <c r="F55" s="131"/>
      <c r="G55" s="131" t="s">
        <v>170</v>
      </c>
      <c r="H55" s="131"/>
      <c r="I55" s="131"/>
      <c r="J55" s="132" t="s">
        <v>171</v>
      </c>
      <c r="K55" s="132"/>
      <c r="L55" s="132"/>
      <c r="N55" s="18"/>
      <c r="O55" s="18"/>
      <c r="Q55" s="32"/>
      <c r="R55" s="32"/>
    </row>
    <row r="56" spans="2:18" ht="15" customHeight="1">
      <c r="B56" s="52" t="s">
        <v>172</v>
      </c>
      <c r="C56" s="133"/>
      <c r="D56" s="21"/>
      <c r="E56" s="24"/>
      <c r="F56" s="22"/>
      <c r="G56" s="24"/>
      <c r="H56" s="24"/>
      <c r="I56" s="22"/>
      <c r="J56" s="24"/>
      <c r="K56" s="24"/>
      <c r="L56" s="22"/>
      <c r="N56" s="18"/>
      <c r="O56" s="18"/>
      <c r="Q56" s="32"/>
      <c r="R56" s="32"/>
    </row>
    <row r="57" spans="2:19" ht="15" customHeight="1">
      <c r="B57" s="52"/>
      <c r="C57" s="59" t="s">
        <v>173</v>
      </c>
      <c r="D57" s="134"/>
      <c r="E57" s="135">
        <f>IF(PCost=0,"",IF(FinFee="No",PCost-SUM(PVINCENTIVE,CustCont),PCost-SUM(PVINCENTIVE,CustCont)+150))</f>
        <v>20450</v>
      </c>
      <c r="F57" s="135"/>
      <c r="G57" s="135"/>
      <c r="H57" s="135"/>
      <c r="I57" s="135"/>
      <c r="J57" s="135"/>
      <c r="K57" s="135"/>
      <c r="L57" s="30"/>
      <c r="N57" s="136"/>
      <c r="O57" s="136"/>
      <c r="Q57" s="32"/>
      <c r="R57" s="32"/>
      <c r="S57" s="136"/>
    </row>
    <row r="58" spans="2:18" ht="15" customHeight="1">
      <c r="B58" s="52"/>
      <c r="C58" s="59"/>
      <c r="D58" s="21"/>
      <c r="E58" s="21"/>
      <c r="F58" s="26"/>
      <c r="G58" s="21"/>
      <c r="H58" s="21"/>
      <c r="I58" s="26"/>
      <c r="J58" s="21"/>
      <c r="K58" s="21"/>
      <c r="L58" s="26"/>
      <c r="O58" s="17"/>
      <c r="Q58" s="32"/>
      <c r="R58" s="32"/>
    </row>
    <row r="59" spans="2:18" ht="15" customHeight="1">
      <c r="B59" s="52"/>
      <c r="C59" s="59" t="s">
        <v>174</v>
      </c>
      <c r="D59" s="40"/>
      <c r="E59" s="137">
        <v>10</v>
      </c>
      <c r="F59" s="137"/>
      <c r="G59" s="137"/>
      <c r="H59" s="137"/>
      <c r="I59" s="137"/>
      <c r="J59" s="137"/>
      <c r="K59" s="137"/>
      <c r="L59" s="138"/>
      <c r="N59" s="16"/>
      <c r="O59" s="17"/>
      <c r="Q59" s="32"/>
      <c r="R59" s="32"/>
    </row>
    <row r="60" spans="2:18" ht="15" customHeight="1">
      <c r="B60" s="52"/>
      <c r="C60" s="59"/>
      <c r="D60" s="21"/>
      <c r="E60" s="40"/>
      <c r="F60" s="62"/>
      <c r="G60" s="40"/>
      <c r="H60" s="40"/>
      <c r="I60" s="28"/>
      <c r="J60" s="40"/>
      <c r="K60" s="40"/>
      <c r="L60" s="28"/>
      <c r="N60" s="16"/>
      <c r="O60" s="17"/>
      <c r="Q60" s="32"/>
      <c r="R60" s="32"/>
    </row>
    <row r="61" spans="2:18" ht="15" customHeight="1">
      <c r="B61" s="52"/>
      <c r="C61" s="59" t="s">
        <v>175</v>
      </c>
      <c r="D61" s="40"/>
      <c r="E61" s="139">
        <v>0.0349</v>
      </c>
      <c r="F61" s="140"/>
      <c r="G61" s="141"/>
      <c r="H61" s="142">
        <v>0.0349</v>
      </c>
      <c r="I61" s="143"/>
      <c r="J61" s="144"/>
      <c r="K61" s="145">
        <v>0.12</v>
      </c>
      <c r="L61" s="138"/>
      <c r="N61" s="16"/>
      <c r="O61" s="17"/>
      <c r="Q61" s="141"/>
      <c r="R61" s="32"/>
    </row>
    <row r="62" spans="2:18" ht="15" customHeight="1">
      <c r="B62" s="52"/>
      <c r="C62" s="146"/>
      <c r="D62" s="46"/>
      <c r="E62" s="147"/>
      <c r="F62" s="38"/>
      <c r="G62" s="148"/>
      <c r="H62" s="21"/>
      <c r="I62" s="38"/>
      <c r="J62" s="148"/>
      <c r="K62" s="148"/>
      <c r="L62" s="38"/>
      <c r="N62" s="17"/>
      <c r="O62" s="17"/>
      <c r="Q62" s="149"/>
      <c r="R62" s="32"/>
    </row>
    <row r="63" spans="2:18" ht="15" customHeight="1">
      <c r="B63" s="52" t="s">
        <v>176</v>
      </c>
      <c r="C63" s="133"/>
      <c r="D63" s="24"/>
      <c r="E63" s="150"/>
      <c r="F63" s="62"/>
      <c r="G63" s="150"/>
      <c r="H63" s="150"/>
      <c r="I63" s="62"/>
      <c r="J63" s="150"/>
      <c r="K63" s="150"/>
      <c r="L63" s="62"/>
      <c r="N63" s="17"/>
      <c r="Q63" s="32"/>
      <c r="R63" s="32"/>
    </row>
    <row r="64" spans="2:18" ht="15" customHeight="1">
      <c r="B64" s="52"/>
      <c r="C64" s="59" t="s">
        <v>177</v>
      </c>
      <c r="D64" s="40"/>
      <c r="E64" s="43">
        <f>PMT(E61/12,E59*12,-LoanPrincipal)</f>
        <v>202.12581612637015</v>
      </c>
      <c r="F64" s="151"/>
      <c r="G64" s="152"/>
      <c r="H64" s="43">
        <f>PMT(H61/12,$E$59*12,-LoanPrincipal)</f>
        <v>202.12581612637015</v>
      </c>
      <c r="I64" s="151"/>
      <c r="J64" s="152"/>
      <c r="K64" s="43">
        <f>PMT(K61/12,E59*12,-LoanPrincipal)</f>
        <v>293.3980894832911</v>
      </c>
      <c r="L64" s="151"/>
      <c r="N64" s="17"/>
      <c r="O64" s="17"/>
      <c r="Q64" s="32"/>
      <c r="R64" s="32"/>
    </row>
    <row r="65" spans="2:18" ht="15" customHeight="1">
      <c r="B65" s="52"/>
      <c r="C65" s="59"/>
      <c r="D65" s="21"/>
      <c r="E65" s="40"/>
      <c r="F65" s="28"/>
      <c r="G65" s="40"/>
      <c r="H65" s="40"/>
      <c r="I65" s="28"/>
      <c r="J65" s="40"/>
      <c r="K65" s="40"/>
      <c r="L65" s="28"/>
      <c r="N65" s="18"/>
      <c r="O65" s="17"/>
      <c r="Q65" s="32"/>
      <c r="R65" s="32"/>
    </row>
    <row r="66" spans="2:18" ht="15" customHeight="1">
      <c r="B66" s="52"/>
      <c r="C66" s="59" t="s">
        <v>178</v>
      </c>
      <c r="D66" s="40"/>
      <c r="E66" s="153">
        <f>(E64*(E59*12))</f>
        <v>24255.09793516442</v>
      </c>
      <c r="F66" s="154"/>
      <c r="G66" s="43"/>
      <c r="H66" s="153">
        <f>($H$64*($E$59*12))</f>
        <v>24255.09793516442</v>
      </c>
      <c r="I66" s="154"/>
      <c r="J66" s="43"/>
      <c r="K66" s="153">
        <f>(K64*(E59*12))</f>
        <v>35207.77073799493</v>
      </c>
      <c r="L66" s="154"/>
      <c r="N66" s="18"/>
      <c r="Q66" s="32"/>
      <c r="R66" s="32"/>
    </row>
    <row r="67" spans="1:15" ht="15" customHeight="1">
      <c r="A67" s="26"/>
      <c r="B67" s="52"/>
      <c r="C67" s="59"/>
      <c r="D67" s="21"/>
      <c r="E67" s="40"/>
      <c r="F67" s="28"/>
      <c r="G67" s="40"/>
      <c r="H67" s="40"/>
      <c r="I67" s="28"/>
      <c r="J67" s="40"/>
      <c r="K67" s="40"/>
      <c r="L67" s="28"/>
      <c r="O67" s="18"/>
    </row>
    <row r="68" spans="1:15" ht="15" customHeight="1">
      <c r="A68" s="26"/>
      <c r="B68" s="52"/>
      <c r="C68" s="59" t="s">
        <v>179</v>
      </c>
      <c r="D68" s="40"/>
      <c r="E68" s="43">
        <f>E66-E57</f>
        <v>3805.09793516442</v>
      </c>
      <c r="F68" s="154"/>
      <c r="G68" s="43"/>
      <c r="H68" s="43">
        <f>H66-E57</f>
        <v>3805.09793516442</v>
      </c>
      <c r="I68" s="154"/>
      <c r="J68" s="43"/>
      <c r="K68" s="43">
        <f>K66-E57</f>
        <v>14757.770737994928</v>
      </c>
      <c r="L68" s="154"/>
      <c r="O68" s="18"/>
    </row>
    <row r="69" spans="1:15" ht="15" customHeight="1">
      <c r="A69" s="26"/>
      <c r="B69" s="52"/>
      <c r="C69" s="59"/>
      <c r="D69" s="21"/>
      <c r="E69" s="40"/>
      <c r="F69" s="28"/>
      <c r="G69" s="40"/>
      <c r="H69" s="40"/>
      <c r="I69" s="28"/>
      <c r="J69" s="40"/>
      <c r="K69" s="40"/>
      <c r="L69" s="28"/>
      <c r="O69" s="18"/>
    </row>
    <row r="70" spans="1:12" ht="15" customHeight="1">
      <c r="A70" s="26"/>
      <c r="B70" s="52" t="s">
        <v>180</v>
      </c>
      <c r="C70" s="133"/>
      <c r="D70" s="24"/>
      <c r="E70" s="150"/>
      <c r="F70" s="62"/>
      <c r="G70" s="150"/>
      <c r="H70" s="150"/>
      <c r="I70" s="62"/>
      <c r="J70" s="150"/>
      <c r="K70" s="150"/>
      <c r="L70" s="62"/>
    </row>
    <row r="71" spans="1:12" ht="15" customHeight="1">
      <c r="A71" s="26"/>
      <c r="B71" s="52"/>
      <c r="C71" s="155" t="s">
        <v>1</v>
      </c>
      <c r="D71" s="134"/>
      <c r="E71" s="21"/>
      <c r="F71" s="26"/>
      <c r="G71" s="21"/>
      <c r="H71" s="21"/>
      <c r="I71" s="26"/>
      <c r="J71" s="21"/>
      <c r="K71" s="21"/>
      <c r="L71" s="26"/>
    </row>
    <row r="72" spans="1:14" ht="15" customHeight="1">
      <c r="A72" s="26"/>
      <c r="B72" s="52"/>
      <c r="C72" s="59"/>
      <c r="D72" s="21"/>
      <c r="E72" s="40"/>
      <c r="F72" s="28"/>
      <c r="G72" s="40"/>
      <c r="H72" s="40"/>
      <c r="I72" s="28"/>
      <c r="J72" s="40"/>
      <c r="K72" s="40"/>
      <c r="L72" s="28"/>
      <c r="N72" s="21"/>
    </row>
    <row r="73" spans="1:20" ht="15" customHeight="1">
      <c r="A73" s="26"/>
      <c r="B73" s="52"/>
      <c r="C73" s="156" t="s">
        <v>181</v>
      </c>
      <c r="D73" s="21"/>
      <c r="E73" s="135">
        <f>IF(C71="Monthly",FV(0.008,E59,-SavingsAnnual)/(E59*12),IF(C71="Annual",FV(0.008,E59,-SavingsAnnual)/(E59),IF(C71="Loan Term",FV(0.008,E59,-SavingsAnnual),"Error")))</f>
        <v>120.56442120669037</v>
      </c>
      <c r="F73" s="135"/>
      <c r="G73" s="135"/>
      <c r="H73" s="135"/>
      <c r="I73" s="135"/>
      <c r="J73" s="135"/>
      <c r="K73" s="135"/>
      <c r="L73" s="157"/>
      <c r="T73" s="17"/>
    </row>
    <row r="74" spans="1:20" ht="15" customHeight="1">
      <c r="A74" s="26"/>
      <c r="B74" s="52"/>
      <c r="C74" s="158"/>
      <c r="D74" s="21"/>
      <c r="E74" s="40"/>
      <c r="F74" s="28"/>
      <c r="G74" s="40"/>
      <c r="H74" s="40"/>
      <c r="I74" s="28"/>
      <c r="J74" s="40"/>
      <c r="K74" s="40"/>
      <c r="L74" s="28"/>
      <c r="T74" s="17"/>
    </row>
    <row r="75" spans="1:12" ht="15" customHeight="1">
      <c r="A75" s="26"/>
      <c r="B75" s="52"/>
      <c r="C75" s="158" t="s">
        <v>182</v>
      </c>
      <c r="D75" s="40"/>
      <c r="E75" s="153">
        <f>IF($C$71="Monthly",E64,IF($C$71="Annual",E64*12,IF($C$71="Loan Term",E64*(E59*12),"Error")))</f>
        <v>202.12581612637015</v>
      </c>
      <c r="F75" s="151"/>
      <c r="G75" s="152"/>
      <c r="H75" s="153">
        <f>IF($C$71="Monthly",H64,IF($C$71="Annual",H64*12,IF($C$71="Loan Term",H64*(E59*12),"Error")))</f>
        <v>202.12581612637015</v>
      </c>
      <c r="I75" s="151"/>
      <c r="J75" s="152"/>
      <c r="K75" s="153">
        <f>IF(C71="Monthly",K64,IF(C71="Annual",K64*12,IF(C71="Loan Term",K64*(E59*12),"Error")))</f>
        <v>293.3980894832911</v>
      </c>
      <c r="L75" s="151"/>
    </row>
    <row r="76" spans="1:14" ht="15" customHeight="1">
      <c r="A76" s="26"/>
      <c r="B76" s="52"/>
      <c r="C76" s="158"/>
      <c r="D76" s="40"/>
      <c r="E76" s="40"/>
      <c r="F76" s="28"/>
      <c r="G76" s="40"/>
      <c r="H76" s="40"/>
      <c r="I76" s="28"/>
      <c r="J76" s="40"/>
      <c r="K76" s="40"/>
      <c r="L76" s="28"/>
      <c r="N76" s="21"/>
    </row>
    <row r="77" spans="1:14" ht="15" customHeight="1">
      <c r="A77" s="26"/>
      <c r="B77" s="52"/>
      <c r="C77" s="158" t="s">
        <v>183</v>
      </c>
      <c r="D77" s="40"/>
      <c r="E77" s="43">
        <f>$E$73-E75</f>
        <v>-81.56139491967978</v>
      </c>
      <c r="F77" s="154"/>
      <c r="G77" s="43"/>
      <c r="H77" s="43">
        <f>$E$73-H75</f>
        <v>-81.56139491967978</v>
      </c>
      <c r="I77" s="154"/>
      <c r="J77" s="43"/>
      <c r="K77" s="43">
        <f>$E$73-K75</f>
        <v>-172.8336682766007</v>
      </c>
      <c r="L77" s="154"/>
      <c r="M77" s="21"/>
      <c r="N77" s="17"/>
    </row>
    <row r="78" spans="1:12" ht="15" customHeight="1">
      <c r="A78" s="26"/>
      <c r="B78" s="52"/>
      <c r="C78" s="158"/>
      <c r="D78" s="40"/>
      <c r="E78" s="43"/>
      <c r="F78" s="154"/>
      <c r="G78" s="43"/>
      <c r="H78" s="43"/>
      <c r="I78" s="154"/>
      <c r="J78" s="43"/>
      <c r="K78" s="43"/>
      <c r="L78" s="154"/>
    </row>
    <row r="79" spans="1:19" ht="15" customHeight="1">
      <c r="A79" s="26"/>
      <c r="B79" s="52"/>
      <c r="C79" s="59" t="s">
        <v>184</v>
      </c>
      <c r="D79" s="21"/>
      <c r="E79" s="43">
        <f>FV(0.008,WeightedAvgMLife,-SavingsAnnual,,0)</f>
        <v>30135.44805935464</v>
      </c>
      <c r="F79" s="26"/>
      <c r="H79" s="43">
        <f>LC_PSavings</f>
        <v>30135.44805935464</v>
      </c>
      <c r="I79" s="26"/>
      <c r="J79" s="21"/>
      <c r="K79" s="43">
        <f>LC_PSavings</f>
        <v>30135.44805935464</v>
      </c>
      <c r="L79" s="26"/>
      <c r="S79" s="18"/>
    </row>
    <row r="80" spans="1:12" ht="15" customHeight="1">
      <c r="A80" s="21"/>
      <c r="B80" s="52"/>
      <c r="C80" s="158"/>
      <c r="D80" s="40"/>
      <c r="E80" s="43"/>
      <c r="F80" s="154"/>
      <c r="G80" s="43"/>
      <c r="H80" s="43"/>
      <c r="I80" s="154"/>
      <c r="J80" s="43"/>
      <c r="K80" s="43"/>
      <c r="L80" s="154"/>
    </row>
    <row r="81" spans="1:13" ht="15" customHeight="1">
      <c r="A81" s="21"/>
      <c r="B81" s="52"/>
      <c r="C81" s="159" t="s">
        <v>185</v>
      </c>
      <c r="D81" s="21"/>
      <c r="E81" s="160">
        <f>IF(OR(SavingsAnnual=0,PCost=0),"N/A",LoanPrincipal/SavingsAnnual)</f>
        <v>14.654770862445803</v>
      </c>
      <c r="F81" s="26"/>
      <c r="G81" s="21"/>
      <c r="H81" s="160">
        <f>IF(OR(SavingsAnnual=0,PCost=0),"N/A",LoanPrincipal/SavingsAnnual)</f>
        <v>14.654770862445803</v>
      </c>
      <c r="I81" s="26"/>
      <c r="J81" s="21"/>
      <c r="K81" s="160">
        <f>IF(OR(SavingsAnnual=0,PCost=0),"N/A",LoanPrincipal/SavingsAnnual)</f>
        <v>14.654770862445803</v>
      </c>
      <c r="L81" s="26"/>
      <c r="M81" s="21"/>
    </row>
    <row r="82" spans="1:13" ht="15" customHeight="1">
      <c r="A82" s="26"/>
      <c r="B82" s="52"/>
      <c r="C82" s="161"/>
      <c r="D82" s="46"/>
      <c r="E82" s="162"/>
      <c r="F82" s="47"/>
      <c r="G82" s="46"/>
      <c r="H82" s="162"/>
      <c r="I82" s="47"/>
      <c r="J82" s="46"/>
      <c r="K82" s="46"/>
      <c r="L82" s="47"/>
      <c r="M82" s="21"/>
    </row>
    <row r="83" spans="3:19" ht="15" customHeight="1">
      <c r="C83" s="129"/>
      <c r="D83" s="163"/>
      <c r="E83" s="163"/>
      <c r="F83" s="163"/>
      <c r="G83" s="21"/>
      <c r="H83" s="163"/>
      <c r="I83" s="163"/>
      <c r="J83" s="129"/>
      <c r="K83" s="129"/>
      <c r="L83" s="129"/>
      <c r="S83" s="18"/>
    </row>
    <row r="84" spans="3:19" ht="12.75">
      <c r="C84" s="19" t="s">
        <v>186</v>
      </c>
      <c r="D84" s="19"/>
      <c r="E84" s="19"/>
      <c r="F84" s="19"/>
      <c r="G84" s="19"/>
      <c r="H84" s="19"/>
      <c r="I84" s="19"/>
      <c r="J84" s="19"/>
      <c r="K84" s="19"/>
      <c r="L84" s="19"/>
      <c r="S84" s="18"/>
    </row>
    <row r="85" spans="3:19" ht="12.75">
      <c r="C85" s="164" t="s">
        <v>187</v>
      </c>
      <c r="D85" s="164"/>
      <c r="E85" s="164"/>
      <c r="F85" s="164"/>
      <c r="G85" s="165"/>
      <c r="H85" s="165"/>
      <c r="I85" s="165"/>
      <c r="J85" s="165"/>
      <c r="K85" s="165"/>
      <c r="L85" s="165"/>
      <c r="S85" s="18"/>
    </row>
    <row r="86" spans="3:19" ht="12.75">
      <c r="C86" s="166"/>
      <c r="D86" s="166"/>
      <c r="E86" s="166"/>
      <c r="F86" s="166"/>
      <c r="G86" s="166"/>
      <c r="H86" s="166"/>
      <c r="I86" s="166"/>
      <c r="J86" s="166"/>
      <c r="K86" s="166"/>
      <c r="L86" s="166"/>
      <c r="S86" s="18"/>
    </row>
    <row r="87" spans="3:19" ht="12.75">
      <c r="C87" s="166"/>
      <c r="D87" s="166"/>
      <c r="E87" s="166"/>
      <c r="F87" s="166"/>
      <c r="G87" s="166"/>
      <c r="H87" s="166"/>
      <c r="I87" s="166"/>
      <c r="J87" s="166"/>
      <c r="K87" s="166"/>
      <c r="L87" s="166"/>
      <c r="S87" s="18"/>
    </row>
    <row r="88" spans="3:19" ht="12.75">
      <c r="C88" s="166"/>
      <c r="D88" s="166"/>
      <c r="E88" s="166"/>
      <c r="F88" s="166"/>
      <c r="G88" s="166"/>
      <c r="H88" s="166"/>
      <c r="I88" s="166"/>
      <c r="J88" s="166"/>
      <c r="K88" s="166"/>
      <c r="L88" s="166"/>
      <c r="S88" s="18"/>
    </row>
    <row r="89" spans="3:19" ht="12.75">
      <c r="C89" s="166"/>
      <c r="D89" s="166"/>
      <c r="E89" s="166"/>
      <c r="F89" s="166"/>
      <c r="G89" s="166"/>
      <c r="H89" s="166"/>
      <c r="I89" s="166"/>
      <c r="J89" s="166"/>
      <c r="K89" s="166"/>
      <c r="L89" s="166"/>
      <c r="S89" s="18"/>
    </row>
    <row r="90" spans="3:19" ht="12.75">
      <c r="C90" s="166"/>
      <c r="D90" s="166"/>
      <c r="E90" s="166"/>
      <c r="F90" s="166"/>
      <c r="G90" s="166"/>
      <c r="H90" s="166"/>
      <c r="I90" s="166"/>
      <c r="J90" s="166"/>
      <c r="K90" s="166"/>
      <c r="L90" s="166"/>
      <c r="S90" s="18"/>
    </row>
    <row r="91" spans="3:19" ht="12.75">
      <c r="C91" s="167"/>
      <c r="D91" s="167"/>
      <c r="E91" s="167"/>
      <c r="F91" s="167"/>
      <c r="G91" s="167"/>
      <c r="H91" s="167"/>
      <c r="I91" s="167"/>
      <c r="J91" s="167"/>
      <c r="K91" s="167"/>
      <c r="L91" s="167"/>
      <c r="S91" s="18"/>
    </row>
    <row r="92" spans="3:12" ht="12.75">
      <c r="C92" s="167"/>
      <c r="D92" s="167"/>
      <c r="E92" s="167"/>
      <c r="F92" s="167"/>
      <c r="G92" s="167"/>
      <c r="H92" s="167"/>
      <c r="I92" s="167"/>
      <c r="J92" s="167"/>
      <c r="K92" s="167"/>
      <c r="L92" s="167"/>
    </row>
    <row r="93" spans="3:12" ht="15.75" customHeight="1">
      <c r="C93" s="21" t="s">
        <v>188</v>
      </c>
      <c r="E93" s="168" t="s">
        <v>189</v>
      </c>
      <c r="F93" s="168"/>
      <c r="G93" s="169"/>
      <c r="H93" s="169"/>
      <c r="I93" s="165"/>
      <c r="J93" s="164" t="s">
        <v>190</v>
      </c>
      <c r="K93" s="170"/>
      <c r="L93" s="170"/>
    </row>
    <row r="94" spans="3:12" ht="3.75" customHeight="1">
      <c r="C94" s="21"/>
      <c r="D94" s="164"/>
      <c r="E94" s="171"/>
      <c r="F94" s="171"/>
      <c r="G94" s="21"/>
      <c r="H94" s="165"/>
      <c r="I94" s="165"/>
      <c r="J94" s="165"/>
      <c r="K94" s="165"/>
      <c r="L94" s="165"/>
    </row>
    <row r="95" spans="3:12" ht="12.75">
      <c r="C95" s="166"/>
      <c r="D95" s="166"/>
      <c r="E95" s="166"/>
      <c r="F95" s="166"/>
      <c r="G95" s="166"/>
      <c r="H95" s="166"/>
      <c r="I95" s="166"/>
      <c r="J95" s="166"/>
      <c r="K95" s="166"/>
      <c r="L95" s="166"/>
    </row>
    <row r="96" spans="3:12" ht="12.75">
      <c r="C96" s="166"/>
      <c r="D96" s="166"/>
      <c r="E96" s="166"/>
      <c r="F96" s="166"/>
      <c r="G96" s="166"/>
      <c r="H96" s="166"/>
      <c r="I96" s="166"/>
      <c r="J96" s="166"/>
      <c r="K96" s="166"/>
      <c r="L96" s="166"/>
    </row>
    <row r="97" spans="3:12" ht="12.75">
      <c r="C97" s="166"/>
      <c r="D97" s="166"/>
      <c r="E97" s="166"/>
      <c r="F97" s="166"/>
      <c r="G97" s="166"/>
      <c r="H97" s="166"/>
      <c r="I97" s="166"/>
      <c r="J97" s="166"/>
      <c r="K97" s="166"/>
      <c r="L97" s="166"/>
    </row>
    <row r="98" spans="3:12" ht="12.75">
      <c r="C98" s="166"/>
      <c r="D98" s="166"/>
      <c r="E98" s="166"/>
      <c r="F98" s="166"/>
      <c r="G98" s="166"/>
      <c r="H98" s="166"/>
      <c r="I98" s="166"/>
      <c r="J98" s="166"/>
      <c r="K98" s="166"/>
      <c r="L98" s="166"/>
    </row>
    <row r="99" spans="3:12" ht="12.75">
      <c r="C99" s="166"/>
      <c r="D99" s="166"/>
      <c r="E99" s="166"/>
      <c r="F99" s="166"/>
      <c r="G99" s="166"/>
      <c r="H99" s="166"/>
      <c r="I99" s="166"/>
      <c r="J99" s="166"/>
      <c r="K99" s="166"/>
      <c r="L99" s="166"/>
    </row>
    <row r="102" spans="3:4" ht="12.75" hidden="1">
      <c r="C102" s="172" t="s">
        <v>191</v>
      </c>
      <c r="D102" s="173">
        <v>0.12584</v>
      </c>
    </row>
    <row r="103" spans="3:4" ht="12.75" hidden="1">
      <c r="C103" s="172" t="s">
        <v>192</v>
      </c>
      <c r="D103" s="173">
        <v>0.21515</v>
      </c>
    </row>
    <row r="104" spans="3:4" ht="12.75" hidden="1">
      <c r="C104" s="172" t="s">
        <v>140</v>
      </c>
      <c r="D104" s="173">
        <v>0.13290000000000002</v>
      </c>
    </row>
    <row r="105" spans="3:4" ht="12.75" hidden="1">
      <c r="C105" s="172" t="s">
        <v>193</v>
      </c>
      <c r="D105" s="173">
        <v>0.10891</v>
      </c>
    </row>
    <row r="106" spans="3:4" ht="12.75" hidden="1">
      <c r="C106" s="172" t="s">
        <v>194</v>
      </c>
      <c r="D106" s="173">
        <v>0.17315000000000003</v>
      </c>
    </row>
    <row r="107" spans="3:4" ht="12.75" hidden="1">
      <c r="C107" s="172" t="s">
        <v>195</v>
      </c>
      <c r="D107" s="173">
        <v>0.09638999999999999</v>
      </c>
    </row>
  </sheetData>
  <sheetProtection sheet="1"/>
  <mergeCells count="29">
    <mergeCell ref="C7:F7"/>
    <mergeCell ref="H7:L7"/>
    <mergeCell ref="I9:K9"/>
    <mergeCell ref="I11:K11"/>
    <mergeCell ref="C12:F12"/>
    <mergeCell ref="I13:K13"/>
    <mergeCell ref="H17:L17"/>
    <mergeCell ref="I19:K19"/>
    <mergeCell ref="I21:K21"/>
    <mergeCell ref="B26:B42"/>
    <mergeCell ref="D26:F26"/>
    <mergeCell ref="G26:I26"/>
    <mergeCell ref="J26:L26"/>
    <mergeCell ref="B54:L54"/>
    <mergeCell ref="D55:F55"/>
    <mergeCell ref="G55:I55"/>
    <mergeCell ref="J55:L55"/>
    <mergeCell ref="B56:B62"/>
    <mergeCell ref="E57:K57"/>
    <mergeCell ref="E59:K59"/>
    <mergeCell ref="B63:B69"/>
    <mergeCell ref="B70:B82"/>
    <mergeCell ref="E73:K73"/>
    <mergeCell ref="C84:L84"/>
    <mergeCell ref="C86:L90"/>
    <mergeCell ref="E93:F93"/>
    <mergeCell ref="G93:H93"/>
    <mergeCell ref="K93:L93"/>
    <mergeCell ref="C95:L99"/>
  </mergeCells>
  <dataValidations count="8">
    <dataValidation type="list" allowBlank="1" showInputMessage="1" showErrorMessage="1" sqref="Q61">
      <formula1>Interest</formula1>
      <formula2>0</formula2>
    </dataValidation>
    <dataValidation type="decimal" operator="greaterThan" allowBlank="1" showInputMessage="1" showErrorMessage="1" sqref="K61">
      <formula1>0</formula1>
    </dataValidation>
    <dataValidation type="list" allowBlank="1" showInputMessage="1" showErrorMessage="1" sqref="C71">
      <formula1>ValidPeriod</formula1>
      <formula2>0</formula2>
    </dataValidation>
    <dataValidation type="list" allowBlank="1" showInputMessage="1" showErrorMessage="1" sqref="E59">
      <formula1>Years</formula1>
      <formula2>0</formula2>
    </dataValidation>
    <dataValidation type="list" allowBlank="1" showInputMessage="1" showErrorMessage="1" sqref="H61">
      <formula1>Unsecured</formula1>
      <formula2>0</formula2>
    </dataValidation>
    <dataValidation type="decimal" operator="greaterThanOrEqual" allowBlank="1" showInputMessage="1" showErrorMessage="1" sqref="E11:F11 E13:E16 E19 E21:E23 H79 K79">
      <formula1>0</formula1>
    </dataValidation>
    <dataValidation type="list" allowBlank="1" showInputMessage="1" showErrorMessage="1" sqref="E9">
      <formula1>YESNO</formula1>
      <formula2>0</formula2>
    </dataValidation>
    <dataValidation type="list" operator="greaterThanOrEqual" allowBlank="1" showInputMessage="1" showErrorMessage="1" sqref="E17">
      <formula1>$C$102:$C$107</formula1>
    </dataValidation>
  </dataValidations>
  <printOptions horizontalCentered="1"/>
  <pageMargins left="0.5" right="0.5" top="0" bottom="0" header="0.5118055555555555" footer="0.5118055555555555"/>
  <pageSetup fitToHeight="1" fitToWidth="1"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Mary Jo Cronin</cp:lastModifiedBy>
  <dcterms:modified xsi:type="dcterms:W3CDTF">2014-02-21T21:58:03Z</dcterms:modified>
  <cp:category/>
  <cp:version/>
  <cp:contentType/>
  <cp:contentStatus/>
</cp:coreProperties>
</file>