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ugliese\ownCloud\Bureau\Statistiques\"/>
    </mc:Choice>
  </mc:AlternateContent>
  <bookViews>
    <workbookView xWindow="0" yWindow="36000" windowWidth="20640" windowHeight="12510"/>
  </bookViews>
  <sheets>
    <sheet name="S2017" sheetId="10" r:id="rId1"/>
    <sheet name="S2016" sheetId="9" r:id="rId2"/>
    <sheet name="S2015" sheetId="8" r:id="rId3"/>
    <sheet name="S2014" sheetId="6" r:id="rId4"/>
    <sheet name="S2013-2014" sheetId="1" r:id="rId5"/>
  </sheets>
  <calcPr calcId="162913"/>
</workbook>
</file>

<file path=xl/calcChain.xml><?xml version="1.0" encoding="utf-8"?>
<calcChain xmlns="http://schemas.openxmlformats.org/spreadsheetml/2006/main">
  <c r="F19" i="10" l="1"/>
  <c r="F18" i="10"/>
  <c r="F17" i="10"/>
  <c r="F8" i="10"/>
  <c r="F6" i="10"/>
  <c r="B6" i="10"/>
  <c r="F11" i="10" l="1"/>
  <c r="L26" i="10"/>
  <c r="G26" i="10"/>
  <c r="C26" i="10"/>
  <c r="B19" i="10" l="1"/>
  <c r="O19" i="10" s="1"/>
  <c r="B18" i="10"/>
  <c r="O18" i="10" s="1"/>
  <c r="B17" i="10"/>
  <c r="B15" i="10"/>
  <c r="O15" i="10" s="1"/>
  <c r="B14" i="10"/>
  <c r="O14" i="10"/>
  <c r="B13" i="10"/>
  <c r="O44" i="10"/>
  <c r="O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O40" i="10" s="1"/>
  <c r="O39" i="10"/>
  <c r="O38" i="10"/>
  <c r="O37" i="10"/>
  <c r="O36" i="10"/>
  <c r="O35" i="10"/>
  <c r="O34" i="10"/>
  <c r="O33" i="10"/>
  <c r="O32" i="10"/>
  <c r="O31" i="10"/>
  <c r="O29" i="10"/>
  <c r="O28" i="10"/>
  <c r="O27" i="10"/>
  <c r="O26" i="10"/>
  <c r="O25" i="10"/>
  <c r="O24" i="10"/>
  <c r="O21" i="10"/>
  <c r="O20" i="10"/>
  <c r="O17" i="10"/>
  <c r="O16" i="10"/>
  <c r="O9" i="10"/>
  <c r="B11" i="10"/>
  <c r="M18" i="9"/>
  <c r="M17" i="9"/>
  <c r="M6" i="9"/>
  <c r="B8" i="10" l="1"/>
  <c r="O8" i="10" s="1"/>
  <c r="O11" i="10"/>
  <c r="O6" i="10"/>
  <c r="P16" i="10" s="1"/>
  <c r="M9" i="9"/>
  <c r="P17" i="10" l="1"/>
  <c r="P14" i="10"/>
  <c r="M8" i="9"/>
  <c r="M19" i="9"/>
  <c r="L6" i="9"/>
  <c r="L15" i="9"/>
  <c r="L14" i="9"/>
  <c r="L19" i="9"/>
  <c r="L18" i="9"/>
  <c r="L17" i="9"/>
  <c r="L8" i="9"/>
  <c r="H6" i="9"/>
  <c r="I6" i="9"/>
  <c r="K19" i="9"/>
  <c r="K18" i="9"/>
  <c r="K17" i="9"/>
  <c r="K14" i="9"/>
  <c r="K6" i="9"/>
  <c r="K11" i="9"/>
  <c r="K15" i="9"/>
  <c r="K8" i="9"/>
  <c r="L6" i="8"/>
  <c r="M6" i="8"/>
  <c r="J15" i="9"/>
  <c r="J14" i="9"/>
  <c r="J19" i="9"/>
  <c r="J8" i="9"/>
  <c r="J18" i="9"/>
  <c r="J17" i="9"/>
  <c r="J6" i="9"/>
  <c r="J9" i="9"/>
  <c r="I19" i="9"/>
  <c r="I18" i="9"/>
  <c r="I17" i="9"/>
  <c r="H18" i="9"/>
  <c r="H17" i="9"/>
  <c r="H19" i="9"/>
  <c r="H11" i="9"/>
  <c r="G26" i="9"/>
  <c r="G19" i="9"/>
  <c r="G18" i="9"/>
  <c r="G6" i="9"/>
  <c r="G17" i="9"/>
  <c r="G11" i="9"/>
  <c r="G14" i="9"/>
  <c r="G15" i="9"/>
  <c r="G13" i="9"/>
  <c r="G8" i="9"/>
  <c r="F19" i="9"/>
  <c r="F18" i="9"/>
  <c r="F17" i="9"/>
  <c r="F6" i="9"/>
  <c r="F15" i="9"/>
  <c r="F14" i="9"/>
  <c r="E6" i="9"/>
  <c r="F8" i="9"/>
  <c r="E19" i="9"/>
  <c r="E18" i="9"/>
  <c r="E17" i="9"/>
  <c r="E15" i="9"/>
  <c r="E14" i="9"/>
  <c r="C26" i="9"/>
  <c r="E13" i="9"/>
  <c r="B13" i="9"/>
  <c r="E8" i="9"/>
  <c r="B14" i="9"/>
  <c r="D17" i="9"/>
  <c r="D6" i="9"/>
  <c r="D14" i="9"/>
  <c r="D15" i="9"/>
  <c r="D19" i="9"/>
  <c r="D18" i="9"/>
  <c r="H6" i="8"/>
  <c r="I6" i="8"/>
  <c r="M40" i="9"/>
  <c r="L40" i="9"/>
  <c r="K40" i="9"/>
  <c r="J40" i="9"/>
  <c r="I40" i="9"/>
  <c r="H40" i="9"/>
  <c r="G40" i="9"/>
  <c r="F40" i="9"/>
  <c r="E40" i="9"/>
  <c r="D40" i="9"/>
  <c r="C40" i="9"/>
  <c r="B40" i="9"/>
  <c r="C19" i="9"/>
  <c r="C18" i="9"/>
  <c r="C17" i="9"/>
  <c r="C9" i="9"/>
  <c r="C6" i="9"/>
  <c r="C14" i="9"/>
  <c r="C15" i="9"/>
  <c r="B41" i="9"/>
  <c r="O27" i="9"/>
  <c r="O28" i="9"/>
  <c r="O29" i="9"/>
  <c r="O26" i="9"/>
  <c r="E40" i="8"/>
  <c r="B40" i="8"/>
  <c r="C40" i="8"/>
  <c r="D40" i="8"/>
  <c r="F40" i="8"/>
  <c r="G40" i="8"/>
  <c r="H40" i="8"/>
  <c r="I40" i="8"/>
  <c r="J40" i="8"/>
  <c r="M40" i="8"/>
  <c r="L40" i="8"/>
  <c r="K40" i="8"/>
  <c r="D11" i="9"/>
  <c r="E11" i="9"/>
  <c r="F11" i="9"/>
  <c r="I11" i="9"/>
  <c r="J11" i="9"/>
  <c r="L11" i="9"/>
  <c r="M11" i="9"/>
  <c r="O11" i="9" s="1"/>
  <c r="C11" i="9"/>
  <c r="B15" i="9"/>
  <c r="B8" i="9"/>
  <c r="B19" i="9"/>
  <c r="B18" i="9"/>
  <c r="B17" i="9"/>
  <c r="O17" i="9"/>
  <c r="B6" i="9"/>
  <c r="B11" i="9"/>
  <c r="M38" i="8"/>
  <c r="L38" i="8"/>
  <c r="D8" i="9"/>
  <c r="C8" i="9"/>
  <c r="O44" i="9"/>
  <c r="O41" i="9"/>
  <c r="O40" i="9"/>
  <c r="O39" i="9"/>
  <c r="O38" i="9"/>
  <c r="O37" i="9"/>
  <c r="O36" i="9"/>
  <c r="O35" i="9"/>
  <c r="O34" i="9"/>
  <c r="O33" i="9"/>
  <c r="O32" i="9"/>
  <c r="O31" i="9"/>
  <c r="O25" i="9"/>
  <c r="O24" i="9"/>
  <c r="O21" i="9"/>
  <c r="O20" i="9"/>
  <c r="O19" i="9"/>
  <c r="O18" i="9"/>
  <c r="O16" i="9"/>
  <c r="O15" i="9"/>
  <c r="O14" i="9"/>
  <c r="O9" i="9"/>
  <c r="M17" i="8"/>
  <c r="M16" i="8"/>
  <c r="M15" i="8"/>
  <c r="O24" i="8"/>
  <c r="M22" i="8"/>
  <c r="M18" i="8"/>
  <c r="M28" i="8"/>
  <c r="M23" i="8"/>
  <c r="M13" i="8"/>
  <c r="M12" i="8"/>
  <c r="C23" i="8"/>
  <c r="B23" i="8"/>
  <c r="L23" i="8"/>
  <c r="O23" i="8"/>
  <c r="M10" i="8"/>
  <c r="L15" i="8"/>
  <c r="L16" i="8"/>
  <c r="L10" i="8"/>
  <c r="L12" i="8"/>
  <c r="J22" i="8"/>
  <c r="G22" i="8"/>
  <c r="L22" i="8"/>
  <c r="K22" i="8"/>
  <c r="I22" i="8"/>
  <c r="H22" i="8"/>
  <c r="F22" i="8"/>
  <c r="E22" i="8"/>
  <c r="D22" i="8"/>
  <c r="C22" i="8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O8" i="1"/>
  <c r="O7" i="1"/>
  <c r="O25" i="6"/>
  <c r="O22" i="6"/>
  <c r="O21" i="6"/>
  <c r="O20" i="6"/>
  <c r="O19" i="6"/>
  <c r="O18" i="6"/>
  <c r="O17" i="6"/>
  <c r="O16" i="6"/>
  <c r="O40" i="8"/>
  <c r="B38" i="8"/>
  <c r="C38" i="8"/>
  <c r="D38" i="8"/>
  <c r="E38" i="8"/>
  <c r="F38" i="8"/>
  <c r="G38" i="8"/>
  <c r="H38" i="8"/>
  <c r="I38" i="8"/>
  <c r="J38" i="8"/>
  <c r="K38" i="8"/>
  <c r="O38" i="8"/>
  <c r="B37" i="8"/>
  <c r="C37" i="8"/>
  <c r="D37" i="8"/>
  <c r="E37" i="8"/>
  <c r="F37" i="8"/>
  <c r="G37" i="8"/>
  <c r="H37" i="8"/>
  <c r="I37" i="8"/>
  <c r="J37" i="8"/>
  <c r="K37" i="8"/>
  <c r="L37" i="8"/>
  <c r="M37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G24" i="8"/>
  <c r="B22" i="8"/>
  <c r="O22" i="8"/>
  <c r="O19" i="8"/>
  <c r="O18" i="8"/>
  <c r="F17" i="8"/>
  <c r="G17" i="8"/>
  <c r="H17" i="8"/>
  <c r="I17" i="8"/>
  <c r="J17" i="8"/>
  <c r="K17" i="8"/>
  <c r="L17" i="8"/>
  <c r="O17" i="8"/>
  <c r="F16" i="8"/>
  <c r="G16" i="8"/>
  <c r="H16" i="8"/>
  <c r="I16" i="8"/>
  <c r="J16" i="8"/>
  <c r="K16" i="8"/>
  <c r="O16" i="8"/>
  <c r="F15" i="8"/>
  <c r="G15" i="8"/>
  <c r="H15" i="8"/>
  <c r="I15" i="8"/>
  <c r="J15" i="8"/>
  <c r="K15" i="8"/>
  <c r="O15" i="8"/>
  <c r="O14" i="8"/>
  <c r="J13" i="8"/>
  <c r="K13" i="8"/>
  <c r="L13" i="8"/>
  <c r="O13" i="8"/>
  <c r="G12" i="8"/>
  <c r="J12" i="8"/>
  <c r="K12" i="8"/>
  <c r="O12" i="8"/>
  <c r="K6" i="8"/>
  <c r="K10" i="8"/>
  <c r="J6" i="8"/>
  <c r="J10" i="8"/>
  <c r="I10" i="8"/>
  <c r="F6" i="8"/>
  <c r="F10" i="8"/>
  <c r="G6" i="8"/>
  <c r="G10" i="8"/>
  <c r="H10" i="8"/>
  <c r="O10" i="8"/>
  <c r="J9" i="8"/>
  <c r="L9" i="8"/>
  <c r="O9" i="8"/>
  <c r="M8" i="8"/>
  <c r="J8" i="8"/>
  <c r="K8" i="8"/>
  <c r="L8" i="8"/>
  <c r="O8" i="8"/>
  <c r="B6" i="8"/>
  <c r="C6" i="8"/>
  <c r="D6" i="8"/>
  <c r="E6" i="8"/>
  <c r="O6" i="8"/>
  <c r="P14" i="8"/>
  <c r="P15" i="8"/>
  <c r="O6" i="9"/>
  <c r="P16" i="9" s="1"/>
  <c r="O8" i="9"/>
  <c r="P12" i="8"/>
  <c r="P14" i="9" l="1"/>
  <c r="P17" i="9"/>
</calcChain>
</file>

<file path=xl/comments1.xml><?xml version="1.0" encoding="utf-8"?>
<comments xmlns="http://schemas.openxmlformats.org/spreadsheetml/2006/main">
  <authors>
    <author>Luigi Pugliese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Réunion annuelle des membres
+
Funérailles de Jean-Claude Cabana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Pâques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Lancement repas : 230
Foire aux ministères : 150</t>
        </r>
      </text>
    </comment>
  </commentList>
</comments>
</file>

<file path=xl/comments2.xml><?xml version="1.0" encoding="utf-8"?>
<comments xmlns="http://schemas.openxmlformats.org/spreadsheetml/2006/main">
  <authors>
    <author>Luigi Pugliese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Réunion annuelle des membres
+
Funérailles de Jean-Claude Cabana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Pâques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Lancement repas : 230
Foire aux ministères : 150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Moniqua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Joel Jobin et Irène Alexander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Joel Lacasse et Émilie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Bébé Joshua - Chritel Garland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Esther E. à l'info - qui doit avoir été transféré à Tania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Agnès et Fidèle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Mélodie et Matthieu Gouin
Madeleine et Michel Borges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Membre inactif :
Fetherston, Arlene</t>
        </r>
      </text>
    </comment>
  </commentList>
</comments>
</file>

<file path=xl/comments3.xml><?xml version="1.0" encoding="utf-8"?>
<comments xmlns="http://schemas.openxmlformats.org/spreadsheetml/2006/main">
  <authors>
    <author>Luigi Pugliese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Lancement (repas)
SOLA (vend am, pm, sam)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Powlison (vend pm, sam)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Noël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199+40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Christian et Rachel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Louis-Philippe et Évelyne
Laura Tousignant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Dominic et Julie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David et Miriam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Jérémie Lacasse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bébé bourque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bébé després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bébé gravel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Famille Kabiwa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Famille de JP et Léa Gouin Hamel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Bébé à Rachel Bilodeau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Bébé à Simon et Priscilla Guy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Fille de Bermude Charles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André Dubreuil et Marie</t>
        </r>
      </text>
    </comment>
  </commentList>
</comments>
</file>

<file path=xl/sharedStrings.xml><?xml version="1.0" encoding="utf-8"?>
<sst xmlns="http://schemas.openxmlformats.org/spreadsheetml/2006/main" count="293" uniqueCount="78">
  <si>
    <t>Informations pour statistiques de l'Association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</si>
  <si>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</si>
  <si>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</si>
  <si>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</si>
  <si>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</si>
  <si>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</si>
  <si>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</si>
  <si>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</si>
  <si>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</si>
  <si>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</si>
  <si>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</si>
  <si>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</si>
  <si>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</si>
  <si>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Nombre de membres</t>
  </si>
  <si>
    <t>Nombre de décès</t>
  </si>
  <si>
    <t>Total</t>
  </si>
  <si>
    <t>Fournier/Cabana</t>
  </si>
  <si>
    <t>Opota</t>
  </si>
  <si>
    <t>Mbeudom</t>
  </si>
  <si>
    <t>Ferland- Butin</t>
  </si>
  <si>
    <t>Leduc</t>
  </si>
  <si>
    <t>Vincent ?</t>
  </si>
  <si>
    <t>Église de l'Espoir</t>
  </si>
  <si>
    <t>Assistance adultes moyen (Dimanche AM)</t>
  </si>
  <si>
    <t>Assistance petits groupes (Réunions de prières)</t>
  </si>
  <si>
    <t>Assistance EDD (École du dimanche - enfants seul?)</t>
  </si>
  <si>
    <t>Assistance pouponnière (Garderie)</t>
  </si>
  <si>
    <t>Assistance Dimanche PM</t>
  </si>
  <si>
    <t>Assistance Jeunesse (12 ans +)</t>
  </si>
  <si>
    <t>Assistance Jeunes Adultes (Collège et carrière)</t>
  </si>
  <si>
    <t>Assistance Femmes</t>
  </si>
  <si>
    <t>Assistance Hommes</t>
  </si>
  <si>
    <t>Ajouts de membres (nouveaux vs par transferts?)</t>
  </si>
  <si>
    <t>Retrait de membres (Départs)</t>
  </si>
  <si>
    <t>Nombre de conversions</t>
  </si>
  <si>
    <t>Nombre de baptêmes (issues de familles chrétiennes)</t>
  </si>
  <si>
    <t>Nombre de baptêmes (autres)</t>
  </si>
  <si>
    <t>Nombre de célibataires</t>
  </si>
  <si>
    <t>Nombre de mariage célébrés</t>
  </si>
  <si>
    <t>Nombre de nouveaux-nés</t>
  </si>
  <si>
    <t>Nombre de divorces/séparations</t>
  </si>
  <si>
    <t>NA</t>
  </si>
  <si>
    <t>Manon</t>
  </si>
  <si>
    <t>Assistance (Dimanche AM)</t>
  </si>
  <si>
    <t>Budgété ($)</t>
  </si>
  <si>
    <t>Revenu d'offrande ($)</t>
  </si>
  <si>
    <t>Autres revenus ($)</t>
  </si>
  <si>
    <t>Karine</t>
  </si>
  <si>
    <t>Miguel</t>
  </si>
  <si>
    <t>Nombre de membres (actifs et inactifs)</t>
  </si>
  <si>
    <t>Assistance pouponnière (Garderie 0-24 mois)</t>
  </si>
  <si>
    <t>Visiteurs pour la première fois</t>
  </si>
  <si>
    <t>Assistance EDD enfants</t>
  </si>
  <si>
    <t>Assistance (événements)</t>
  </si>
  <si>
    <t>Nombre de téléchargement d'exposés bibliques</t>
  </si>
  <si>
    <t>Assistance adultes (Dimanche AM)</t>
  </si>
  <si>
    <t>Assistance EDD &amp; Prières adultes</t>
  </si>
  <si>
    <t>Assistance 16-25 ans</t>
  </si>
  <si>
    <t>16-25</t>
  </si>
  <si>
    <t>Assistance enfants (Garderie - 2-12 ans)</t>
  </si>
  <si>
    <t>Nombre de mariages célébrés</t>
  </si>
  <si>
    <t>Mission - Comptoir alimentaire (bouffe pour tous)</t>
  </si>
  <si>
    <t>Mission - Animations enfants (jamais tout seul)</t>
  </si>
  <si>
    <t>Assistance globale célébrations (Dimanche AM)</t>
  </si>
  <si>
    <t>Assistance globale cours bibliques et école du dimanche</t>
  </si>
  <si>
    <t>Nombre d'utilisateurs du site Internet</t>
  </si>
  <si>
    <t>Personnes engagés dans la formation</t>
  </si>
  <si>
    <t>Assistance EDD adultes</t>
  </si>
  <si>
    <t>ASSISTANCE PRIÈRES ADULTES</t>
  </si>
  <si>
    <t>Assistance lancements de séries</t>
  </si>
  <si>
    <t>PROJET D'ACTION DE GRÂCE</t>
  </si>
  <si>
    <t>Assistance EDD adultes (9h30)</t>
  </si>
  <si>
    <t>Assistance EDD enfants (9h30)</t>
  </si>
  <si>
    <t>Assistance adultes rassemblements 10h45 (Dimanche AM)</t>
  </si>
  <si>
    <t>Assistance globale rassemblements 10h45 (Dimanche AM)</t>
  </si>
  <si>
    <t>Assistance globale cours bibliques et école du dimanche 9h30</t>
  </si>
  <si>
    <t>Assistance pouponnière 10h45 (Garderie 0-24 mois)</t>
  </si>
  <si>
    <t>Assistance enfants explo + garderie 10h45 (Garderie - 2-12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</si>
</sst>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lightUp">
        <bgColor theme="7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3" borderId="2" xfId="0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5" borderId="5" xfId="0" applyFill="1" applyBorder="1" applyAlignment="1">
      <alignment vertical="center"/>
    </xf>
    <xf numFmtId="0" fontId="0" fillId="5" borderId="1" xfId="0" applyFill="1" applyBorder="1"/>
    <xf numFmtId="0" fontId="0" fillId="5" borderId="6" xfId="0" applyFill="1" applyBorder="1"/>
    <xf numFmtId="0" fontId="0" fillId="5" borderId="0" xfId="0" applyFill="1"/>
    <xf numFmtId="0" fontId="0" fillId="5" borderId="11" xfId="0" applyFill="1" applyBorder="1"/>
    <xf numFmtId="0" fontId="0" fillId="0" borderId="7" xfId="0" applyFill="1" applyBorder="1" applyAlignment="1">
      <alignment vertical="center"/>
    </xf>
    <xf numFmtId="0" fontId="0" fillId="6" borderId="1" xfId="0" applyFill="1" applyBorder="1"/>
    <xf numFmtId="164" fontId="0" fillId="5" borderId="11" xfId="1" applyNumberFormat="1" applyFont="1" applyFill="1" applyBorder="1"/>
    <xf numFmtId="164" fontId="0" fillId="0" borderId="12" xfId="1" applyNumberFormat="1" applyFont="1" applyBorder="1"/>
    <xf numFmtId="1" fontId="0" fillId="5" borderId="1" xfId="0" applyNumberFormat="1" applyFill="1" applyBorder="1"/>
    <xf numFmtId="1" fontId="0" fillId="5" borderId="11" xfId="0" applyNumberFormat="1" applyFill="1" applyBorder="1"/>
    <xf numFmtId="1" fontId="0" fillId="5" borderId="6" xfId="0" applyNumberFormat="1" applyFill="1" applyBorder="1"/>
    <xf numFmtId="0" fontId="0" fillId="5" borderId="12" xfId="0" applyFill="1" applyBorder="1"/>
    <xf numFmtId="0" fontId="0" fillId="7" borderId="5" xfId="0" applyFill="1" applyBorder="1" applyAlignment="1">
      <alignment vertical="center"/>
    </xf>
    <xf numFmtId="0" fontId="0" fillId="7" borderId="1" xfId="0" applyFill="1" applyBorder="1"/>
    <xf numFmtId="1" fontId="0" fillId="7" borderId="1" xfId="0" applyNumberFormat="1" applyFill="1" applyBorder="1"/>
    <xf numFmtId="0" fontId="0" fillId="7" borderId="6" xfId="0" applyFill="1" applyBorder="1"/>
    <xf numFmtId="1" fontId="0" fillId="7" borderId="11" xfId="0" applyNumberFormat="1" applyFill="1" applyBorder="1"/>
    <xf numFmtId="0" fontId="0" fillId="7" borderId="13" xfId="0" applyFill="1" applyBorder="1" applyAlignment="1">
      <alignment vertical="center"/>
    </xf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0" borderId="0" xfId="0" applyFill="1"/>
    <xf numFmtId="1" fontId="0" fillId="5" borderId="8" xfId="0" applyNumberFormat="1" applyFill="1" applyBorder="1"/>
    <xf numFmtId="9" fontId="0" fillId="0" borderId="0" xfId="2" applyFont="1"/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" fontId="0" fillId="4" borderId="1" xfId="0" applyNumberFormat="1" applyFill="1" applyBorder="1"/>
    <xf numFmtId="1" fontId="0" fillId="4" borderId="6" xfId="0" applyNumberFormat="1" applyFill="1" applyBorder="1"/>
    <xf numFmtId="1" fontId="0" fillId="4" borderId="8" xfId="0" applyNumberFormat="1" applyFill="1" applyBorder="1"/>
    <xf numFmtId="0" fontId="0" fillId="5" borderId="5" xfId="0" applyFill="1" applyBorder="1" applyAlignment="1">
      <alignment vertical="center" wrapText="1"/>
    </xf>
    <xf numFmtId="1" fontId="0" fillId="5" borderId="9" xfId="0" applyNumberFormat="1" applyFill="1" applyBorder="1"/>
    <xf numFmtId="1" fontId="0" fillId="6" borderId="1" xfId="0" applyNumberFormat="1" applyFill="1" applyBorder="1"/>
    <xf numFmtId="0" fontId="0" fillId="5" borderId="13" xfId="0" applyFill="1" applyBorder="1" applyAlignment="1">
      <alignment vertical="center"/>
    </xf>
    <xf numFmtId="0" fontId="0" fillId="5" borderId="16" xfId="0" applyFill="1" applyBorder="1"/>
    <xf numFmtId="1" fontId="0" fillId="0" borderId="1" xfId="0" applyNumberFormat="1" applyFill="1" applyBorder="1"/>
    <xf numFmtId="1" fontId="0" fillId="0" borderId="1" xfId="0" applyNumberFormat="1" applyBorder="1"/>
    <xf numFmtId="1" fontId="0" fillId="7" borderId="6" xfId="0" applyNumberFormat="1" applyFill="1" applyBorder="1"/>
    <xf numFmtId="1" fontId="0" fillId="0" borderId="6" xfId="0" applyNumberFormat="1" applyBorder="1"/>
    <xf numFmtId="1" fontId="0" fillId="4" borderId="14" xfId="0" applyNumberFormat="1" applyFill="1" applyBorder="1"/>
    <xf numFmtId="1" fontId="0" fillId="4" borderId="15" xfId="0" applyNumberFormat="1" applyFill="1" applyBorder="1"/>
    <xf numFmtId="1" fontId="0" fillId="7" borderId="14" xfId="0" applyNumberFormat="1" applyFill="1" applyBorder="1"/>
    <xf numFmtId="1" fontId="0" fillId="7" borderId="15" xfId="0" applyNumberFormat="1" applyFill="1" applyBorder="1"/>
    <xf numFmtId="1" fontId="0" fillId="4" borderId="9" xfId="0" applyNumberFormat="1" applyFill="1" applyBorder="1"/>
    <xf numFmtId="1" fontId="0" fillId="5" borderId="0" xfId="0" applyNumberFormat="1" applyFill="1" applyBorder="1"/>
    <xf numFmtId="9" fontId="0" fillId="0" borderId="17" xfId="2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2" zoomScale="180" zoomScaleNormal="180" workbookViewId="0">
      <pane xSplit="1" ySplit="4" topLeftCell="D6" activePane="bottomRight" state="frozen"/>
      <selection activeCell="A2" sqref="A2"/>
      <selection pane="topRight" activeCell="B2" sqref="B2"/>
      <selection pane="bottomLeft" activeCell="A6" sqref="A6"/>
      <selection pane="bottomRight" activeCell="F20" sqref="F20"/>
    </sheetView>
  </sheetViews>
  <sheetFormatPr baseColWidth="10" defaultRowHeight="15" x14ac:dyDescent="0.25"/>
  <cols>
    <col min="1" max="1" width="53" customWidth="1"/>
    <col min="2" max="13" width="10.140625" customWidth="1"/>
    <col min="14" max="14" width="2.28515625" style="39" customWidth="1"/>
    <col min="15" max="15" width="7.85546875" bestFit="1" customWidth="1"/>
    <col min="16" max="16" width="4.7109375" customWidth="1"/>
  </cols>
  <sheetData>
    <row r="1" spans="1:16" ht="18.75" x14ac:dyDescent="0.3">
      <c r="A1" s="16" t="s">
        <v>22</v>
      </c>
    </row>
    <row r="2" spans="1:16" ht="18.75" x14ac:dyDescent="0.3">
      <c r="A2" s="16" t="s">
        <v>0</v>
      </c>
    </row>
    <row r="3" spans="1:16" ht="18.75" x14ac:dyDescent="0.3">
      <c r="A3" s="16">
        <v>2017</v>
      </c>
    </row>
    <row r="4" spans="1:16" ht="15.75" thickBot="1" x14ac:dyDescent="0.3">
      <c r="A4" s="1"/>
    </row>
    <row r="5" spans="1:16" ht="15.75" thickTop="1" x14ac:dyDescent="0.25">
      <c r="A5" s="14"/>
      <c r="B5" s="11" t="s">
        <v>10</v>
      </c>
      <c r="C5" s="11" t="s">
        <v>11</v>
      </c>
      <c r="D5" s="11" t="s">
        <v>12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2" t="s">
        <v>9</v>
      </c>
      <c r="O5" s="13" t="s">
        <v>15</v>
      </c>
    </row>
    <row r="6" spans="1:16" x14ac:dyDescent="0.25">
      <c r="A6" s="17" t="s">
        <v>74</v>
      </c>
      <c r="B6" s="26">
        <f>AVERAGE(80,284.335)</f>
        <v>182.16749999999999</v>
      </c>
      <c r="C6" s="26"/>
      <c r="D6" s="26"/>
      <c r="E6" s="26"/>
      <c r="F6" s="26">
        <f>AVERAGE(348)</f>
        <v>348</v>
      </c>
      <c r="G6" s="26"/>
      <c r="H6" s="26"/>
      <c r="I6" s="26"/>
      <c r="J6" s="26"/>
      <c r="K6" s="26"/>
      <c r="L6" s="26"/>
      <c r="M6" s="28"/>
      <c r="O6" s="27">
        <f>AVERAGE(B6:M6)</f>
        <v>265.08375000000001</v>
      </c>
    </row>
    <row r="7" spans="1:16" hidden="1" x14ac:dyDescent="0.25">
      <c r="A7" s="6" t="s">
        <v>27</v>
      </c>
      <c r="B7" s="26"/>
      <c r="C7" s="26"/>
      <c r="D7" s="44"/>
      <c r="E7" s="44"/>
      <c r="F7" s="44"/>
      <c r="G7" s="44"/>
      <c r="H7" s="44"/>
      <c r="I7" s="44"/>
      <c r="J7" s="44"/>
      <c r="K7" s="44"/>
      <c r="L7" s="44"/>
      <c r="M7" s="45"/>
      <c r="O7" s="9" t="s">
        <v>41</v>
      </c>
    </row>
    <row r="8" spans="1:16" x14ac:dyDescent="0.25">
      <c r="A8" s="6" t="s">
        <v>75</v>
      </c>
      <c r="B8" s="26">
        <f>+B14+B15</f>
        <v>100</v>
      </c>
      <c r="C8" s="26"/>
      <c r="D8" s="26"/>
      <c r="E8" s="26"/>
      <c r="F8" s="26">
        <f>+F14+F15</f>
        <v>0</v>
      </c>
      <c r="G8" s="26"/>
      <c r="H8" s="53"/>
      <c r="I8" s="53"/>
      <c r="J8" s="26"/>
      <c r="K8" s="26"/>
      <c r="L8" s="26"/>
      <c r="M8" s="28"/>
      <c r="O8" s="27">
        <f>AVERAGE(B8:M8)</f>
        <v>50</v>
      </c>
    </row>
    <row r="9" spans="1:16" x14ac:dyDescent="0.25">
      <c r="A9" s="6" t="s">
        <v>53</v>
      </c>
      <c r="B9" s="52"/>
      <c r="C9" s="26"/>
      <c r="D9" s="26"/>
      <c r="E9" s="44"/>
      <c r="F9" s="44"/>
      <c r="G9" s="44"/>
      <c r="H9" s="44"/>
      <c r="I9" s="44"/>
      <c r="J9" s="26"/>
      <c r="K9" s="44"/>
      <c r="L9" s="44"/>
      <c r="M9" s="28"/>
      <c r="O9" s="27" t="e">
        <f>AVERAGE(B9:M9)</f>
        <v>#DIV/0!</v>
      </c>
    </row>
    <row r="10" spans="1:16" x14ac:dyDescent="0.25">
      <c r="A10" s="6" t="s">
        <v>69</v>
      </c>
      <c r="B10" s="52"/>
      <c r="C10" s="53"/>
      <c r="D10" s="53"/>
      <c r="E10" s="53"/>
      <c r="F10" s="52"/>
      <c r="G10" s="53"/>
      <c r="H10" s="53"/>
      <c r="I10" s="53"/>
      <c r="J10" s="32"/>
      <c r="K10" s="44"/>
      <c r="L10" s="44"/>
      <c r="M10" s="44"/>
      <c r="O10" s="21"/>
    </row>
    <row r="11" spans="1:16" x14ac:dyDescent="0.25">
      <c r="A11" s="6" t="s">
        <v>73</v>
      </c>
      <c r="B11" s="26">
        <f t="shared" ref="B11" si="0">B6-B17-B18</f>
        <v>121.16749999999999</v>
      </c>
      <c r="C11" s="26"/>
      <c r="D11" s="26"/>
      <c r="E11" s="26"/>
      <c r="F11" s="26">
        <f t="shared" ref="F11" si="1">F6-F17-F18</f>
        <v>261</v>
      </c>
      <c r="G11" s="26"/>
      <c r="H11" s="26"/>
      <c r="I11" s="26"/>
      <c r="J11" s="26"/>
      <c r="K11" s="26"/>
      <c r="L11" s="26"/>
      <c r="M11" s="28"/>
      <c r="O11" s="27">
        <f>AVERAGE(B11:M11)</f>
        <v>191.08375000000001</v>
      </c>
    </row>
    <row r="12" spans="1:16" s="39" customFormat="1" x14ac:dyDescent="0.25">
      <c r="A12" s="30" t="s">
        <v>57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4"/>
      <c r="O12" s="34"/>
    </row>
    <row r="13" spans="1:16" x14ac:dyDescent="0.25">
      <c r="A13" s="6" t="s">
        <v>68</v>
      </c>
      <c r="B13" s="26">
        <f>AVERAGE(65)</f>
        <v>65</v>
      </c>
      <c r="C13" s="53"/>
      <c r="D13" s="53"/>
      <c r="E13" s="53"/>
      <c r="F13" s="53"/>
      <c r="G13" s="26"/>
      <c r="H13" s="53"/>
      <c r="I13" s="53"/>
      <c r="J13" s="53"/>
      <c r="K13" s="53"/>
      <c r="L13" s="53"/>
      <c r="M13" s="55"/>
      <c r="O13" s="27"/>
      <c r="P13" s="39"/>
    </row>
    <row r="14" spans="1:16" x14ac:dyDescent="0.25">
      <c r="A14" s="6" t="s">
        <v>71</v>
      </c>
      <c r="B14" s="26">
        <f>AVERAGE(65)</f>
        <v>65</v>
      </c>
      <c r="C14" s="26"/>
      <c r="D14" s="26"/>
      <c r="E14" s="26"/>
      <c r="F14" s="61"/>
      <c r="G14" s="26"/>
      <c r="H14" s="53"/>
      <c r="I14" s="53"/>
      <c r="J14" s="26"/>
      <c r="K14" s="26"/>
      <c r="L14" s="26"/>
      <c r="M14" s="28"/>
      <c r="O14" s="27">
        <f>AVERAGE(B14:M14)</f>
        <v>65</v>
      </c>
      <c r="P14" s="62">
        <f>+(O14+O15)/O6</f>
        <v>0.37723926872167757</v>
      </c>
    </row>
    <row r="15" spans="1:16" x14ac:dyDescent="0.25">
      <c r="A15" s="6" t="s">
        <v>72</v>
      </c>
      <c r="B15" s="26">
        <f>AVERAGE(35)</f>
        <v>35</v>
      </c>
      <c r="C15" s="26"/>
      <c r="D15" s="26"/>
      <c r="E15" s="26"/>
      <c r="F15" s="26"/>
      <c r="G15" s="26"/>
      <c r="H15" s="53"/>
      <c r="I15" s="53"/>
      <c r="J15" s="26"/>
      <c r="K15" s="26"/>
      <c r="L15" s="26"/>
      <c r="M15" s="28"/>
      <c r="O15" s="27">
        <f>AVERAGE(B15:M15)</f>
        <v>35</v>
      </c>
      <c r="P15" s="62"/>
    </row>
    <row r="16" spans="1:16" x14ac:dyDescent="0.25">
      <c r="A16" s="17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26"/>
      <c r="L16" s="53"/>
      <c r="M16" s="55"/>
      <c r="O16" s="27" t="e">
        <f t="shared" ref="O16:O21" si="2">AVERAGE(B16:M16)</f>
        <v>#DIV/0!</v>
      </c>
      <c r="P16" s="41" t="e">
        <f>O16/O6</f>
        <v>#DIV/0!</v>
      </c>
    </row>
    <row r="17" spans="1:16" x14ac:dyDescent="0.25">
      <c r="A17" s="17" t="s">
        <v>77</v>
      </c>
      <c r="B17" s="26">
        <f>AVERAGE(56)</f>
        <v>56</v>
      </c>
      <c r="C17" s="26"/>
      <c r="D17" s="26"/>
      <c r="E17" s="26"/>
      <c r="F17" s="26">
        <f>AVERAGE(74)</f>
        <v>74</v>
      </c>
      <c r="G17" s="26"/>
      <c r="H17" s="26"/>
      <c r="I17" s="26"/>
      <c r="J17" s="26"/>
      <c r="K17" s="26"/>
      <c r="L17" s="26"/>
      <c r="M17" s="28"/>
      <c r="O17" s="27">
        <f t="shared" si="2"/>
        <v>65</v>
      </c>
      <c r="P17" s="41">
        <f>(O17+O18)/O6</f>
        <v>0.27915705885404141</v>
      </c>
    </row>
    <row r="18" spans="1:16" x14ac:dyDescent="0.25">
      <c r="A18" s="17" t="s">
        <v>76</v>
      </c>
      <c r="B18" s="26">
        <f>AVERAGE(5)</f>
        <v>5</v>
      </c>
      <c r="C18" s="26"/>
      <c r="D18" s="26"/>
      <c r="E18" s="26"/>
      <c r="F18" s="26">
        <f>AVERAGE(13)</f>
        <v>13</v>
      </c>
      <c r="G18" s="26"/>
      <c r="H18" s="26"/>
      <c r="I18" s="26"/>
      <c r="J18" s="26"/>
      <c r="K18" s="26"/>
      <c r="L18" s="26"/>
      <c r="M18" s="28"/>
      <c r="O18" s="27">
        <f t="shared" si="2"/>
        <v>9</v>
      </c>
    </row>
    <row r="19" spans="1:16" x14ac:dyDescent="0.25">
      <c r="A19" s="6" t="s">
        <v>51</v>
      </c>
      <c r="B19" s="26">
        <f>AVERAGE(6)</f>
        <v>6</v>
      </c>
      <c r="C19" s="26"/>
      <c r="D19" s="26"/>
      <c r="E19" s="26"/>
      <c r="F19" s="26">
        <f>AVERAGE(17)</f>
        <v>17</v>
      </c>
      <c r="G19" s="26"/>
      <c r="H19" s="26"/>
      <c r="I19" s="26"/>
      <c r="J19" s="26"/>
      <c r="K19" s="26"/>
      <c r="L19" s="26"/>
      <c r="M19" s="28"/>
      <c r="O19" s="27">
        <f t="shared" si="2"/>
        <v>11.5</v>
      </c>
    </row>
    <row r="20" spans="1:16" x14ac:dyDescent="0.25">
      <c r="A20" s="6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28"/>
      <c r="O20" s="27" t="e">
        <f t="shared" si="2"/>
        <v>#DIV/0!</v>
      </c>
    </row>
    <row r="21" spans="1:16" x14ac:dyDescent="0.25">
      <c r="A21" s="6" t="s">
        <v>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8"/>
      <c r="O21" s="27" t="e">
        <f t="shared" si="2"/>
        <v>#DIV/0!</v>
      </c>
    </row>
    <row r="22" spans="1:16" hidden="1" x14ac:dyDescent="0.25">
      <c r="A22" s="6" t="s">
        <v>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8"/>
      <c r="O22" s="9" t="s">
        <v>41</v>
      </c>
    </row>
    <row r="23" spans="1:16" hidden="1" x14ac:dyDescent="0.25">
      <c r="A23" s="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/>
      <c r="O23" s="9" t="s">
        <v>41</v>
      </c>
    </row>
    <row r="24" spans="1:16" s="39" customFormat="1" x14ac:dyDescent="0.25">
      <c r="A24" s="42" t="s">
        <v>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8"/>
      <c r="O24" s="27" t="e">
        <f>AVERAGE(B24:M24)</f>
        <v>#DIV/0!</v>
      </c>
    </row>
    <row r="25" spans="1:16" s="39" customFormat="1" x14ac:dyDescent="0.25">
      <c r="A25" s="42" t="s">
        <v>62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8"/>
      <c r="O25" s="27" t="e">
        <f>AVERAGE(B25:M25)</f>
        <v>#DIV/0!</v>
      </c>
    </row>
    <row r="26" spans="1:16" x14ac:dyDescent="0.25">
      <c r="A26" s="17" t="s">
        <v>49</v>
      </c>
      <c r="B26" s="53"/>
      <c r="C26" s="26">
        <f>207+63</f>
        <v>270</v>
      </c>
      <c r="D26" s="53"/>
      <c r="E26" s="53"/>
      <c r="F26" s="53"/>
      <c r="G26" s="26">
        <f>207+63</f>
        <v>270</v>
      </c>
      <c r="H26" s="53"/>
      <c r="I26" s="53"/>
      <c r="J26" s="53"/>
      <c r="K26" s="53"/>
      <c r="L26" s="26">
        <f>207+63</f>
        <v>270</v>
      </c>
      <c r="M26" s="55"/>
      <c r="O26" s="21">
        <f>C26+G27-G28+L27-L28</f>
        <v>270</v>
      </c>
    </row>
    <row r="27" spans="1:16" x14ac:dyDescent="0.25">
      <c r="A27" s="6" t="s">
        <v>32</v>
      </c>
      <c r="B27" s="53"/>
      <c r="C27" s="26"/>
      <c r="D27" s="53"/>
      <c r="E27" s="53"/>
      <c r="F27" s="53"/>
      <c r="G27" s="26"/>
      <c r="H27" s="53"/>
      <c r="I27" s="53"/>
      <c r="J27" s="53"/>
      <c r="K27" s="53"/>
      <c r="L27" s="26"/>
      <c r="M27" s="55"/>
      <c r="O27" s="21">
        <f t="shared" ref="O27:O44" si="3">SUM(A27:N27)</f>
        <v>0</v>
      </c>
    </row>
    <row r="28" spans="1:16" x14ac:dyDescent="0.25">
      <c r="A28" s="6" t="s">
        <v>33</v>
      </c>
      <c r="B28" s="53"/>
      <c r="C28" s="26"/>
      <c r="D28" s="53"/>
      <c r="E28" s="53"/>
      <c r="F28" s="53"/>
      <c r="G28" s="26"/>
      <c r="H28" s="53"/>
      <c r="I28" s="53"/>
      <c r="J28" s="53"/>
      <c r="K28" s="53"/>
      <c r="L28" s="26"/>
      <c r="M28" s="55"/>
      <c r="O28" s="21">
        <f t="shared" si="3"/>
        <v>0</v>
      </c>
    </row>
    <row r="29" spans="1:16" hidden="1" x14ac:dyDescent="0.25">
      <c r="A29" s="6" t="s">
        <v>34</v>
      </c>
      <c r="B29" s="49"/>
      <c r="C29" s="49"/>
      <c r="D29" s="49"/>
      <c r="E29" s="49"/>
      <c r="F29" s="49"/>
      <c r="G29" s="53"/>
      <c r="H29" s="53"/>
      <c r="I29" s="53"/>
      <c r="J29" s="53"/>
      <c r="K29" s="53"/>
      <c r="L29" s="44"/>
      <c r="M29" s="55"/>
      <c r="O29" s="21">
        <f t="shared" si="3"/>
        <v>0</v>
      </c>
    </row>
    <row r="30" spans="1:16" x14ac:dyDescent="0.25">
      <c r="A30" s="6" t="s">
        <v>66</v>
      </c>
      <c r="B30" s="53"/>
      <c r="C30" s="53"/>
      <c r="D30" s="53"/>
      <c r="E30" s="53"/>
      <c r="F30" s="53"/>
      <c r="G30" s="53"/>
      <c r="H30" s="53"/>
      <c r="I30" s="53"/>
      <c r="J30" s="32"/>
      <c r="K30" s="44"/>
      <c r="L30" s="44"/>
      <c r="M30" s="44"/>
      <c r="O30" s="21"/>
    </row>
    <row r="31" spans="1:16" ht="15" customHeight="1" x14ac:dyDescent="0.25">
      <c r="A31" s="7" t="s">
        <v>35</v>
      </c>
      <c r="B31" s="26">
        <v>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8"/>
      <c r="O31" s="21">
        <f t="shared" si="3"/>
        <v>1</v>
      </c>
    </row>
    <row r="32" spans="1:16" x14ac:dyDescent="0.25">
      <c r="A32" s="7" t="s">
        <v>36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  <c r="O32" s="21">
        <f t="shared" si="3"/>
        <v>0</v>
      </c>
    </row>
    <row r="33" spans="1:15" hidden="1" x14ac:dyDescent="0.25">
      <c r="A33" s="7" t="s">
        <v>37</v>
      </c>
      <c r="B33" s="44"/>
      <c r="C33" s="26"/>
      <c r="D33" s="26"/>
      <c r="E33" s="26"/>
      <c r="F33" s="26"/>
      <c r="G33" s="26"/>
      <c r="H33" s="44"/>
      <c r="I33" s="44"/>
      <c r="J33" s="44"/>
      <c r="K33" s="44"/>
      <c r="L33" s="44"/>
      <c r="M33" s="45"/>
      <c r="O33" s="21">
        <f t="shared" si="3"/>
        <v>0</v>
      </c>
    </row>
    <row r="34" spans="1:15" x14ac:dyDescent="0.25">
      <c r="A34" s="6" t="s">
        <v>60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8"/>
      <c r="O34" s="21">
        <f t="shared" si="3"/>
        <v>0</v>
      </c>
    </row>
    <row r="35" spans="1:15" x14ac:dyDescent="0.25">
      <c r="A35" s="6" t="s">
        <v>39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8"/>
      <c r="O35" s="21">
        <f t="shared" si="3"/>
        <v>0</v>
      </c>
    </row>
    <row r="36" spans="1:15" x14ac:dyDescent="0.25">
      <c r="A36" s="6" t="s">
        <v>40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8"/>
      <c r="O36" s="21">
        <f t="shared" si="3"/>
        <v>0</v>
      </c>
    </row>
    <row r="37" spans="1:15" x14ac:dyDescent="0.25">
      <c r="A37" s="6" t="s">
        <v>14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8"/>
      <c r="O37" s="21">
        <f t="shared" si="3"/>
        <v>0</v>
      </c>
    </row>
    <row r="38" spans="1:15" x14ac:dyDescent="0.25">
      <c r="A38" s="43" t="s">
        <v>65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8"/>
      <c r="O38" s="21">
        <f t="shared" si="3"/>
        <v>0</v>
      </c>
    </row>
    <row r="39" spans="1:15" x14ac:dyDescent="0.25">
      <c r="A39" s="6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5"/>
      <c r="O39" s="9">
        <f t="shared" si="3"/>
        <v>0</v>
      </c>
    </row>
    <row r="40" spans="1:15" x14ac:dyDescent="0.25">
      <c r="A40" s="17" t="s">
        <v>44</v>
      </c>
      <c r="B40" s="26">
        <f>485000/52*5</f>
        <v>46634.615384615383</v>
      </c>
      <c r="C40" s="26">
        <f>485000/52*4</f>
        <v>37307.692307692305</v>
      </c>
      <c r="D40" s="26">
        <f>485000/52*4</f>
        <v>37307.692307692305</v>
      </c>
      <c r="E40" s="26">
        <f>485000/52*4</f>
        <v>37307.692307692305</v>
      </c>
      <c r="F40" s="26">
        <f>485000/52*5</f>
        <v>46634.615384615383</v>
      </c>
      <c r="G40" s="26">
        <f>485000/52*4</f>
        <v>37307.692307692305</v>
      </c>
      <c r="H40" s="26">
        <f>485000/52*5</f>
        <v>46634.615384615383</v>
      </c>
      <c r="I40" s="26">
        <f>485000/52*4</f>
        <v>37307.692307692305</v>
      </c>
      <c r="J40" s="26">
        <f>485000/52*4</f>
        <v>37307.692307692305</v>
      </c>
      <c r="K40" s="26">
        <f>485000/52*5</f>
        <v>46634.615384615383</v>
      </c>
      <c r="L40" s="26">
        <f>485000/52*4</f>
        <v>37307.692307692305</v>
      </c>
      <c r="M40" s="28">
        <f>485000/52*4</f>
        <v>37307.692307692305</v>
      </c>
      <c r="O40" s="21">
        <f t="shared" si="3"/>
        <v>485000</v>
      </c>
    </row>
    <row r="41" spans="1:15" x14ac:dyDescent="0.25">
      <c r="A41" s="17" t="s">
        <v>45</v>
      </c>
      <c r="B41" s="2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O41" s="21">
        <f t="shared" si="3"/>
        <v>0</v>
      </c>
    </row>
    <row r="42" spans="1:15" x14ac:dyDescent="0.25">
      <c r="A42" s="50" t="s">
        <v>70</v>
      </c>
      <c r="B42" s="53"/>
      <c r="C42" s="49"/>
      <c r="D42" s="56"/>
      <c r="E42" s="56"/>
      <c r="F42" s="56"/>
      <c r="G42" s="56"/>
      <c r="H42" s="56"/>
      <c r="I42" s="56"/>
      <c r="J42" s="56"/>
      <c r="K42" s="56"/>
      <c r="L42" s="56"/>
      <c r="M42" s="57"/>
      <c r="O42" s="51"/>
    </row>
    <row r="43" spans="1:15" s="39" customFormat="1" x14ac:dyDescent="0.25">
      <c r="A43" s="35" t="s">
        <v>58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O43" s="38"/>
    </row>
    <row r="44" spans="1:15" ht="15.75" thickBot="1" x14ac:dyDescent="0.3">
      <c r="A44" s="22" t="s">
        <v>46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60"/>
      <c r="O44" s="29">
        <f t="shared" si="3"/>
        <v>0</v>
      </c>
    </row>
    <row r="45" spans="1:15" ht="15.75" thickTop="1" x14ac:dyDescent="0.25"/>
  </sheetData>
  <mergeCells count="1">
    <mergeCell ref="P14:P15"/>
  </mergeCells>
  <pageMargins left="0.25" right="0.25" top="0.75" bottom="0.75" header="0.3" footer="0.3"/>
  <pageSetup paperSize="5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2" zoomScaleNormal="10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17" sqref="B17"/>
    </sheetView>
  </sheetViews>
  <sheetFormatPr baseColWidth="10" defaultRowHeight="15" x14ac:dyDescent="0.25"/>
  <cols>
    <col min="1" max="1" width="51.42578125" customWidth="1"/>
    <col min="2" max="13" width="10.140625" customWidth="1"/>
    <col min="14" max="14" width="2.28515625" style="39" customWidth="1"/>
    <col min="15" max="15" width="7.85546875" bestFit="1" customWidth="1"/>
    <col min="16" max="16" width="4.7109375" customWidth="1"/>
  </cols>
  <sheetData>
    <row r="1" spans="1:16" ht="18.75" x14ac:dyDescent="0.3">
      <c r="A1" s="16" t="s">
        <v>22</v>
      </c>
    </row>
    <row r="2" spans="1:16" ht="18.75" x14ac:dyDescent="0.3">
      <c r="A2" s="16" t="s">
        <v>0</v>
      </c>
    </row>
    <row r="3" spans="1:16" ht="18.75" x14ac:dyDescent="0.3">
      <c r="A3" s="16">
        <v>2016</v>
      </c>
    </row>
    <row r="4" spans="1:16" ht="15.75" thickBot="1" x14ac:dyDescent="0.3">
      <c r="A4" s="1"/>
    </row>
    <row r="5" spans="1:16" ht="15.75" thickTop="1" x14ac:dyDescent="0.25">
      <c r="A5" s="14"/>
      <c r="B5" s="11" t="s">
        <v>10</v>
      </c>
      <c r="C5" s="11" t="s">
        <v>11</v>
      </c>
      <c r="D5" s="11" t="s">
        <v>12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2" t="s">
        <v>9</v>
      </c>
      <c r="O5" s="13" t="s">
        <v>15</v>
      </c>
    </row>
    <row r="6" spans="1:16" x14ac:dyDescent="0.25">
      <c r="A6" s="17" t="s">
        <v>63</v>
      </c>
      <c r="B6" s="26">
        <f>AVERAGE(265,402,456,406,378)</f>
        <v>381.4</v>
      </c>
      <c r="C6" s="26">
        <f>AVERAGE(344,317,388,282)</f>
        <v>332.75</v>
      </c>
      <c r="D6" s="26">
        <f>AVERAGE(351,355,379,371)</f>
        <v>364</v>
      </c>
      <c r="E6" s="26">
        <f>AVERAGE(397,358,383,355)</f>
        <v>373.25</v>
      </c>
      <c r="F6" s="26">
        <f>AVERAGE(356,338,266,194,307)</f>
        <v>292.2</v>
      </c>
      <c r="G6" s="26">
        <f>AVERAGE(310,363,334,315)</f>
        <v>330.5</v>
      </c>
      <c r="H6" s="26">
        <f>AVERAGE(257,309,304,259,207)</f>
        <v>267.2</v>
      </c>
      <c r="I6" s="26">
        <f>AVERAGE(254,249,304,309)</f>
        <v>279</v>
      </c>
      <c r="J6" s="26">
        <f>AVERAGE(345,392,397)</f>
        <v>378</v>
      </c>
      <c r="K6" s="26">
        <f>AVERAGE(378,271,334,308,339)</f>
        <v>326</v>
      </c>
      <c r="L6" s="26">
        <f>AVERAGE(356,353,296,354)</f>
        <v>339.75</v>
      </c>
      <c r="M6" s="28">
        <f>AVERAGE(353,356,421.125)</f>
        <v>376.70833333333331</v>
      </c>
      <c r="O6" s="27">
        <f>AVERAGE(B6:M6)</f>
        <v>336.72986111111112</v>
      </c>
    </row>
    <row r="7" spans="1:16" hidden="1" x14ac:dyDescent="0.25">
      <c r="A7" s="6" t="s">
        <v>27</v>
      </c>
      <c r="B7" s="26"/>
      <c r="C7" s="26"/>
      <c r="D7" s="44"/>
      <c r="E7" s="44"/>
      <c r="F7" s="44"/>
      <c r="G7" s="44"/>
      <c r="H7" s="44"/>
      <c r="I7" s="44"/>
      <c r="J7" s="44"/>
      <c r="K7" s="44"/>
      <c r="L7" s="44"/>
      <c r="M7" s="45"/>
      <c r="O7" s="9" t="s">
        <v>41</v>
      </c>
    </row>
    <row r="8" spans="1:16" x14ac:dyDescent="0.25">
      <c r="A8" s="6" t="s">
        <v>64</v>
      </c>
      <c r="B8" s="26">
        <f>+B14+B15</f>
        <v>157.25</v>
      </c>
      <c r="C8" s="26">
        <f>+C14+C15</f>
        <v>148</v>
      </c>
      <c r="D8" s="26">
        <f>+D14+D15</f>
        <v>158</v>
      </c>
      <c r="E8" s="26">
        <f>E14+E15</f>
        <v>124</v>
      </c>
      <c r="F8" s="26">
        <f>F14+F15</f>
        <v>137</v>
      </c>
      <c r="G8" s="26">
        <f>+G14+G15</f>
        <v>105</v>
      </c>
      <c r="H8" s="44"/>
      <c r="I8" s="44"/>
      <c r="J8" s="26">
        <f>+J14+J15</f>
        <v>183</v>
      </c>
      <c r="K8" s="26">
        <f>+K14+K15</f>
        <v>183</v>
      </c>
      <c r="L8" s="26">
        <f>+L14+L15</f>
        <v>143</v>
      </c>
      <c r="M8" s="28">
        <f>+M14+M15</f>
        <v>138</v>
      </c>
      <c r="O8" s="27">
        <f>AVERAGE(B8:M8)</f>
        <v>147.625</v>
      </c>
    </row>
    <row r="9" spans="1:16" x14ac:dyDescent="0.25">
      <c r="A9" s="6" t="s">
        <v>53</v>
      </c>
      <c r="B9" s="52"/>
      <c r="C9" s="26">
        <f>AVERAGE(200,300)</f>
        <v>250</v>
      </c>
      <c r="D9" s="26">
        <v>268</v>
      </c>
      <c r="E9" s="44"/>
      <c r="F9" s="44"/>
      <c r="G9" s="44"/>
      <c r="H9" s="44"/>
      <c r="I9" s="44"/>
      <c r="J9" s="26">
        <f>AVERAGE(230,150)</f>
        <v>190</v>
      </c>
      <c r="K9" s="44"/>
      <c r="L9" s="44"/>
      <c r="M9" s="28">
        <f>AVERAGE(350)</f>
        <v>350</v>
      </c>
      <c r="O9" s="27">
        <f>AVERAGE(B9:M9)</f>
        <v>264.5</v>
      </c>
    </row>
    <row r="10" spans="1:16" x14ac:dyDescent="0.25">
      <c r="A10" s="6" t="s">
        <v>69</v>
      </c>
      <c r="B10" s="52"/>
      <c r="C10" s="53"/>
      <c r="D10" s="53"/>
      <c r="E10" s="53"/>
      <c r="F10" s="53"/>
      <c r="G10" s="53"/>
      <c r="H10" s="53"/>
      <c r="I10" s="53"/>
      <c r="J10" s="32"/>
      <c r="K10" s="44"/>
      <c r="L10" s="44"/>
      <c r="M10" s="44"/>
      <c r="O10" s="21"/>
    </row>
    <row r="11" spans="1:16" x14ac:dyDescent="0.25">
      <c r="A11" s="6" t="s">
        <v>55</v>
      </c>
      <c r="B11" s="26">
        <f t="shared" ref="B11:M11" si="0">B6-B17-B18</f>
        <v>296.8</v>
      </c>
      <c r="C11" s="26">
        <f t="shared" si="0"/>
        <v>260.75</v>
      </c>
      <c r="D11" s="26">
        <f t="shared" si="0"/>
        <v>289.5</v>
      </c>
      <c r="E11" s="26">
        <f t="shared" si="0"/>
        <v>287.75</v>
      </c>
      <c r="F11" s="26">
        <f t="shared" si="0"/>
        <v>218.79999999999998</v>
      </c>
      <c r="G11" s="26">
        <f>G6-G17-G18</f>
        <v>256.75</v>
      </c>
      <c r="H11" s="26">
        <f>H6-H17-H18</f>
        <v>208.79999999999998</v>
      </c>
      <c r="I11" s="26">
        <f t="shared" si="0"/>
        <v>215.5</v>
      </c>
      <c r="J11" s="26">
        <f t="shared" si="0"/>
        <v>277.66666666666669</v>
      </c>
      <c r="K11" s="26">
        <f>K6-K17-K18</f>
        <v>251</v>
      </c>
      <c r="L11" s="26">
        <f t="shared" si="0"/>
        <v>256</v>
      </c>
      <c r="M11" s="28">
        <f t="shared" si="0"/>
        <v>294.5333333333333</v>
      </c>
      <c r="O11" s="27">
        <f>AVERAGE(B11:M11)</f>
        <v>259.48750000000001</v>
      </c>
    </row>
    <row r="12" spans="1:16" s="39" customFormat="1" x14ac:dyDescent="0.25">
      <c r="A12" s="30" t="s">
        <v>57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4"/>
      <c r="O12" s="34"/>
    </row>
    <row r="13" spans="1:16" x14ac:dyDescent="0.25">
      <c r="A13" s="6" t="s">
        <v>68</v>
      </c>
      <c r="B13" s="26">
        <f>AVERAGE(89,88)</f>
        <v>88.5</v>
      </c>
      <c r="C13" s="53"/>
      <c r="D13" s="53"/>
      <c r="E13" s="26">
        <f>AVERAGE(80,69)</f>
        <v>74.5</v>
      </c>
      <c r="F13" s="53"/>
      <c r="G13" s="26">
        <f>AVERAGE(84,74)</f>
        <v>79</v>
      </c>
      <c r="H13" s="53"/>
      <c r="I13" s="53"/>
      <c r="J13" s="53"/>
      <c r="K13" s="53"/>
      <c r="L13" s="53"/>
      <c r="M13" s="55"/>
      <c r="O13" s="27"/>
      <c r="P13" s="39"/>
    </row>
    <row r="14" spans="1:16" x14ac:dyDescent="0.25">
      <c r="A14" s="6" t="s">
        <v>67</v>
      </c>
      <c r="B14" s="26">
        <f>AVERAGE(89,88,119,122)</f>
        <v>104.5</v>
      </c>
      <c r="C14" s="26">
        <f>AVERAGE(110,105,91)</f>
        <v>102</v>
      </c>
      <c r="D14" s="26">
        <f>AVERAGE(82,80,93,150)</f>
        <v>101.25</v>
      </c>
      <c r="E14" s="26">
        <f>AVERAGE(80,69,73)</f>
        <v>74</v>
      </c>
      <c r="F14" s="61">
        <f>AVERAGE(85)</f>
        <v>85</v>
      </c>
      <c r="G14" s="26">
        <f>AVERAGE(68)</f>
        <v>68</v>
      </c>
      <c r="H14" s="44"/>
      <c r="I14" s="44"/>
      <c r="J14" s="26">
        <f>AVERAGE(106)</f>
        <v>106</v>
      </c>
      <c r="K14" s="26">
        <f>AVERAGE(113,119)</f>
        <v>116</v>
      </c>
      <c r="L14" s="26">
        <f>AVERAGE(93,89)</f>
        <v>91</v>
      </c>
      <c r="M14" s="28">
        <v>69</v>
      </c>
      <c r="O14" s="27">
        <f>AVERAGE(B14:M14)</f>
        <v>91.674999999999997</v>
      </c>
      <c r="P14" s="62">
        <f>+(O14+O15)/O6</f>
        <v>0.43840780711541355</v>
      </c>
    </row>
    <row r="15" spans="1:16" x14ac:dyDescent="0.25">
      <c r="A15" s="6" t="s">
        <v>52</v>
      </c>
      <c r="B15" s="26">
        <f>AVERAGE(47,48,53,63)</f>
        <v>52.75</v>
      </c>
      <c r="C15" s="26">
        <f>AVERAGE(42,49,47)</f>
        <v>46</v>
      </c>
      <c r="D15" s="26">
        <f>AVERAGE(47,69,61,50)</f>
        <v>56.75</v>
      </c>
      <c r="E15" s="26">
        <f>AVERAGE(53,48,49)</f>
        <v>50</v>
      </c>
      <c r="F15" s="26">
        <f>AVERAGE(52)</f>
        <v>52</v>
      </c>
      <c r="G15" s="26">
        <f>AVERAGE(34,43,34)</f>
        <v>37</v>
      </c>
      <c r="H15" s="44"/>
      <c r="I15" s="44"/>
      <c r="J15" s="26">
        <f>AVERAGE(77)</f>
        <v>77</v>
      </c>
      <c r="K15" s="26">
        <f>AVERAGE(69,65)</f>
        <v>67</v>
      </c>
      <c r="L15" s="26">
        <f>AVERAGE(49,55)</f>
        <v>52</v>
      </c>
      <c r="M15" s="28">
        <v>69</v>
      </c>
      <c r="O15" s="27">
        <f>AVERAGE(B15:M15)</f>
        <v>55.95</v>
      </c>
      <c r="P15" s="62"/>
    </row>
    <row r="16" spans="1:16" x14ac:dyDescent="0.25">
      <c r="A16" s="17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26">
        <v>202</v>
      </c>
      <c r="L16" s="53"/>
      <c r="M16" s="55"/>
      <c r="O16" s="27">
        <f t="shared" ref="O16:O21" si="1">AVERAGE(B16:M16)</f>
        <v>202</v>
      </c>
      <c r="P16" s="41">
        <f>O16/O6</f>
        <v>0.59988739737384278</v>
      </c>
    </row>
    <row r="17" spans="1:16" x14ac:dyDescent="0.25">
      <c r="A17" s="17" t="s">
        <v>59</v>
      </c>
      <c r="B17" s="26">
        <f>AVERAGE(51,75,77,76,72)</f>
        <v>70.2</v>
      </c>
      <c r="C17" s="26">
        <f>AVERAGE(69,51,72,43)</f>
        <v>58.75</v>
      </c>
      <c r="D17" s="26">
        <f>AVERAGE(55,63,67,60)</f>
        <v>61.25</v>
      </c>
      <c r="E17" s="26">
        <f>AVERAGE(78,73,69,64)</f>
        <v>71</v>
      </c>
      <c r="F17" s="26">
        <f>AVERAGE(72,65,69,43,58)</f>
        <v>61.4</v>
      </c>
      <c r="G17" s="26">
        <f>AVERAGE(49,79,65,50)</f>
        <v>60.75</v>
      </c>
      <c r="H17" s="26">
        <f>AVERAGE(48,55,66,49,36)</f>
        <v>50.8</v>
      </c>
      <c r="I17" s="26">
        <f>AVERAGE(44,47,66,54)</f>
        <v>52.75</v>
      </c>
      <c r="J17" s="26">
        <f>AVERAGE(67,106,80)</f>
        <v>84.333333333333329</v>
      </c>
      <c r="K17" s="26">
        <f>AVERAGE(74,33,72,78,68)</f>
        <v>65</v>
      </c>
      <c r="L17" s="26">
        <f>AVERAGE(86,95,54,70)</f>
        <v>76.25</v>
      </c>
      <c r="M17" s="28">
        <f>AVERAGE(78,77.15)</f>
        <v>77.575000000000003</v>
      </c>
      <c r="O17" s="27">
        <f t="shared" si="1"/>
        <v>65.838194444444454</v>
      </c>
      <c r="P17" s="41">
        <f>(O17+O18)/O6</f>
        <v>0.22938969789086622</v>
      </c>
    </row>
    <row r="18" spans="1:16" x14ac:dyDescent="0.25">
      <c r="A18" s="17" t="s">
        <v>50</v>
      </c>
      <c r="B18" s="26">
        <f>AVERAGE(10,21,8,17,16)</f>
        <v>14.4</v>
      </c>
      <c r="C18" s="26">
        <f>AVERAGE(11,12,17,13)</f>
        <v>13.25</v>
      </c>
      <c r="D18" s="26">
        <f>AVERAGE(13,16,16,8)</f>
        <v>13.25</v>
      </c>
      <c r="E18" s="26">
        <f>AVERAGE(19,12,13,14)</f>
        <v>14.5</v>
      </c>
      <c r="F18" s="26">
        <f>AVERAGE(15,11,17,6,11)</f>
        <v>12</v>
      </c>
      <c r="G18" s="26">
        <f>AVERAGE(10,14,16,12)</f>
        <v>13</v>
      </c>
      <c r="H18" s="26">
        <f>AVERAGE(5,12,8,10,3)</f>
        <v>7.6</v>
      </c>
      <c r="I18" s="26">
        <f>AVERAGE(15,9,8,11)</f>
        <v>10.75</v>
      </c>
      <c r="J18" s="26">
        <f>AVERAGE(19,19,10)</f>
        <v>16</v>
      </c>
      <c r="K18" s="26">
        <f>AVERAGE(11,5,11,9,14)</f>
        <v>10</v>
      </c>
      <c r="L18" s="26">
        <f>AVERAGE(12,6,4,8)</f>
        <v>7.5</v>
      </c>
      <c r="M18" s="28">
        <f>AVERAGE(5,4.2)</f>
        <v>4.5999999999999996</v>
      </c>
      <c r="O18" s="27">
        <f t="shared" si="1"/>
        <v>11.404166666666667</v>
      </c>
    </row>
    <row r="19" spans="1:16" x14ac:dyDescent="0.25">
      <c r="A19" s="6" t="s">
        <v>51</v>
      </c>
      <c r="B19" s="26">
        <f>AVERAGE(5,7,35,12,7)</f>
        <v>13.2</v>
      </c>
      <c r="C19" s="26">
        <f>AVERAGE(4,7,6,3)</f>
        <v>5</v>
      </c>
      <c r="D19" s="26">
        <f>AVERAGE(11,8)</f>
        <v>9.5</v>
      </c>
      <c r="E19" s="26">
        <f>AVERAGE(12,5,16,6)</f>
        <v>9.75</v>
      </c>
      <c r="F19" s="26">
        <f>AVERAGE(4,5,3,0,4)</f>
        <v>3.2</v>
      </c>
      <c r="G19" s="26">
        <f>AVERAGE(7,10,5,18)</f>
        <v>10</v>
      </c>
      <c r="H19" s="26">
        <f>AVERAGE(9,7)</f>
        <v>8</v>
      </c>
      <c r="I19" s="26">
        <f>AVERAGE(2,6,7,4)</f>
        <v>4.75</v>
      </c>
      <c r="J19" s="26">
        <f>AVERAGE(8,15,10)</f>
        <v>11</v>
      </c>
      <c r="K19" s="26">
        <f>AVERAGE(8,4,7,2)</f>
        <v>5.25</v>
      </c>
      <c r="L19" s="26">
        <f>AVERAGE(5,5,10)</f>
        <v>6.666666666666667</v>
      </c>
      <c r="M19" s="28">
        <f>AVERAGE(4,9)</f>
        <v>6.5</v>
      </c>
      <c r="O19" s="27">
        <f t="shared" si="1"/>
        <v>7.7347222222222234</v>
      </c>
    </row>
    <row r="20" spans="1:16" x14ac:dyDescent="0.25">
      <c r="A20" s="6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28">
        <v>35</v>
      </c>
      <c r="O20" s="27">
        <f t="shared" si="1"/>
        <v>35</v>
      </c>
    </row>
    <row r="21" spans="1:16" x14ac:dyDescent="0.25">
      <c r="A21" s="6" t="s">
        <v>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8"/>
      <c r="O21" s="27" t="e">
        <f t="shared" si="1"/>
        <v>#DIV/0!</v>
      </c>
    </row>
    <row r="22" spans="1:16" hidden="1" x14ac:dyDescent="0.25">
      <c r="A22" s="6" t="s">
        <v>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8"/>
      <c r="O22" s="9" t="s">
        <v>41</v>
      </c>
    </row>
    <row r="23" spans="1:16" hidden="1" x14ac:dyDescent="0.25">
      <c r="A23" s="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/>
      <c r="O23" s="9" t="s">
        <v>41</v>
      </c>
    </row>
    <row r="24" spans="1:16" s="39" customFormat="1" x14ac:dyDescent="0.25">
      <c r="A24" s="42" t="s">
        <v>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8">
        <v>30</v>
      </c>
      <c r="O24" s="27">
        <f>AVERAGE(B24:M24)</f>
        <v>30</v>
      </c>
    </row>
    <row r="25" spans="1:16" s="39" customFormat="1" x14ac:dyDescent="0.25">
      <c r="A25" s="42" t="s">
        <v>62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8">
        <v>45</v>
      </c>
      <c r="O25" s="27">
        <f>AVERAGE(B25:M25)</f>
        <v>45</v>
      </c>
    </row>
    <row r="26" spans="1:16" x14ac:dyDescent="0.25">
      <c r="A26" s="17" t="s">
        <v>49</v>
      </c>
      <c r="B26" s="53"/>
      <c r="C26" s="26">
        <f>208+51</f>
        <v>259</v>
      </c>
      <c r="D26" s="53"/>
      <c r="E26" s="53"/>
      <c r="F26" s="53"/>
      <c r="G26" s="49">
        <f>208+50</f>
        <v>258</v>
      </c>
      <c r="H26" s="53"/>
      <c r="I26" s="53"/>
      <c r="J26" s="53"/>
      <c r="K26" s="53"/>
      <c r="L26" s="49"/>
      <c r="M26" s="55"/>
      <c r="O26" s="21">
        <f>C26+G27-G28+L27-L28</f>
        <v>259</v>
      </c>
    </row>
    <row r="27" spans="1:16" x14ac:dyDescent="0.25">
      <c r="A27" s="6" t="s">
        <v>32</v>
      </c>
      <c r="B27" s="53"/>
      <c r="C27" s="26">
        <v>12</v>
      </c>
      <c r="D27" s="53"/>
      <c r="E27" s="53"/>
      <c r="F27" s="53"/>
      <c r="G27" s="49"/>
      <c r="H27" s="53"/>
      <c r="I27" s="53"/>
      <c r="J27" s="53"/>
      <c r="K27" s="53"/>
      <c r="L27" s="49"/>
      <c r="M27" s="55"/>
      <c r="O27" s="21">
        <f t="shared" ref="O27:O44" si="2">SUM(A27:N27)</f>
        <v>12</v>
      </c>
    </row>
    <row r="28" spans="1:16" x14ac:dyDescent="0.25">
      <c r="A28" s="6" t="s">
        <v>33</v>
      </c>
      <c r="B28" s="53"/>
      <c r="C28" s="26">
        <v>0</v>
      </c>
      <c r="D28" s="53"/>
      <c r="E28" s="53"/>
      <c r="F28" s="53"/>
      <c r="G28" s="49"/>
      <c r="H28" s="53"/>
      <c r="I28" s="53"/>
      <c r="J28" s="53"/>
      <c r="K28" s="53"/>
      <c r="L28" s="49"/>
      <c r="M28" s="55"/>
      <c r="O28" s="21">
        <f t="shared" si="2"/>
        <v>0</v>
      </c>
    </row>
    <row r="29" spans="1:16" hidden="1" x14ac:dyDescent="0.25">
      <c r="A29" s="6" t="s">
        <v>34</v>
      </c>
      <c r="B29" s="49"/>
      <c r="C29" s="49"/>
      <c r="D29" s="49"/>
      <c r="E29" s="49"/>
      <c r="F29" s="49"/>
      <c r="G29" s="53"/>
      <c r="H29" s="53"/>
      <c r="I29" s="53"/>
      <c r="J29" s="53"/>
      <c r="K29" s="53"/>
      <c r="L29" s="44"/>
      <c r="M29" s="55"/>
      <c r="O29" s="21">
        <f t="shared" si="2"/>
        <v>0</v>
      </c>
    </row>
    <row r="30" spans="1:16" x14ac:dyDescent="0.25">
      <c r="A30" s="6" t="s">
        <v>66</v>
      </c>
      <c r="B30" s="53"/>
      <c r="C30" s="53"/>
      <c r="D30" s="53"/>
      <c r="E30" s="53"/>
      <c r="F30" s="53"/>
      <c r="G30" s="53"/>
      <c r="H30" s="53"/>
      <c r="I30" s="53"/>
      <c r="J30" s="32"/>
      <c r="K30" s="44"/>
      <c r="L30" s="44"/>
      <c r="M30" s="44"/>
      <c r="O30" s="21"/>
    </row>
    <row r="31" spans="1:16" ht="15" customHeight="1" x14ac:dyDescent="0.25">
      <c r="A31" s="7" t="s">
        <v>35</v>
      </c>
      <c r="B31" s="26">
        <v>7</v>
      </c>
      <c r="C31" s="26"/>
      <c r="D31" s="26"/>
      <c r="E31" s="26">
        <v>1</v>
      </c>
      <c r="F31" s="26"/>
      <c r="G31" s="26"/>
      <c r="H31" s="26"/>
      <c r="I31" s="26"/>
      <c r="J31" s="26"/>
      <c r="K31" s="26"/>
      <c r="L31" s="26"/>
      <c r="M31" s="28"/>
      <c r="O31" s="21">
        <f t="shared" si="2"/>
        <v>8</v>
      </c>
    </row>
    <row r="32" spans="1:16" x14ac:dyDescent="0.25">
      <c r="A32" s="7" t="s">
        <v>36</v>
      </c>
      <c r="B32" s="26"/>
      <c r="C32" s="26"/>
      <c r="D32" s="26"/>
      <c r="E32" s="26">
        <v>1</v>
      </c>
      <c r="F32" s="26"/>
      <c r="G32" s="26"/>
      <c r="H32" s="26"/>
      <c r="I32" s="26"/>
      <c r="J32" s="26"/>
      <c r="K32" s="26"/>
      <c r="L32" s="26"/>
      <c r="M32" s="28"/>
      <c r="O32" s="21">
        <f t="shared" si="2"/>
        <v>1</v>
      </c>
    </row>
    <row r="33" spans="1:15" hidden="1" x14ac:dyDescent="0.25">
      <c r="A33" s="7" t="s">
        <v>37</v>
      </c>
      <c r="B33" s="44"/>
      <c r="C33" s="26"/>
      <c r="D33" s="26"/>
      <c r="E33" s="26"/>
      <c r="F33" s="26"/>
      <c r="G33" s="26"/>
      <c r="H33" s="44"/>
      <c r="I33" s="44"/>
      <c r="J33" s="44"/>
      <c r="K33" s="44"/>
      <c r="L33" s="44"/>
      <c r="M33" s="45"/>
      <c r="O33" s="21">
        <f t="shared" si="2"/>
        <v>0</v>
      </c>
    </row>
    <row r="34" spans="1:15" x14ac:dyDescent="0.25">
      <c r="A34" s="6" t="s">
        <v>60</v>
      </c>
      <c r="B34" s="26"/>
      <c r="C34" s="26"/>
      <c r="D34" s="26"/>
      <c r="E34" s="26">
        <v>1</v>
      </c>
      <c r="F34" s="26">
        <v>1</v>
      </c>
      <c r="G34" s="26"/>
      <c r="H34" s="26">
        <v>1</v>
      </c>
      <c r="I34" s="26"/>
      <c r="J34" s="26"/>
      <c r="K34" s="26"/>
      <c r="L34" s="26"/>
      <c r="M34" s="28"/>
      <c r="O34" s="21">
        <f t="shared" si="2"/>
        <v>3</v>
      </c>
    </row>
    <row r="35" spans="1:15" x14ac:dyDescent="0.25">
      <c r="A35" s="6" t="s">
        <v>39</v>
      </c>
      <c r="B35" s="26"/>
      <c r="C35" s="26"/>
      <c r="D35" s="26">
        <v>1</v>
      </c>
      <c r="E35" s="26"/>
      <c r="F35" s="26">
        <v>1</v>
      </c>
      <c r="G35" s="26">
        <v>1</v>
      </c>
      <c r="H35" s="26"/>
      <c r="I35" s="26">
        <v>1</v>
      </c>
      <c r="J35" s="26"/>
      <c r="K35" s="26"/>
      <c r="L35" s="26">
        <v>2</v>
      </c>
      <c r="M35" s="28"/>
      <c r="O35" s="21">
        <f t="shared" si="2"/>
        <v>6</v>
      </c>
    </row>
    <row r="36" spans="1:15" x14ac:dyDescent="0.25">
      <c r="A36" s="6" t="s">
        <v>40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8"/>
      <c r="O36" s="21">
        <f t="shared" si="2"/>
        <v>0</v>
      </c>
    </row>
    <row r="37" spans="1:15" x14ac:dyDescent="0.25">
      <c r="A37" s="6" t="s">
        <v>14</v>
      </c>
      <c r="B37" s="26"/>
      <c r="C37" s="26"/>
      <c r="D37" s="26">
        <v>1</v>
      </c>
      <c r="E37" s="26"/>
      <c r="F37" s="26"/>
      <c r="G37" s="26"/>
      <c r="H37" s="26"/>
      <c r="I37" s="26"/>
      <c r="J37" s="26"/>
      <c r="K37" s="26"/>
      <c r="L37" s="26"/>
      <c r="M37" s="28"/>
      <c r="O37" s="21">
        <f t="shared" si="2"/>
        <v>1</v>
      </c>
    </row>
    <row r="38" spans="1:15" x14ac:dyDescent="0.25">
      <c r="A38" s="43" t="s">
        <v>65</v>
      </c>
      <c r="B38" s="26">
        <v>926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8"/>
      <c r="O38" s="21">
        <f t="shared" si="2"/>
        <v>926</v>
      </c>
    </row>
    <row r="39" spans="1:15" x14ac:dyDescent="0.25">
      <c r="A39" s="6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5"/>
      <c r="O39" s="9">
        <f t="shared" si="2"/>
        <v>0</v>
      </c>
    </row>
    <row r="40" spans="1:15" x14ac:dyDescent="0.25">
      <c r="A40" s="17" t="s">
        <v>44</v>
      </c>
      <c r="B40" s="26">
        <f>485000/52*5</f>
        <v>46634.615384615383</v>
      </c>
      <c r="C40" s="26">
        <f>485000/52*4</f>
        <v>37307.692307692305</v>
      </c>
      <c r="D40" s="26">
        <f>485000/52*4</f>
        <v>37307.692307692305</v>
      </c>
      <c r="E40" s="26">
        <f>485000/52*4</f>
        <v>37307.692307692305</v>
      </c>
      <c r="F40" s="26">
        <f>485000/52*5</f>
        <v>46634.615384615383</v>
      </c>
      <c r="G40" s="26">
        <f>485000/52*4</f>
        <v>37307.692307692305</v>
      </c>
      <c r="H40" s="26">
        <f>485000/52*5</f>
        <v>46634.615384615383</v>
      </c>
      <c r="I40" s="26">
        <f>485000/52*4</f>
        <v>37307.692307692305</v>
      </c>
      <c r="J40" s="26">
        <f>485000/52*4</f>
        <v>37307.692307692305</v>
      </c>
      <c r="K40" s="26">
        <f>485000/52*5</f>
        <v>46634.615384615383</v>
      </c>
      <c r="L40" s="26">
        <f>485000/52*4</f>
        <v>37307.692307692305</v>
      </c>
      <c r="M40" s="28">
        <f>485000/52*4</f>
        <v>37307.692307692305</v>
      </c>
      <c r="O40" s="21">
        <f t="shared" si="2"/>
        <v>485000</v>
      </c>
    </row>
    <row r="41" spans="1:15" x14ac:dyDescent="0.25">
      <c r="A41" s="17" t="s">
        <v>45</v>
      </c>
      <c r="B41" s="26">
        <f>7021+4364+10008+6588+3967</f>
        <v>31948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O41" s="21">
        <f t="shared" si="2"/>
        <v>31948</v>
      </c>
    </row>
    <row r="42" spans="1:15" x14ac:dyDescent="0.25">
      <c r="A42" s="50" t="s">
        <v>70</v>
      </c>
      <c r="B42" s="53"/>
      <c r="C42" s="49"/>
      <c r="D42" s="56"/>
      <c r="E42" s="56"/>
      <c r="F42" s="56"/>
      <c r="G42" s="56"/>
      <c r="H42" s="56"/>
      <c r="I42" s="56"/>
      <c r="J42" s="56"/>
      <c r="K42" s="56"/>
      <c r="L42" s="56"/>
      <c r="M42" s="57"/>
      <c r="O42" s="51"/>
    </row>
    <row r="43" spans="1:15" s="39" customFormat="1" x14ac:dyDescent="0.25">
      <c r="A43" s="35" t="s">
        <v>58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O43" s="38"/>
    </row>
    <row r="44" spans="1:15" ht="15.75" thickBot="1" x14ac:dyDescent="0.3">
      <c r="A44" s="22" t="s">
        <v>46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60"/>
      <c r="O44" s="29">
        <f t="shared" si="2"/>
        <v>0</v>
      </c>
    </row>
    <row r="45" spans="1:15" ht="15.75" thickTop="1" x14ac:dyDescent="0.25"/>
  </sheetData>
  <mergeCells count="1">
    <mergeCell ref="P14:P15"/>
  </mergeCells>
  <pageMargins left="0.25" right="0.25" top="0.75" bottom="0.75" header="0.3" footer="0.3"/>
  <pageSetup paperSize="5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2" zoomScaleNormal="10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51.42578125" customWidth="1"/>
    <col min="2" max="13" width="10.140625" customWidth="1"/>
    <col min="14" max="14" width="2.28515625" style="39" customWidth="1"/>
    <col min="15" max="15" width="7.85546875" bestFit="1" customWidth="1"/>
    <col min="16" max="16" width="4.5703125" bestFit="1" customWidth="1"/>
  </cols>
  <sheetData>
    <row r="1" spans="1:16" ht="18.75" x14ac:dyDescent="0.3">
      <c r="A1" s="16" t="s">
        <v>22</v>
      </c>
    </row>
    <row r="2" spans="1:16" ht="18.75" x14ac:dyDescent="0.3">
      <c r="A2" s="16" t="s">
        <v>0</v>
      </c>
    </row>
    <row r="3" spans="1:16" ht="18.75" x14ac:dyDescent="0.3">
      <c r="A3" s="16">
        <v>2015</v>
      </c>
    </row>
    <row r="4" spans="1:16" ht="15.75" thickBot="1" x14ac:dyDescent="0.3">
      <c r="A4" s="1"/>
    </row>
    <row r="5" spans="1:16" ht="15.75" thickTop="1" x14ac:dyDescent="0.25">
      <c r="A5" s="14"/>
      <c r="B5" s="11" t="s">
        <v>10</v>
      </c>
      <c r="C5" s="11" t="s">
        <v>11</v>
      </c>
      <c r="D5" s="11" t="s">
        <v>12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2" t="s">
        <v>9</v>
      </c>
      <c r="O5" s="13" t="s">
        <v>15</v>
      </c>
    </row>
    <row r="6" spans="1:16" x14ac:dyDescent="0.25">
      <c r="A6" s="17" t="s">
        <v>63</v>
      </c>
      <c r="B6" s="26">
        <f>AVERAGE(351,355,300)</f>
        <v>335.33333333333331</v>
      </c>
      <c r="C6" s="26">
        <f>AVERAGE(300,322,285)</f>
        <v>302.33333333333331</v>
      </c>
      <c r="D6" s="26">
        <f>AVERAGE(260,285,330,360,346)</f>
        <v>316.2</v>
      </c>
      <c r="E6" s="26">
        <f>AVERAGE(385,391,341,342)</f>
        <v>364.75</v>
      </c>
      <c r="F6" s="26">
        <f>AVERAGE(345,354,331,346,352)</f>
        <v>345.6</v>
      </c>
      <c r="G6" s="26">
        <f>AVERAGE(366,347,317,337)</f>
        <v>341.75</v>
      </c>
      <c r="H6" s="26">
        <f>AVERAGE(305,352,274)</f>
        <v>310.33333333333331</v>
      </c>
      <c r="I6" s="26">
        <f>AVERAGE(279,302,300)</f>
        <v>293.66666666666669</v>
      </c>
      <c r="J6" s="26">
        <f>AVERAGE(332,415,415,421)</f>
        <v>395.75</v>
      </c>
      <c r="K6" s="26">
        <f>AVERAGE(430,279,380,319)</f>
        <v>352</v>
      </c>
      <c r="L6" s="26">
        <f>AVERAGE(375,393,401,390,383)</f>
        <v>388.4</v>
      </c>
      <c r="M6" s="28">
        <f>AVERAGE(412,404,515,206)</f>
        <v>384.25</v>
      </c>
      <c r="O6" s="27">
        <f>AVERAGE(B6:M6)</f>
        <v>344.19722222222225</v>
      </c>
    </row>
    <row r="7" spans="1:16" hidden="1" x14ac:dyDescent="0.25">
      <c r="A7" s="6" t="s">
        <v>27</v>
      </c>
      <c r="B7" s="2" t="s">
        <v>41</v>
      </c>
      <c r="C7" s="2" t="s">
        <v>41</v>
      </c>
      <c r="D7" s="2" t="s">
        <v>41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18" t="s">
        <v>41</v>
      </c>
      <c r="K7" s="2" t="s">
        <v>41</v>
      </c>
      <c r="L7" s="2" t="s">
        <v>41</v>
      </c>
      <c r="M7" s="3" t="s">
        <v>41</v>
      </c>
      <c r="O7" s="9" t="s">
        <v>41</v>
      </c>
    </row>
    <row r="8" spans="1:16" x14ac:dyDescent="0.25">
      <c r="A8" s="17" t="s">
        <v>64</v>
      </c>
      <c r="B8" s="2"/>
      <c r="C8" s="2"/>
      <c r="D8" s="2"/>
      <c r="E8" s="2"/>
      <c r="F8" s="2"/>
      <c r="G8" s="2"/>
      <c r="H8" s="2"/>
      <c r="I8" s="2"/>
      <c r="J8" s="26">
        <f>J12+J13</f>
        <v>223</v>
      </c>
      <c r="K8" s="26">
        <f>K12+K13</f>
        <v>207.66666666666669</v>
      </c>
      <c r="L8" s="26">
        <f>L12+L13</f>
        <v>214.39999999999998</v>
      </c>
      <c r="M8" s="28">
        <f>+M12+M13</f>
        <v>177.5</v>
      </c>
      <c r="O8" s="27">
        <f>AVERAGE(B8:M8)</f>
        <v>205.64166666666665</v>
      </c>
    </row>
    <row r="9" spans="1:16" x14ac:dyDescent="0.25">
      <c r="A9" s="6" t="s">
        <v>53</v>
      </c>
      <c r="B9" s="2"/>
      <c r="C9" s="2"/>
      <c r="D9" s="2"/>
      <c r="E9" s="18">
        <v>204</v>
      </c>
      <c r="F9" s="2"/>
      <c r="G9" s="2"/>
      <c r="H9" s="2"/>
      <c r="I9" s="2"/>
      <c r="J9" s="26">
        <f>AVERAGE(300,150,275,325)</f>
        <v>262.5</v>
      </c>
      <c r="K9" s="2"/>
      <c r="L9" s="26">
        <f>AVERAGE(105,505)</f>
        <v>305</v>
      </c>
      <c r="M9" s="26">
        <v>350</v>
      </c>
      <c r="O9" s="27">
        <f>AVERAGE(B9:M9)</f>
        <v>280.375</v>
      </c>
    </row>
    <row r="10" spans="1:16" x14ac:dyDescent="0.25">
      <c r="A10" s="6" t="s">
        <v>55</v>
      </c>
      <c r="B10" s="2"/>
      <c r="C10" s="2"/>
      <c r="D10" s="2"/>
      <c r="E10" s="2"/>
      <c r="F10" s="26">
        <f t="shared" ref="F10:K10" si="0">F6-F15-F16</f>
        <v>273.10000000000002</v>
      </c>
      <c r="G10" s="26">
        <f t="shared" si="0"/>
        <v>268.5</v>
      </c>
      <c r="H10" s="26">
        <f t="shared" si="0"/>
        <v>242.99999999999997</v>
      </c>
      <c r="I10" s="26">
        <f t="shared" si="0"/>
        <v>228.66666666666669</v>
      </c>
      <c r="J10" s="26">
        <f t="shared" si="0"/>
        <v>309</v>
      </c>
      <c r="K10" s="26">
        <f t="shared" si="0"/>
        <v>267</v>
      </c>
      <c r="L10" s="26">
        <f>L6-L15-L16</f>
        <v>296.2</v>
      </c>
      <c r="M10" s="28">
        <f>M6-M15-M16</f>
        <v>309.5</v>
      </c>
      <c r="O10" s="27">
        <f>AVERAGE(B10:M10)</f>
        <v>274.37083333333334</v>
      </c>
    </row>
    <row r="11" spans="1:16" s="39" customFormat="1" x14ac:dyDescent="0.25">
      <c r="A11" s="30" t="s">
        <v>57</v>
      </c>
      <c r="B11" s="31"/>
      <c r="C11" s="31"/>
      <c r="D11" s="31"/>
      <c r="E11" s="31"/>
      <c r="F11" s="32"/>
      <c r="G11" s="32"/>
      <c r="H11" s="32"/>
      <c r="I11" s="32"/>
      <c r="J11" s="32"/>
      <c r="K11" s="32"/>
      <c r="L11" s="32"/>
      <c r="M11" s="33"/>
      <c r="O11" s="34"/>
    </row>
    <row r="12" spans="1:16" x14ac:dyDescent="0.25">
      <c r="A12" s="6" t="s">
        <v>56</v>
      </c>
      <c r="B12" s="2"/>
      <c r="C12" s="2"/>
      <c r="D12" s="2"/>
      <c r="E12" s="2"/>
      <c r="G12" s="26">
        <f>AVERAGE(58,44)</f>
        <v>51</v>
      </c>
      <c r="H12" s="2"/>
      <c r="I12" s="2"/>
      <c r="J12" s="18">
        <f>AVERAGE(150,(221-75))</f>
        <v>148</v>
      </c>
      <c r="K12" s="26">
        <f>AVERAGE(158,129,96)</f>
        <v>127.66666666666667</v>
      </c>
      <c r="L12" s="26">
        <f>AVERAGE(142,140,147,131,136)</f>
        <v>139.19999999999999</v>
      </c>
      <c r="M12" s="28">
        <f>AVERAGE(119,106)</f>
        <v>112.5</v>
      </c>
      <c r="O12" s="27">
        <f>AVERAGE(B12:M12)</f>
        <v>115.67333333333333</v>
      </c>
      <c r="P12" s="62">
        <f>+(O12+O13)/O6</f>
        <v>0.55047897281113056</v>
      </c>
    </row>
    <row r="13" spans="1:16" x14ac:dyDescent="0.25">
      <c r="A13" s="6" t="s">
        <v>52</v>
      </c>
      <c r="B13" s="2"/>
      <c r="C13" s="2"/>
      <c r="D13" s="2"/>
      <c r="E13" s="2"/>
      <c r="F13" s="2"/>
      <c r="G13" s="2"/>
      <c r="H13" s="2"/>
      <c r="I13" s="2"/>
      <c r="J13" s="18">
        <f>AVERAGE(75,75)</f>
        <v>75</v>
      </c>
      <c r="K13" s="18">
        <f>AVERAGE(83,87,70)</f>
        <v>80</v>
      </c>
      <c r="L13" s="26">
        <f>AVERAGE(78,76,72,76,74)</f>
        <v>75.2</v>
      </c>
      <c r="M13" s="19">
        <f>AVERAGE(75,55)</f>
        <v>65</v>
      </c>
      <c r="O13" s="27">
        <f>AVERAGE(B13:M13)</f>
        <v>73.8</v>
      </c>
      <c r="P13" s="62"/>
    </row>
    <row r="14" spans="1:16" x14ac:dyDescent="0.25">
      <c r="A14" s="17" t="s">
        <v>24</v>
      </c>
      <c r="B14" s="2"/>
      <c r="C14" s="2"/>
      <c r="D14" s="2"/>
      <c r="E14" s="2"/>
      <c r="F14" s="18">
        <v>165</v>
      </c>
      <c r="G14" s="2"/>
      <c r="H14" s="2"/>
      <c r="I14" s="2"/>
      <c r="J14" s="2"/>
      <c r="K14" s="2"/>
      <c r="L14" s="18">
        <v>203</v>
      </c>
      <c r="M14" s="3"/>
      <c r="O14" s="27">
        <f t="shared" ref="O14:O19" si="1">AVERAGE(B14:M14)</f>
        <v>184</v>
      </c>
      <c r="P14" s="41">
        <f>O14/O6</f>
        <v>0.53457723688776615</v>
      </c>
    </row>
    <row r="15" spans="1:16" x14ac:dyDescent="0.25">
      <c r="A15" s="17" t="s">
        <v>59</v>
      </c>
      <c r="B15" s="2"/>
      <c r="C15" s="2"/>
      <c r="D15" s="2"/>
      <c r="E15" s="2"/>
      <c r="F15" s="26">
        <f>AVERAGE(65,59,60,58)</f>
        <v>60.5</v>
      </c>
      <c r="G15" s="26">
        <f>AVERAGE(68,70,58,54)</f>
        <v>62.5</v>
      </c>
      <c r="H15" s="26">
        <f>AVERAGE(48,71,47)</f>
        <v>55.333333333333336</v>
      </c>
      <c r="I15" s="26">
        <f>AVERAGE(49,48,54)</f>
        <v>50.333333333333336</v>
      </c>
      <c r="J15" s="26">
        <f>AVERAGE(58,80,87,61)</f>
        <v>71.5</v>
      </c>
      <c r="K15" s="26">
        <f>AVERAGE(90,64,70,58)</f>
        <v>70.5</v>
      </c>
      <c r="L15" s="26">
        <f>AVERAGE(76,77,77,76,74)</f>
        <v>76</v>
      </c>
      <c r="M15" s="28">
        <f>AVERAGE(69,53,90,24)</f>
        <v>59</v>
      </c>
      <c r="O15" s="27">
        <f t="shared" si="1"/>
        <v>63.208333333333336</v>
      </c>
      <c r="P15" s="41">
        <f>(O15+O16)/O6</f>
        <v>0.22399343076885828</v>
      </c>
    </row>
    <row r="16" spans="1:16" x14ac:dyDescent="0.25">
      <c r="A16" s="17" t="s">
        <v>50</v>
      </c>
      <c r="B16" s="2"/>
      <c r="C16" s="2"/>
      <c r="D16" s="2"/>
      <c r="E16" s="2"/>
      <c r="F16" s="26">
        <f>AVERAGE(14,11,14,9)</f>
        <v>12</v>
      </c>
      <c r="G16" s="26">
        <f>AVERAGE(9,13,8,13)</f>
        <v>10.75</v>
      </c>
      <c r="H16" s="26">
        <f>AVERAGE(13,14,9)</f>
        <v>12</v>
      </c>
      <c r="I16" s="26">
        <f>AVERAGE(15,14,15)</f>
        <v>14.666666666666666</v>
      </c>
      <c r="J16" s="26">
        <f>AVERAGE(19,13,15,14)</f>
        <v>15.25</v>
      </c>
      <c r="K16" s="26">
        <f>AVERAGE(20,10,18,10)</f>
        <v>14.5</v>
      </c>
      <c r="L16" s="26">
        <f>AVERAGE(21,11,19,15,15)</f>
        <v>16.2</v>
      </c>
      <c r="M16" s="28">
        <f>AVERAGE(12,22,25,4)</f>
        <v>15.75</v>
      </c>
      <c r="O16" s="27">
        <f t="shared" si="1"/>
        <v>13.889583333333333</v>
      </c>
    </row>
    <row r="17" spans="1:15" x14ac:dyDescent="0.25">
      <c r="A17" s="6" t="s">
        <v>51</v>
      </c>
      <c r="B17" s="2"/>
      <c r="C17" s="2"/>
      <c r="D17" s="2"/>
      <c r="E17" s="2"/>
      <c r="F17" s="26">
        <f>AVERAGE(6,7,9,15,17)</f>
        <v>10.8</v>
      </c>
      <c r="G17" s="26">
        <f>AVERAGE(11,9,3,7)</f>
        <v>7.5</v>
      </c>
      <c r="H17" s="26">
        <f>AVERAGE(6,13,5)</f>
        <v>8</v>
      </c>
      <c r="I17" s="26">
        <f>AVERAGE(6,8,6)</f>
        <v>6.666666666666667</v>
      </c>
      <c r="J17" s="26">
        <f>AVERAGE(7,5)</f>
        <v>6</v>
      </c>
      <c r="K17" s="26">
        <f>AVERAGE(17,6,4)</f>
        <v>9</v>
      </c>
      <c r="L17" s="26">
        <f>AVERAGE(5,10,10,5,8)</f>
        <v>7.6</v>
      </c>
      <c r="M17" s="28">
        <f>AVERAGE(22,22,90,8)</f>
        <v>35.5</v>
      </c>
      <c r="O17" s="27">
        <f t="shared" si="1"/>
        <v>11.383333333333333</v>
      </c>
    </row>
    <row r="18" spans="1:15" x14ac:dyDescent="0.25">
      <c r="A18" s="6" t="s">
        <v>28</v>
      </c>
      <c r="B18" s="2"/>
      <c r="C18" s="2"/>
      <c r="D18" s="2"/>
      <c r="E18" s="2"/>
      <c r="F18" s="18">
        <v>33</v>
      </c>
      <c r="G18" s="18">
        <v>35</v>
      </c>
      <c r="H18" s="2"/>
      <c r="I18" s="2"/>
      <c r="J18" s="2"/>
      <c r="K18" s="2"/>
      <c r="L18" s="18">
        <v>39</v>
      </c>
      <c r="M18" s="28">
        <f>AVERAGE(42,60)</f>
        <v>51</v>
      </c>
      <c r="O18" s="27">
        <f t="shared" si="1"/>
        <v>39.5</v>
      </c>
    </row>
    <row r="19" spans="1:15" x14ac:dyDescent="0.25">
      <c r="A19" s="6" t="s">
        <v>29</v>
      </c>
      <c r="B19" s="2"/>
      <c r="C19" s="2"/>
      <c r="D19" s="2"/>
      <c r="E19" s="2"/>
      <c r="F19" s="18">
        <v>33</v>
      </c>
      <c r="G19" s="18">
        <v>20</v>
      </c>
      <c r="H19" s="2"/>
      <c r="I19" s="2"/>
      <c r="J19" s="2"/>
      <c r="K19" s="2"/>
      <c r="L19" s="18">
        <v>35</v>
      </c>
      <c r="M19" s="19">
        <v>35</v>
      </c>
      <c r="O19" s="27">
        <f t="shared" si="1"/>
        <v>30.75</v>
      </c>
    </row>
    <row r="20" spans="1:15" hidden="1" x14ac:dyDescent="0.25">
      <c r="A20" s="6" t="s">
        <v>30</v>
      </c>
      <c r="B20" s="2" t="s">
        <v>41</v>
      </c>
      <c r="C20" s="2" t="s">
        <v>41</v>
      </c>
      <c r="D20" s="2" t="s">
        <v>41</v>
      </c>
      <c r="E20" s="2" t="s">
        <v>41</v>
      </c>
      <c r="F20" s="2" t="s">
        <v>41</v>
      </c>
      <c r="G20" s="2" t="s">
        <v>41</v>
      </c>
      <c r="H20" s="2" t="s">
        <v>41</v>
      </c>
      <c r="I20" s="2" t="s">
        <v>41</v>
      </c>
      <c r="J20" s="2" t="s">
        <v>41</v>
      </c>
      <c r="K20" s="2" t="s">
        <v>41</v>
      </c>
      <c r="L20" s="2" t="s">
        <v>41</v>
      </c>
      <c r="M20" s="3" t="s">
        <v>41</v>
      </c>
      <c r="O20" s="9" t="s">
        <v>41</v>
      </c>
    </row>
    <row r="21" spans="1:15" hidden="1" x14ac:dyDescent="0.25">
      <c r="A21" s="6" t="s">
        <v>31</v>
      </c>
      <c r="B21" s="2" t="s">
        <v>41</v>
      </c>
      <c r="C21" s="2" t="s">
        <v>41</v>
      </c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41</v>
      </c>
      <c r="K21" s="2" t="s">
        <v>41</v>
      </c>
      <c r="L21" s="2" t="s">
        <v>41</v>
      </c>
      <c r="M21" s="3" t="s">
        <v>41</v>
      </c>
      <c r="O21" s="9" t="s">
        <v>41</v>
      </c>
    </row>
    <row r="22" spans="1:15" s="39" customFormat="1" x14ac:dyDescent="0.25">
      <c r="A22" s="42" t="s">
        <v>61</v>
      </c>
      <c r="B22" s="26">
        <f>AVERAGE(16,41,38,44)</f>
        <v>34.75</v>
      </c>
      <c r="C22" s="26">
        <f>AVERAGE(38,35,31)</f>
        <v>34.666666666666664</v>
      </c>
      <c r="D22" s="26">
        <f>AVERAGE(48,31,43,35)</f>
        <v>39.25</v>
      </c>
      <c r="E22" s="26">
        <f>AVERAGE(41,48,41,27,28)</f>
        <v>37</v>
      </c>
      <c r="F22" s="26">
        <f>AVERAGE(28,31,30,40)</f>
        <v>32.25</v>
      </c>
      <c r="G22" s="26">
        <f>AVERAGE(40,31,38,16,29)</f>
        <v>30.8</v>
      </c>
      <c r="H22" s="26">
        <f>AVERAGE(34,32,35)</f>
        <v>33.666666666666664</v>
      </c>
      <c r="I22" s="26">
        <f>AVERAGE(38,45,27,36)</f>
        <v>36.5</v>
      </c>
      <c r="J22" s="26">
        <f>AVERAGE(31,19,30,27,22)</f>
        <v>25.8</v>
      </c>
      <c r="K22" s="26">
        <f>AVERAGE(27,34,33,25)</f>
        <v>29.75</v>
      </c>
      <c r="L22" s="26">
        <f>AVERAGE(28,31,28)</f>
        <v>29</v>
      </c>
      <c r="M22" s="26">
        <f>AVERAGE(33,36,51)</f>
        <v>40</v>
      </c>
      <c r="O22" s="27">
        <f>AVERAGE(B22:M22)</f>
        <v>33.619444444444447</v>
      </c>
    </row>
    <row r="23" spans="1:15" s="39" customFormat="1" x14ac:dyDescent="0.25">
      <c r="A23" s="42" t="s">
        <v>62</v>
      </c>
      <c r="B23" s="26">
        <f>AVERAGE(25,25,25)</f>
        <v>25</v>
      </c>
      <c r="C23" s="26">
        <f>AVERAGE(25,25,25)</f>
        <v>25</v>
      </c>
      <c r="D23" s="2"/>
      <c r="E23" s="2"/>
      <c r="F23" s="2"/>
      <c r="G23" s="2"/>
      <c r="H23" s="2"/>
      <c r="I23" s="2"/>
      <c r="J23" s="2"/>
      <c r="K23" s="2"/>
      <c r="L23" s="26">
        <f>AVERAGE(47,46,44,37)</f>
        <v>43.5</v>
      </c>
      <c r="M23" s="26">
        <f>AVERAGE(46,46)</f>
        <v>46</v>
      </c>
      <c r="O23" s="27">
        <f>AVERAGE(B23:M23)</f>
        <v>34.875</v>
      </c>
    </row>
    <row r="24" spans="1:15" x14ac:dyDescent="0.25">
      <c r="A24" s="17" t="s">
        <v>49</v>
      </c>
      <c r="B24" s="18"/>
      <c r="C24" s="18"/>
      <c r="D24" s="18">
        <v>239</v>
      </c>
      <c r="E24" s="18"/>
      <c r="F24" s="18"/>
      <c r="G24" s="18">
        <f>+D24+G25-G26</f>
        <v>241</v>
      </c>
      <c r="H24" s="18"/>
      <c r="I24" s="18"/>
      <c r="J24" s="18"/>
      <c r="K24" s="18"/>
      <c r="L24" s="18">
        <v>245</v>
      </c>
      <c r="M24" s="19"/>
      <c r="O24" s="21">
        <f>+L24</f>
        <v>245</v>
      </c>
    </row>
    <row r="25" spans="1:15" x14ac:dyDescent="0.25">
      <c r="A25" s="17" t="s">
        <v>32</v>
      </c>
      <c r="B25" s="2"/>
      <c r="C25" s="2"/>
      <c r="D25" s="18">
        <v>15</v>
      </c>
      <c r="E25" s="2"/>
      <c r="F25" s="2"/>
      <c r="G25" s="18">
        <v>4</v>
      </c>
      <c r="H25" s="2"/>
      <c r="I25" s="2"/>
      <c r="J25" s="2"/>
      <c r="K25" s="2"/>
      <c r="L25" s="18">
        <v>7</v>
      </c>
      <c r="M25" s="3"/>
      <c r="O25" s="21">
        <f t="shared" ref="O25:O40" si="2">SUM(A25:N25)</f>
        <v>26</v>
      </c>
    </row>
    <row r="26" spans="1:15" x14ac:dyDescent="0.25">
      <c r="A26" s="17" t="s">
        <v>33</v>
      </c>
      <c r="B26" s="2"/>
      <c r="C26" s="2"/>
      <c r="D26" s="18">
        <v>10</v>
      </c>
      <c r="E26" s="2"/>
      <c r="F26" s="2"/>
      <c r="G26" s="18">
        <v>2</v>
      </c>
      <c r="H26" s="2"/>
      <c r="I26" s="2"/>
      <c r="J26" s="2"/>
      <c r="K26" s="2"/>
      <c r="L26" s="18">
        <v>3</v>
      </c>
      <c r="M26" s="3"/>
      <c r="O26" s="21">
        <f t="shared" si="2"/>
        <v>15</v>
      </c>
    </row>
    <row r="27" spans="1:15" hidden="1" x14ac:dyDescent="0.25">
      <c r="A27" s="6" t="s">
        <v>34</v>
      </c>
      <c r="B27" s="23"/>
      <c r="C27" s="23"/>
      <c r="D27" s="23"/>
      <c r="E27" s="23"/>
      <c r="F27" s="23"/>
      <c r="G27" s="2"/>
      <c r="H27" s="2"/>
      <c r="I27" s="2"/>
      <c r="J27" s="2"/>
      <c r="K27" s="2"/>
      <c r="L27" s="2"/>
      <c r="M27" s="3"/>
      <c r="O27" s="9">
        <f t="shared" si="2"/>
        <v>0</v>
      </c>
    </row>
    <row r="28" spans="1:15" ht="15" customHeight="1" x14ac:dyDescent="0.25">
      <c r="A28" s="47" t="s">
        <v>35</v>
      </c>
      <c r="B28" s="18"/>
      <c r="C28" s="18"/>
      <c r="D28" s="18"/>
      <c r="E28" s="18">
        <v>3</v>
      </c>
      <c r="F28" s="18"/>
      <c r="G28" s="18"/>
      <c r="H28" s="18"/>
      <c r="I28" s="18"/>
      <c r="J28" s="18"/>
      <c r="K28" s="18"/>
      <c r="L28" s="18"/>
      <c r="M28" s="19">
        <f>2+1</f>
        <v>3</v>
      </c>
      <c r="O28" s="21">
        <f t="shared" si="2"/>
        <v>6</v>
      </c>
    </row>
    <row r="29" spans="1:15" x14ac:dyDescent="0.25">
      <c r="A29" s="47" t="s">
        <v>36</v>
      </c>
      <c r="B29" s="18"/>
      <c r="C29" s="18"/>
      <c r="D29" s="18"/>
      <c r="E29" s="18">
        <v>3</v>
      </c>
      <c r="F29" s="18"/>
      <c r="G29" s="18"/>
      <c r="H29" s="18"/>
      <c r="I29" s="18"/>
      <c r="J29" s="18"/>
      <c r="K29" s="18"/>
      <c r="L29" s="18">
        <v>2</v>
      </c>
      <c r="M29" s="19">
        <v>1</v>
      </c>
      <c r="O29" s="21">
        <f t="shared" si="2"/>
        <v>6</v>
      </c>
    </row>
    <row r="30" spans="1:15" hidden="1" x14ac:dyDescent="0.25">
      <c r="A30" s="7" t="s">
        <v>37</v>
      </c>
      <c r="B30" s="23"/>
      <c r="C30" s="23"/>
      <c r="D30" s="23"/>
      <c r="E30" s="23"/>
      <c r="F30" s="23"/>
      <c r="G30" s="18"/>
      <c r="H30" s="2"/>
      <c r="I30" s="2"/>
      <c r="J30" s="2"/>
      <c r="K30" s="2"/>
      <c r="L30" s="18"/>
      <c r="M30" s="3"/>
      <c r="O30" s="21">
        <f t="shared" si="2"/>
        <v>0</v>
      </c>
    </row>
    <row r="31" spans="1:15" x14ac:dyDescent="0.25">
      <c r="A31" s="17" t="s">
        <v>60</v>
      </c>
      <c r="B31" s="18"/>
      <c r="C31" s="18">
        <v>1</v>
      </c>
      <c r="D31" s="18"/>
      <c r="E31" s="18"/>
      <c r="F31" s="18"/>
      <c r="G31" s="18"/>
      <c r="H31" s="18">
        <v>2</v>
      </c>
      <c r="I31" s="18">
        <v>1</v>
      </c>
      <c r="J31" s="18">
        <v>1</v>
      </c>
      <c r="K31" s="18">
        <v>1</v>
      </c>
      <c r="L31" s="18"/>
      <c r="M31" s="3"/>
      <c r="O31" s="21">
        <f t="shared" si="2"/>
        <v>6</v>
      </c>
    </row>
    <row r="32" spans="1:15" x14ac:dyDescent="0.25">
      <c r="A32" s="17" t="s">
        <v>39</v>
      </c>
      <c r="B32" s="18">
        <v>1</v>
      </c>
      <c r="C32" s="18">
        <v>1</v>
      </c>
      <c r="D32" s="18"/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/>
      <c r="K32" s="18"/>
      <c r="L32" s="18"/>
      <c r="M32" s="19">
        <v>1</v>
      </c>
      <c r="O32" s="21">
        <f t="shared" si="2"/>
        <v>8</v>
      </c>
    </row>
    <row r="33" spans="1:15" x14ac:dyDescent="0.25">
      <c r="A33" s="17" t="s">
        <v>40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>
        <v>1</v>
      </c>
      <c r="O33" s="21">
        <f t="shared" si="2"/>
        <v>1</v>
      </c>
    </row>
    <row r="34" spans="1:15" x14ac:dyDescent="0.25">
      <c r="A34" s="17" t="s">
        <v>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O34" s="21">
        <f t="shared" si="2"/>
        <v>0</v>
      </c>
    </row>
    <row r="35" spans="1:15" x14ac:dyDescent="0.25">
      <c r="A35" s="43" t="s">
        <v>65</v>
      </c>
      <c r="B35" s="18">
        <v>841</v>
      </c>
      <c r="C35" s="18">
        <v>834</v>
      </c>
      <c r="D35" s="18">
        <v>894</v>
      </c>
      <c r="E35" s="18">
        <v>745</v>
      </c>
      <c r="F35" s="18">
        <v>917</v>
      </c>
      <c r="G35" s="18">
        <v>697</v>
      </c>
      <c r="H35" s="18">
        <v>638</v>
      </c>
      <c r="I35" s="18">
        <v>696</v>
      </c>
      <c r="J35" s="18">
        <v>657</v>
      </c>
      <c r="K35" s="18">
        <v>822</v>
      </c>
      <c r="L35" s="18">
        <v>733</v>
      </c>
      <c r="M35" s="18">
        <v>924</v>
      </c>
      <c r="O35" s="21">
        <f t="shared" si="2"/>
        <v>9398</v>
      </c>
    </row>
    <row r="36" spans="1:15" x14ac:dyDescent="0.25">
      <c r="A36" s="6" t="s">
        <v>54</v>
      </c>
      <c r="B36" s="18"/>
      <c r="C36" s="18"/>
      <c r="D36" s="18"/>
      <c r="E36" s="18"/>
      <c r="F36" s="18"/>
      <c r="G36" s="2"/>
      <c r="H36" s="2"/>
      <c r="I36" s="2"/>
      <c r="J36" s="2"/>
      <c r="K36" s="2"/>
      <c r="L36" s="2"/>
      <c r="M36" s="3"/>
      <c r="O36" s="9">
        <f t="shared" si="2"/>
        <v>0</v>
      </c>
    </row>
    <row r="37" spans="1:15" x14ac:dyDescent="0.25">
      <c r="A37" s="17" t="s">
        <v>44</v>
      </c>
      <c r="B37" s="26">
        <f>500000/52*4</f>
        <v>38461.538461538461</v>
      </c>
      <c r="C37" s="26">
        <f>500000/52*4</f>
        <v>38461.538461538461</v>
      </c>
      <c r="D37" s="26">
        <f>500000/52*5</f>
        <v>48076.923076923078</v>
      </c>
      <c r="E37" s="26">
        <f>500000/52*4</f>
        <v>38461.538461538461</v>
      </c>
      <c r="F37" s="26">
        <f>500000/52*5</f>
        <v>48076.923076923078</v>
      </c>
      <c r="G37" s="26">
        <f>500000/52*4</f>
        <v>38461.538461538461</v>
      </c>
      <c r="H37" s="26">
        <f>500000/52*4</f>
        <v>38461.538461538461</v>
      </c>
      <c r="I37" s="26">
        <f>500000/52*5</f>
        <v>48076.923076923078</v>
      </c>
      <c r="J37" s="26">
        <f>500000/52*4</f>
        <v>38461.538461538461</v>
      </c>
      <c r="K37" s="26">
        <f>500000/52*4</f>
        <v>38461.538461538461</v>
      </c>
      <c r="L37" s="26">
        <f>500000/52*5</f>
        <v>48076.923076923078</v>
      </c>
      <c r="M37" s="28">
        <f>500000/52*4</f>
        <v>38461.538461538461</v>
      </c>
      <c r="O37" s="21">
        <f t="shared" si="2"/>
        <v>499999.99999999994</v>
      </c>
    </row>
    <row r="38" spans="1:15" x14ac:dyDescent="0.25">
      <c r="A38" s="17" t="s">
        <v>45</v>
      </c>
      <c r="B38" s="18">
        <f>9227+5231+11859+4488</f>
        <v>30805</v>
      </c>
      <c r="C38" s="18">
        <f>9196+5289+10475+5140</f>
        <v>30100</v>
      </c>
      <c r="D38" s="18">
        <f>11309+6390+13012+5847+5608</f>
        <v>42166</v>
      </c>
      <c r="E38" s="18">
        <f>9080+6448+12606+5731</f>
        <v>33865</v>
      </c>
      <c r="F38" s="18">
        <f>9438+3950+14056+5821+5923</f>
        <v>39188</v>
      </c>
      <c r="G38" s="18">
        <f>12890+5445+12316+5240</f>
        <v>35891</v>
      </c>
      <c r="H38" s="18">
        <f>10954+4396+12103+3553</f>
        <v>31006</v>
      </c>
      <c r="I38" s="18">
        <f>9688+5918+9740+3916+5622</f>
        <v>34884</v>
      </c>
      <c r="J38" s="18">
        <f>12191+5499+12482+5177</f>
        <v>35349</v>
      </c>
      <c r="K38" s="18">
        <f>11958+11577+15973+4526</f>
        <v>44034</v>
      </c>
      <c r="L38" s="18">
        <f>11185+5617+11380+6819+6189</f>
        <v>41190</v>
      </c>
      <c r="M38" s="19">
        <f>14265+10157+22103+13415</f>
        <v>59940</v>
      </c>
      <c r="O38" s="21">
        <f t="shared" si="2"/>
        <v>458418</v>
      </c>
    </row>
    <row r="39" spans="1:15" s="39" customFormat="1" x14ac:dyDescent="0.25">
      <c r="A39" s="35" t="s">
        <v>58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O39" s="38"/>
    </row>
    <row r="40" spans="1:15" ht="15.75" thickBot="1" x14ac:dyDescent="0.3">
      <c r="A40" s="22" t="s">
        <v>46</v>
      </c>
      <c r="B40" s="40">
        <f>E40</f>
        <v>13661.5</v>
      </c>
      <c r="C40" s="40">
        <f>E40</f>
        <v>13661.5</v>
      </c>
      <c r="D40" s="40">
        <f>E40</f>
        <v>13661.5</v>
      </c>
      <c r="E40" s="40">
        <f>54646/4</f>
        <v>13661.5</v>
      </c>
      <c r="F40" s="40">
        <f>67132-E40-D40-C40-B40</f>
        <v>12486</v>
      </c>
      <c r="G40" s="40">
        <f>77107-F40-E40-D40-C40-B40</f>
        <v>9975</v>
      </c>
      <c r="H40" s="40">
        <f>(100006-G40-F40-E40-D40-C40-B40)/2</f>
        <v>11449.5</v>
      </c>
      <c r="I40" s="40">
        <f>(100006-G40-F40-E40-H40-D40-C40-B40)</f>
        <v>11449.5</v>
      </c>
      <c r="J40" s="40">
        <f>111455-I40-H40-G40-F40-E40-D40-C40-B40</f>
        <v>11449</v>
      </c>
      <c r="K40" s="40">
        <f>+M40</f>
        <v>16704</v>
      </c>
      <c r="L40" s="40">
        <f>+M40</f>
        <v>16704</v>
      </c>
      <c r="M40" s="48">
        <f>(158410+3157-SUM(B40:J40))/3</f>
        <v>16704</v>
      </c>
      <c r="O40" s="29">
        <f t="shared" si="2"/>
        <v>161567</v>
      </c>
    </row>
    <row r="41" spans="1:15" ht="15.75" thickTop="1" x14ac:dyDescent="0.25"/>
  </sheetData>
  <mergeCells count="1">
    <mergeCell ref="P12:P13"/>
  </mergeCells>
  <pageMargins left="0.25" right="0.25" top="0.75" bottom="0.75" header="0.3" footer="0.3"/>
  <pageSetup paperSize="5" scale="9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O6" sqref="O6:O28"/>
    </sheetView>
  </sheetViews>
  <sheetFormatPr baseColWidth="10" defaultRowHeight="15" x14ac:dyDescent="0.25"/>
  <cols>
    <col min="1" max="1" width="49.28515625" customWidth="1"/>
    <col min="15" max="15" width="11.42578125" customWidth="1"/>
  </cols>
  <sheetData>
    <row r="1" spans="1:16" ht="18.75" x14ac:dyDescent="0.3">
      <c r="A1" s="16" t="s">
        <v>22</v>
      </c>
    </row>
    <row r="2" spans="1:16" ht="18.75" x14ac:dyDescent="0.3">
      <c r="A2" s="16" t="s">
        <v>0</v>
      </c>
    </row>
    <row r="3" spans="1:16" ht="18.75" x14ac:dyDescent="0.3">
      <c r="A3" s="16">
        <v>2014</v>
      </c>
    </row>
    <row r="4" spans="1:16" ht="15.75" thickBot="1" x14ac:dyDescent="0.3">
      <c r="A4" s="1"/>
    </row>
    <row r="5" spans="1:16" ht="15.75" thickTop="1" x14ac:dyDescent="0.25">
      <c r="A5" s="14"/>
      <c r="B5" s="11" t="s">
        <v>10</v>
      </c>
      <c r="C5" s="11" t="s">
        <v>11</v>
      </c>
      <c r="D5" s="11" t="s">
        <v>12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2" t="s">
        <v>9</v>
      </c>
      <c r="O5" s="13" t="s">
        <v>15</v>
      </c>
    </row>
    <row r="6" spans="1:16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/>
      <c r="O6" s="21">
        <v>330</v>
      </c>
      <c r="P6" t="s">
        <v>48</v>
      </c>
    </row>
    <row r="7" spans="1:16" x14ac:dyDescent="0.25">
      <c r="A7" s="6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O7" s="9" t="s">
        <v>41</v>
      </c>
    </row>
    <row r="8" spans="1:16" x14ac:dyDescent="0.25">
      <c r="A8" s="6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O8" s="9">
        <v>152</v>
      </c>
      <c r="P8" t="s">
        <v>48</v>
      </c>
    </row>
    <row r="9" spans="1:16" x14ac:dyDescent="0.25">
      <c r="A9" s="6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O9" s="9">
        <v>30</v>
      </c>
    </row>
    <row r="10" spans="1:16" x14ac:dyDescent="0.25">
      <c r="A10" s="6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O10" s="9">
        <v>20</v>
      </c>
    </row>
    <row r="11" spans="1:16" x14ac:dyDescent="0.25">
      <c r="A11" s="6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O11" s="9">
        <v>30</v>
      </c>
    </row>
    <row r="12" spans="1:16" x14ac:dyDescent="0.25">
      <c r="A12" s="6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O12" s="9">
        <v>50</v>
      </c>
    </row>
    <row r="13" spans="1:16" x14ac:dyDescent="0.25">
      <c r="A13" s="6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O13" s="9" t="s">
        <v>41</v>
      </c>
    </row>
    <row r="14" spans="1:16" x14ac:dyDescent="0.25">
      <c r="A14" s="6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O14" s="9" t="s">
        <v>41</v>
      </c>
    </row>
    <row r="15" spans="1:16" x14ac:dyDescent="0.25">
      <c r="A15" s="17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>
        <v>234</v>
      </c>
      <c r="P15" t="s">
        <v>42</v>
      </c>
    </row>
    <row r="16" spans="1:16" x14ac:dyDescent="0.25">
      <c r="A16" s="6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O16" s="9">
        <f t="shared" ref="O16:O25" si="0">SUM(A16:N16)</f>
        <v>0</v>
      </c>
      <c r="P16" t="s">
        <v>42</v>
      </c>
    </row>
    <row r="17" spans="1:16" x14ac:dyDescent="0.25">
      <c r="A17" s="6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O17" s="9">
        <f t="shared" si="0"/>
        <v>0</v>
      </c>
    </row>
    <row r="18" spans="1:16" x14ac:dyDescent="0.25">
      <c r="A18" s="6" t="s">
        <v>34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O18" s="9">
        <f t="shared" si="0"/>
        <v>0</v>
      </c>
    </row>
    <row r="19" spans="1:16" ht="15" customHeight="1" x14ac:dyDescent="0.25">
      <c r="A19" s="7" t="s">
        <v>35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O19" s="9">
        <f t="shared" si="0"/>
        <v>0</v>
      </c>
    </row>
    <row r="20" spans="1:16" x14ac:dyDescent="0.25">
      <c r="A20" s="7" t="s">
        <v>36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O20" s="9">
        <f t="shared" si="0"/>
        <v>0</v>
      </c>
    </row>
    <row r="21" spans="1:16" x14ac:dyDescent="0.25">
      <c r="A21" s="7" t="s">
        <v>37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O21" s="9">
        <f t="shared" si="0"/>
        <v>0</v>
      </c>
    </row>
    <row r="22" spans="1:16" x14ac:dyDescent="0.25">
      <c r="A22" s="6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O22" s="9">
        <f t="shared" si="0"/>
        <v>0</v>
      </c>
    </row>
    <row r="23" spans="1:16" x14ac:dyDescent="0.25">
      <c r="A23" s="6" t="s">
        <v>39</v>
      </c>
      <c r="B23" s="2">
        <v>1</v>
      </c>
      <c r="C23" s="2" t="s">
        <v>21</v>
      </c>
      <c r="D23" s="2" t="s">
        <v>19</v>
      </c>
      <c r="E23" s="2"/>
      <c r="F23" s="2" t="s">
        <v>17</v>
      </c>
      <c r="G23" s="2"/>
      <c r="H23" s="2" t="s">
        <v>18</v>
      </c>
      <c r="I23" s="2"/>
      <c r="J23" s="2"/>
      <c r="K23" s="2" t="s">
        <v>20</v>
      </c>
      <c r="L23" s="2"/>
      <c r="M23" s="3"/>
      <c r="O23" s="9">
        <v>7</v>
      </c>
    </row>
    <row r="24" spans="1:16" x14ac:dyDescent="0.25">
      <c r="A24" s="6" t="s">
        <v>40</v>
      </c>
      <c r="B24" s="2"/>
      <c r="C24" s="2"/>
      <c r="D24" s="2" t="s">
        <v>16</v>
      </c>
      <c r="E24" s="2"/>
      <c r="F24" s="2"/>
      <c r="G24" s="2"/>
      <c r="H24" s="2"/>
      <c r="I24" s="2"/>
      <c r="J24" s="2"/>
      <c r="K24" s="2"/>
      <c r="L24" s="2"/>
      <c r="M24" s="3"/>
      <c r="O24" s="9">
        <v>1</v>
      </c>
    </row>
    <row r="25" spans="1:16" x14ac:dyDescent="0.25">
      <c r="A25" s="6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O25" s="9">
        <f t="shared" si="0"/>
        <v>0</v>
      </c>
    </row>
    <row r="26" spans="1:16" x14ac:dyDescent="0.25">
      <c r="A26" s="17" t="s">
        <v>44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20"/>
      <c r="O26" s="24">
        <v>606401</v>
      </c>
      <c r="P26" t="s">
        <v>47</v>
      </c>
    </row>
    <row r="27" spans="1:16" x14ac:dyDescent="0.25">
      <c r="A27" s="17" t="s">
        <v>45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20"/>
      <c r="O27" s="24">
        <v>486109</v>
      </c>
      <c r="P27" t="s">
        <v>47</v>
      </c>
    </row>
    <row r="28" spans="1:16" ht="15.75" thickBot="1" x14ac:dyDescent="0.3">
      <c r="A28" s="22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O28" s="25">
        <v>157910</v>
      </c>
      <c r="P28" t="s">
        <v>47</v>
      </c>
    </row>
    <row r="29" spans="1:1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O11" sqref="O11"/>
    </sheetView>
  </sheetViews>
  <sheetFormatPr baseColWidth="10" defaultRowHeight="15" x14ac:dyDescent="0.25"/>
  <cols>
    <col min="1" max="1" width="49.28515625" customWidth="1"/>
    <col min="2" max="2" width="11.42578125" customWidth="1"/>
  </cols>
  <sheetData>
    <row r="1" spans="1:15" ht="18.75" x14ac:dyDescent="0.3">
      <c r="A1" s="15" t="s">
        <v>22</v>
      </c>
    </row>
    <row r="2" spans="1:15" ht="18.75" x14ac:dyDescent="0.3">
      <c r="A2" s="15" t="s">
        <v>0</v>
      </c>
      <c r="B2" s="15"/>
      <c r="C2" s="15"/>
      <c r="D2" s="15"/>
    </row>
    <row r="3" spans="1:15" ht="15.75" thickBot="1" x14ac:dyDescent="0.3">
      <c r="A3" s="1"/>
      <c r="B3" s="1"/>
    </row>
    <row r="4" spans="1:15" ht="15.75" thickTop="1" x14ac:dyDescent="0.25">
      <c r="A4" s="14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2" t="s">
        <v>12</v>
      </c>
      <c r="O4" s="13" t="s">
        <v>15</v>
      </c>
    </row>
    <row r="5" spans="1:15" x14ac:dyDescent="0.25">
      <c r="A5" s="6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O5" s="9">
        <v>229</v>
      </c>
    </row>
    <row r="6" spans="1:15" x14ac:dyDescent="0.25">
      <c r="A6" s="6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O6" s="9"/>
    </row>
    <row r="7" spans="1:15" x14ac:dyDescent="0.25">
      <c r="A7" s="6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>
        <v>146</v>
      </c>
      <c r="O7" s="9">
        <f t="shared" ref="O7:O24" si="0">SUM(B7:M7)</f>
        <v>146</v>
      </c>
    </row>
    <row r="8" spans="1:15" x14ac:dyDescent="0.25">
      <c r="A8" s="6" t="s">
        <v>25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O8" s="9">
        <f t="shared" si="0"/>
        <v>0</v>
      </c>
    </row>
    <row r="9" spans="1:15" x14ac:dyDescent="0.25">
      <c r="A9" s="6" t="s">
        <v>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O9" s="9">
        <v>10</v>
      </c>
    </row>
    <row r="10" spans="1:15" x14ac:dyDescent="0.25">
      <c r="A10" s="6" t="s">
        <v>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O10" s="9"/>
    </row>
    <row r="11" spans="1:15" x14ac:dyDescent="0.25">
      <c r="A11" s="6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21</v>
      </c>
      <c r="O11" s="9">
        <f t="shared" si="0"/>
        <v>21</v>
      </c>
    </row>
    <row r="12" spans="1:15" x14ac:dyDescent="0.25">
      <c r="A12" s="6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O12" s="9">
        <f>SUM(B12:M12)</f>
        <v>0</v>
      </c>
    </row>
    <row r="13" spans="1:15" x14ac:dyDescent="0.25">
      <c r="A13" s="6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O13" s="9">
        <f t="shared" si="0"/>
        <v>0</v>
      </c>
    </row>
    <row r="14" spans="1:15" x14ac:dyDescent="0.25">
      <c r="A14" s="6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222</v>
      </c>
      <c r="O14" s="9">
        <f t="shared" si="0"/>
        <v>222</v>
      </c>
    </row>
    <row r="15" spans="1:15" x14ac:dyDescent="0.25">
      <c r="A15" s="6" t="s">
        <v>32</v>
      </c>
      <c r="B15" s="2">
        <v>17</v>
      </c>
      <c r="C15" s="2"/>
      <c r="D15" s="2"/>
      <c r="E15" s="2"/>
      <c r="F15" s="2"/>
      <c r="G15" s="2"/>
      <c r="H15" s="2"/>
      <c r="I15" s="2"/>
      <c r="J15" s="2">
        <v>10</v>
      </c>
      <c r="K15" s="2"/>
      <c r="L15" s="2"/>
      <c r="M15" s="3"/>
      <c r="O15" s="9">
        <f t="shared" si="0"/>
        <v>27</v>
      </c>
    </row>
    <row r="16" spans="1:15" x14ac:dyDescent="0.25">
      <c r="A16" s="6" t="s">
        <v>33</v>
      </c>
      <c r="B16" s="2">
        <v>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O16" s="9">
        <f t="shared" si="0"/>
        <v>6</v>
      </c>
    </row>
    <row r="17" spans="1:15" x14ac:dyDescent="0.25">
      <c r="A17" s="6" t="s">
        <v>34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O17" s="9">
        <f t="shared" si="0"/>
        <v>0</v>
      </c>
    </row>
    <row r="18" spans="1:15" ht="15" customHeight="1" x14ac:dyDescent="0.25">
      <c r="A18" s="7" t="s">
        <v>35</v>
      </c>
      <c r="B18" s="2">
        <v>4</v>
      </c>
      <c r="C18" s="2"/>
      <c r="D18" s="2"/>
      <c r="E18" s="2"/>
      <c r="F18" s="2"/>
      <c r="G18" s="2"/>
      <c r="H18" s="2"/>
      <c r="I18" s="2">
        <v>4</v>
      </c>
      <c r="J18" s="2">
        <v>3</v>
      </c>
      <c r="K18" s="2"/>
      <c r="L18" s="2"/>
      <c r="M18" s="3"/>
      <c r="O18" s="9">
        <f t="shared" si="0"/>
        <v>11</v>
      </c>
    </row>
    <row r="19" spans="1:15" x14ac:dyDescent="0.25">
      <c r="A19" s="7" t="s">
        <v>36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O19" s="9">
        <f t="shared" si="0"/>
        <v>0</v>
      </c>
    </row>
    <row r="20" spans="1:15" x14ac:dyDescent="0.25">
      <c r="A20" s="7" t="s">
        <v>37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O20" s="9"/>
    </row>
    <row r="21" spans="1:15" x14ac:dyDescent="0.25">
      <c r="A21" s="6" t="s">
        <v>38</v>
      </c>
      <c r="B21" s="2"/>
      <c r="C21" s="2"/>
      <c r="D21" s="2"/>
      <c r="E21" s="2"/>
      <c r="F21" s="2">
        <v>1</v>
      </c>
      <c r="G21" s="2"/>
      <c r="H21" s="2"/>
      <c r="I21" s="2"/>
      <c r="J21" s="2"/>
      <c r="K21" s="2"/>
      <c r="L21" s="2"/>
      <c r="M21" s="3"/>
      <c r="O21" s="9">
        <f t="shared" si="0"/>
        <v>1</v>
      </c>
    </row>
    <row r="22" spans="1:15" x14ac:dyDescent="0.25">
      <c r="A22" s="6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>
        <v>1</v>
      </c>
      <c r="L22" s="2"/>
      <c r="M22" s="3"/>
      <c r="O22" s="9">
        <f>SUM(B22:M22)</f>
        <v>1</v>
      </c>
    </row>
    <row r="23" spans="1:15" x14ac:dyDescent="0.25">
      <c r="A23" s="6" t="s">
        <v>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 t="s">
        <v>16</v>
      </c>
      <c r="O23" s="9">
        <f t="shared" si="0"/>
        <v>0</v>
      </c>
    </row>
    <row r="24" spans="1:15" ht="15.75" thickBot="1" x14ac:dyDescent="0.3">
      <c r="A24" s="8" t="s">
        <v>14</v>
      </c>
      <c r="B24" s="4"/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5"/>
      <c r="O24" s="10">
        <f t="shared" si="0"/>
        <v>3</v>
      </c>
    </row>
    <row r="25" spans="1:1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S2017</vt:lpstr>
      <vt:lpstr>S2016</vt:lpstr>
      <vt:lpstr>S2015</vt:lpstr>
      <vt:lpstr>S2014</vt:lpstr>
      <vt:lpstr>S2013-2014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Église</dc:creator>
  <cp:lastModifiedBy>Luigi Pugliese</cp:lastModifiedBy>
  <cp:lastPrinted>2016-03-15T23:39:11Z</cp:lastPrinted>
  <dcterms:created xsi:type="dcterms:W3CDTF">2013-04-03T19:14:46Z</dcterms:created>
  <dcterms:modified xsi:type="dcterms:W3CDTF">2017-05-18T20:51:00Z</dcterms:modified>
</cp:coreProperties>
</file>