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DDS XLPE LT" sheetId="1" r:id="rId1"/>
    <sheet name="Data Base" sheetId="2" r:id="rId2"/>
  </sheets>
  <externalReferences>
    <externalReference r:id="rId5"/>
  </externalReferences>
  <definedNames>
    <definedName name="_xlnm.Print_Area" localSheetId="0">'DDS XLPE LT'!$A$1:$D$64</definedName>
  </definedNames>
  <calcPr fullCalcOnLoad="1"/>
</workbook>
</file>

<file path=xl/sharedStrings.xml><?xml version="1.0" encoding="utf-8"?>
<sst xmlns="http://schemas.openxmlformats.org/spreadsheetml/2006/main" count="189" uniqueCount="126">
  <si>
    <t>DRAFT DESIGN SHEET</t>
  </si>
  <si>
    <t>ENQUIRY NO:</t>
  </si>
  <si>
    <t>NRS/30010897/RM-Rev.01</t>
  </si>
  <si>
    <t>CABLE TYPE:</t>
  </si>
  <si>
    <t>2XWWY</t>
  </si>
  <si>
    <t>NO OF CORES X SIZE</t>
  </si>
  <si>
    <t>No x mm²</t>
  </si>
  <si>
    <t>3 x 185 COPPER</t>
  </si>
  <si>
    <t>VOLTAGE GRADE:</t>
  </si>
  <si>
    <t xml:space="preserve">kV </t>
  </si>
  <si>
    <t>0.65/1.1</t>
  </si>
  <si>
    <t>SPECIFICATION</t>
  </si>
  <si>
    <t>IS 7098  PT-1</t>
  </si>
  <si>
    <t>Dia. Over Inner Sheath</t>
  </si>
  <si>
    <t>mm</t>
  </si>
  <si>
    <t>ROUND WIRE ARMOUR</t>
  </si>
  <si>
    <t>Nos</t>
  </si>
  <si>
    <t>Lay &amp; Direction (L/R)</t>
  </si>
  <si>
    <t>L</t>
  </si>
  <si>
    <t>kg/km</t>
  </si>
  <si>
    <t>TAPE - MATERIAL</t>
  </si>
  <si>
    <t>PVC</t>
  </si>
  <si>
    <t>No of tapes</t>
  </si>
  <si>
    <t>H  R</t>
  </si>
  <si>
    <t>Width    x Thickness</t>
  </si>
  <si>
    <t>mm x mm</t>
  </si>
  <si>
    <t>Over lap (Direction of lapping)</t>
  </si>
  <si>
    <t>m/km</t>
  </si>
  <si>
    <t>R</t>
  </si>
  <si>
    <t>CU WIRE ARMOUR</t>
  </si>
  <si>
    <t>TINNED CU (W)</t>
  </si>
  <si>
    <t>Nominal wire diameter</t>
  </si>
  <si>
    <t>No of wires</t>
  </si>
  <si>
    <t xml:space="preserve">TAPE MATERIAL </t>
  </si>
  <si>
    <t>RCC</t>
  </si>
  <si>
    <t>Over lap  /  (Direction of lapping)</t>
  </si>
  <si>
    <t>Dia over MOPP Tape</t>
  </si>
  <si>
    <t>OUTER SHEATH</t>
  </si>
  <si>
    <t>Material</t>
  </si>
  <si>
    <t>FRLS PVC ST-2</t>
  </si>
  <si>
    <t>Nominal / (minimum) thickness</t>
  </si>
  <si>
    <t xml:space="preserve">     -   Maximum overall cable diameter</t>
  </si>
  <si>
    <t>W E I G H T S</t>
  </si>
  <si>
    <t>MAT CODE</t>
  </si>
  <si>
    <t>COPPER CONDUCTOR</t>
  </si>
  <si>
    <t>XLPE INSULATION</t>
  </si>
  <si>
    <t>MOPP TAPE LENGTH</t>
  </si>
  <si>
    <t>MOPP TAPE WEIGHT</t>
  </si>
  <si>
    <t>INNER SHEATH</t>
  </si>
  <si>
    <t>CABLE WEIGHT</t>
  </si>
  <si>
    <t>DRUM DETAIL</t>
  </si>
  <si>
    <t>DRUM SIZE</t>
  </si>
  <si>
    <t>SU 2614/14</t>
  </si>
  <si>
    <t>DRUM WEIGHT (Approx)</t>
  </si>
  <si>
    <t>KG</t>
  </si>
  <si>
    <t>DRUM LENGTH</t>
  </si>
  <si>
    <t>MTR.</t>
  </si>
  <si>
    <t>1200 ±  5 %</t>
  </si>
  <si>
    <t>ALUMINIUM</t>
  </si>
  <si>
    <t>LDPE</t>
  </si>
  <si>
    <t>MOPP</t>
  </si>
  <si>
    <t>COPPER</t>
  </si>
  <si>
    <t>FIBRILLATED FILLER</t>
  </si>
  <si>
    <t>FLAT STRIP ARMOUR</t>
  </si>
  <si>
    <t>TERENE</t>
  </si>
  <si>
    <t>CREPE PAPER</t>
  </si>
  <si>
    <t>PVC ST-2</t>
  </si>
  <si>
    <t>PRESSURE EXTRUDED PVC ST-2</t>
  </si>
  <si>
    <t>PRESSURE EXTRUDED FRLS PVC ST-2</t>
  </si>
  <si>
    <t>AREA</t>
  </si>
  <si>
    <t>DIA</t>
  </si>
  <si>
    <t>Construction</t>
  </si>
  <si>
    <t>WEIGHT</t>
  </si>
  <si>
    <t>7/1.74</t>
  </si>
  <si>
    <t>7/2.2</t>
  </si>
  <si>
    <t>7/2.61</t>
  </si>
  <si>
    <t>19/1.82</t>
  </si>
  <si>
    <t>19/2.20</t>
  </si>
  <si>
    <t>19/2.61</t>
  </si>
  <si>
    <t>36/2.11</t>
  </si>
  <si>
    <t>36/2.33</t>
  </si>
  <si>
    <t>36/2.61</t>
  </si>
  <si>
    <t>60/2.33</t>
  </si>
  <si>
    <t>59/2.61</t>
  </si>
  <si>
    <t>59/2.97</t>
  </si>
  <si>
    <t>60/3.32</t>
  </si>
  <si>
    <t>60/3.80</t>
  </si>
  <si>
    <t>36/3.60 + 23/3.50 + 30/3.40</t>
  </si>
  <si>
    <t>Aluminium</t>
  </si>
  <si>
    <t>7/1.70</t>
  </si>
  <si>
    <t>7/2.15</t>
  </si>
  <si>
    <t>7/2.55</t>
  </si>
  <si>
    <t>7/2.92</t>
  </si>
  <si>
    <t>19/2.15</t>
  </si>
  <si>
    <t>19/2.55</t>
  </si>
  <si>
    <t>19/2.84</t>
  </si>
  <si>
    <t>1/2.92 + 35/2.27</t>
  </si>
  <si>
    <t>36/2.55</t>
  </si>
  <si>
    <t>60/2.27</t>
  </si>
  <si>
    <t>59/2.55</t>
  </si>
  <si>
    <t>59/2.92</t>
  </si>
  <si>
    <t>60/3.25</t>
  </si>
  <si>
    <t>37/3.79 + 24/3.51</t>
  </si>
  <si>
    <t>87/3.44</t>
  </si>
  <si>
    <t>87/3.88</t>
  </si>
  <si>
    <t>88/4.2</t>
  </si>
  <si>
    <t>SELECTION OF BLIND CORE</t>
  </si>
  <si>
    <t>WEIGHT OF BLIND CORES</t>
  </si>
  <si>
    <t>CORE DIAMETER (mm)</t>
  </si>
  <si>
    <t>BLIND CORE DIA (mm)</t>
  </si>
  <si>
    <t>DIA OF BLIND CORE (mm) NOMINAL</t>
  </si>
  <si>
    <t>APPROX WEIGHT PER CORE (kg/km)</t>
  </si>
  <si>
    <t xml:space="preserve">ABOVE </t>
  </si>
  <si>
    <t>UPTO</t>
  </si>
  <si>
    <t>1 BIG</t>
  </si>
  <si>
    <t>2 SMALL</t>
  </si>
  <si>
    <t xml:space="preserve">SELECTION OF MOPP TAPE </t>
  </si>
  <si>
    <t>DIAMETER BELOW TAPE (mm)</t>
  </si>
  <si>
    <t>SIZE OF MOPP TAPE (mm X mm)</t>
  </si>
  <si>
    <t>X</t>
  </si>
  <si>
    <t>DENSITY CHART</t>
  </si>
  <si>
    <t xml:space="preserve"> G.S. (W)</t>
  </si>
  <si>
    <t>Extruded SEMICON</t>
  </si>
  <si>
    <t>EXTRUDED XLPE</t>
  </si>
  <si>
    <t>G.S. (F)</t>
  </si>
  <si>
    <t xml:space="preserve">SC WATER SWELLABLE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</si>
</sst>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&quot;x  &quot;0.00"/>
    <numFmt numFmtId="169" formatCode="0.0"/>
    <numFmt numFmtId="170" formatCode="&quot;x  &quot;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7"/>
      <name val="Verdana"/>
      <family val="2"/>
    </font>
    <font>
      <sz val="10"/>
      <name val="Verdana"/>
      <family val="2"/>
    </font>
    <font>
      <sz val="10"/>
      <color indexed="22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53"/>
      <name val="Verdana"/>
      <family val="2"/>
    </font>
    <font>
      <b/>
      <sz val="10"/>
      <color indexed="53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b/>
      <sz val="12"/>
      <color indexed="10"/>
      <name val="Arial"/>
      <family val="2"/>
    </font>
    <font>
      <b/>
      <sz val="12"/>
      <name val="Verdana"/>
      <family val="2"/>
    </font>
    <font>
      <b/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2" borderId="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164" fontId="7" fillId="0" borderId="0" xfId="0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4" xfId="0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 wrapText="1"/>
    </xf>
    <xf numFmtId="168" fontId="5" fillId="0" borderId="0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64" fontId="8" fillId="0" borderId="0" xfId="0" applyFont="1" applyBorder="1" applyAlignment="1">
      <alignment/>
    </xf>
    <xf numFmtId="164" fontId="5" fillId="0" borderId="4" xfId="0" applyNumberFormat="1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 wrapText="1"/>
    </xf>
    <xf numFmtId="164" fontId="9" fillId="0" borderId="0" xfId="0" applyFont="1" applyFill="1" applyBorder="1" applyAlignment="1">
      <alignment horizontal="center" vertical="center"/>
    </xf>
    <xf numFmtId="164" fontId="9" fillId="0" borderId="4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left" vertical="center" wrapText="1"/>
    </xf>
    <xf numFmtId="164" fontId="10" fillId="0" borderId="0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vertical="center" wrapText="1"/>
    </xf>
    <xf numFmtId="166" fontId="10" fillId="0" borderId="4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" vertical="center"/>
    </xf>
    <xf numFmtId="169" fontId="2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left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left" vertical="center"/>
    </xf>
    <xf numFmtId="166" fontId="8" fillId="0" borderId="0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/>
    </xf>
    <xf numFmtId="167" fontId="12" fillId="0" borderId="0" xfId="0" applyNumberFormat="1" applyFont="1" applyBorder="1" applyAlignment="1">
      <alignment horizontal="center" vertical="center"/>
    </xf>
    <xf numFmtId="164" fontId="2" fillId="0" borderId="7" xfId="0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horizontal="center" vertical="center" wrapText="1"/>
    </xf>
    <xf numFmtId="164" fontId="13" fillId="0" borderId="8" xfId="0" applyFont="1" applyBorder="1" applyAlignment="1">
      <alignment horizontal="center" vertical="center"/>
    </xf>
    <xf numFmtId="170" fontId="11" fillId="0" borderId="7" xfId="0" applyNumberFormat="1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5" fillId="0" borderId="7" xfId="0" applyFont="1" applyBorder="1" applyAlignment="1">
      <alignment horizontal="center" wrapText="1"/>
    </xf>
    <xf numFmtId="164" fontId="0" fillId="0" borderId="7" xfId="0" applyFont="1" applyBorder="1" applyAlignment="1">
      <alignment horizontal="center" wrapText="1"/>
    </xf>
    <xf numFmtId="164" fontId="0" fillId="0" borderId="7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/>
    </xf>
    <xf numFmtId="164" fontId="0" fillId="0" borderId="7" xfId="0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5" fillId="0" borderId="7" xfId="0" applyFont="1" applyBorder="1" applyAlignment="1">
      <alignment/>
    </xf>
    <xf numFmtId="164" fontId="0" fillId="0" borderId="7" xfId="0" applyBorder="1" applyAlignment="1">
      <alignment/>
    </xf>
    <xf numFmtId="164" fontId="2" fillId="0" borderId="7" xfId="0" applyFont="1" applyBorder="1" applyAlignment="1">
      <alignment/>
    </xf>
    <xf numFmtId="164" fontId="5" fillId="0" borderId="5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/>
    </xf>
    <xf numFmtId="164" fontId="5" fillId="0" borderId="7" xfId="0" applyFont="1" applyBorder="1" applyAlignment="1">
      <alignment horizontal="center"/>
    </xf>
    <xf numFmtId="164" fontId="5" fillId="0" borderId="7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ownloads\DDS%20for%20%20NRS30010844MS%20Rev%20(2)%20LT%20XL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DS"/>
      <sheetName val="Fictitious"/>
      <sheetName val="Data Base"/>
    </sheetNames>
    <sheetDataSet>
      <sheetData sheetId="2">
        <row r="87">
          <cell r="B87">
            <v>0</v>
          </cell>
          <cell r="C87">
            <v>10</v>
          </cell>
          <cell r="D87">
            <v>17</v>
          </cell>
          <cell r="E87" t="str">
            <v>X</v>
          </cell>
          <cell r="F87">
            <v>0.05</v>
          </cell>
        </row>
        <row r="88">
          <cell r="B88">
            <v>10.1</v>
          </cell>
          <cell r="C88">
            <v>20</v>
          </cell>
          <cell r="D88">
            <v>30</v>
          </cell>
          <cell r="E88" t="str">
            <v>X</v>
          </cell>
          <cell r="F88">
            <v>0.05</v>
          </cell>
        </row>
        <row r="89">
          <cell r="B89">
            <v>20.1</v>
          </cell>
          <cell r="C89">
            <v>35</v>
          </cell>
          <cell r="D89">
            <v>50</v>
          </cell>
          <cell r="E89" t="str">
            <v>X</v>
          </cell>
          <cell r="F89">
            <v>0.1</v>
          </cell>
        </row>
        <row r="90">
          <cell r="B90">
            <v>35.1</v>
          </cell>
          <cell r="C90">
            <v>55</v>
          </cell>
          <cell r="D90">
            <v>90</v>
          </cell>
          <cell r="E90" t="str">
            <v>X</v>
          </cell>
          <cell r="F90">
            <v>0.1</v>
          </cell>
        </row>
        <row r="91">
          <cell r="B91">
            <v>55.1</v>
          </cell>
          <cell r="D91">
            <v>100</v>
          </cell>
          <cell r="E91" t="str">
            <v>X</v>
          </cell>
          <cell r="F91">
            <v>0.1</v>
          </cell>
        </row>
        <row r="96">
          <cell r="B96" t="str">
            <v>Aluminium</v>
          </cell>
          <cell r="C96">
            <v>2.703</v>
          </cell>
        </row>
        <row r="97">
          <cell r="B97" t="str">
            <v>COPPER</v>
          </cell>
          <cell r="C97">
            <v>8.89</v>
          </cell>
        </row>
        <row r="98">
          <cell r="B98" t="str">
            <v>CREPE PAPER</v>
          </cell>
          <cell r="C98">
            <v>110</v>
          </cell>
        </row>
        <row r="99">
          <cell r="B99" t="str">
            <v>Extruded SEMICON</v>
          </cell>
          <cell r="C99">
            <v>1.17</v>
          </cell>
        </row>
        <row r="100">
          <cell r="B100" t="str">
            <v>EXTRUDED XLPE</v>
          </cell>
          <cell r="C100">
            <v>0.93</v>
          </cell>
        </row>
        <row r="101">
          <cell r="B101" t="str">
            <v>FIBRILLATED FILLER</v>
          </cell>
          <cell r="C101">
            <v>0.7</v>
          </cell>
        </row>
        <row r="102">
          <cell r="B102" t="str">
            <v>FRLS PVC ST-2</v>
          </cell>
          <cell r="C102">
            <v>1.5</v>
          </cell>
        </row>
        <row r="103">
          <cell r="B103" t="str">
            <v> G.S. (W)</v>
          </cell>
          <cell r="C103">
            <v>7.85</v>
          </cell>
        </row>
        <row r="104">
          <cell r="B104" t="str">
            <v>G.S. (F)</v>
          </cell>
          <cell r="C104">
            <v>7.85</v>
          </cell>
        </row>
        <row r="105">
          <cell r="B105" t="str">
            <v>LDPE</v>
          </cell>
          <cell r="C105">
            <v>0.9</v>
          </cell>
        </row>
        <row r="106">
          <cell r="B106" t="str">
            <v>MOPP</v>
          </cell>
          <cell r="C106">
            <v>0.9</v>
          </cell>
        </row>
        <row r="107">
          <cell r="B107" t="str">
            <v>PRESSURE EXTRUDED FRLS PVC ST-2</v>
          </cell>
          <cell r="C107">
            <v>1.5</v>
          </cell>
        </row>
        <row r="108">
          <cell r="B108" t="str">
            <v>PRESSURE EXTRUDED PVC ST-2</v>
          </cell>
          <cell r="C108">
            <v>1.5</v>
          </cell>
        </row>
        <row r="109">
          <cell r="B109" t="str">
            <v>PVC ST-2</v>
          </cell>
          <cell r="C109">
            <v>1.5</v>
          </cell>
        </row>
        <row r="110">
          <cell r="B110" t="str">
            <v>RCC</v>
          </cell>
          <cell r="C110">
            <v>0.5</v>
          </cell>
        </row>
        <row r="111">
          <cell r="B111" t="str">
            <v>SC WATER SWELLABLE </v>
          </cell>
          <cell r="C111">
            <v>128</v>
          </cell>
        </row>
        <row r="112">
          <cell r="B112" t="str">
            <v>PVC</v>
          </cell>
          <cell r="C112">
            <v>1.5</v>
          </cell>
        </row>
        <row r="113">
          <cell r="B113" t="str">
            <v>TERENE</v>
          </cell>
          <cell r="C113">
            <v>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66"/>
  <sheetViews>
    <sheetView tabSelected="1" view="pageBreakPreview" zoomScale="90" zoomScaleSheetLayoutView="90" workbookViewId="0" topLeftCell="A26">
      <selection activeCell="D40" sqref="D40"/>
    </sheetView>
  </sheetViews>
  <sheetFormatPr defaultColWidth="37.7109375" defaultRowHeight="22.5" customHeight="1"/>
  <cols>
    <col min="1" max="1" width="51.140625" style="1" customWidth="1"/>
    <col min="2" max="2" width="11.57421875" style="1" customWidth="1"/>
    <col min="3" max="3" width="33.7109375" style="1" customWidth="1"/>
    <col min="4" max="4" width="9.57421875" style="1" customWidth="1"/>
    <col min="5" max="16384" width="38.00390625" style="1" customWidth="1"/>
  </cols>
  <sheetData>
    <row r="1" spans="1:4" ht="22.5" customHeight="1">
      <c r="A1" s="2" t="s">
        <v>0</v>
      </c>
      <c r="B1" s="3"/>
      <c r="C1" s="3"/>
      <c r="D1" s="3"/>
    </row>
    <row r="2" spans="1:4" s="7" customFormat="1" ht="22.5" customHeight="1">
      <c r="A2" s="4" t="s">
        <v>1</v>
      </c>
      <c r="B2" s="5"/>
      <c r="C2" s="6" t="s">
        <v>2</v>
      </c>
      <c r="D2" s="6"/>
    </row>
    <row r="3" spans="1:4" ht="22.5" customHeight="1">
      <c r="A3" s="8" t="s">
        <v>3</v>
      </c>
      <c r="B3" s="9"/>
      <c r="C3" s="10" t="s">
        <v>4</v>
      </c>
      <c r="D3" s="9"/>
    </row>
    <row r="4" spans="1:4" ht="22.5" customHeight="1">
      <c r="A4" s="8" t="s">
        <v>5</v>
      </c>
      <c r="B4" s="9" t="s">
        <v>6</v>
      </c>
      <c r="C4" s="6" t="s">
        <v>7</v>
      </c>
      <c r="D4" s="9"/>
    </row>
    <row r="5" spans="1:4" ht="22.5" customHeight="1">
      <c r="A5" s="8" t="s">
        <v>8</v>
      </c>
      <c r="B5" s="9" t="s">
        <v>9</v>
      </c>
      <c r="C5" s="11" t="s">
        <v>10</v>
      </c>
      <c r="D5" s="9"/>
    </row>
    <row r="6" spans="1:5" ht="22.5" customHeight="1">
      <c r="A6" s="12" t="s">
        <v>11</v>
      </c>
      <c r="B6" s="13"/>
      <c r="C6" s="14" t="s">
        <v>12</v>
      </c>
      <c r="D6" s="13"/>
      <c r="E6" s="7"/>
    </row>
    <row r="7" spans="1:4" s="17" customFormat="1" ht="22.5" customHeight="1">
      <c r="A7" s="15" t="s">
        <v>13</v>
      </c>
      <c r="B7" s="16" t="s">
        <v>14</v>
      </c>
      <c r="C7" s="16">
        <v>37.9</v>
      </c>
      <c r="D7" s="16"/>
    </row>
    <row r="8" spans="1:4" ht="22.5" customHeight="1">
      <c r="A8" s="18" t="s">
        <v>15</v>
      </c>
      <c r="B8" s="19"/>
      <c r="C8" s="20">
        <f>IF($A$8="FLAT STRIP ARMOUR","GS (F) I LAYER","GS (W) I LAYER")</f>
        <v>0</v>
      </c>
      <c r="D8" s="19">
        <v>7.85</v>
      </c>
    </row>
    <row r="9" spans="1:4" ht="22.5" customHeight="1">
      <c r="A9" s="21">
        <f>IF(A8="FLAT STRIP ARMOUR - MATERIAL","Nominal Flat Strip Thickness (4 X 0.8)","Diameter of Wire")</f>
        <v>0</v>
      </c>
      <c r="B9" s="22" t="s">
        <v>14</v>
      </c>
      <c r="C9" s="23">
        <v>2.5</v>
      </c>
      <c r="D9" s="24">
        <f>IF($A$8="FLAT STRIP ARMOUR",C13*0.658,IF(C9&lt;=1.4,2.76*(C7+C9)/C9,2.697*(C7+C9)/C9))</f>
        <v>43.58352</v>
      </c>
    </row>
    <row r="10" spans="1:4" ht="22.5" customHeight="1">
      <c r="A10" s="21">
        <f>IF(A8="FLAT STRIP ARMOUR - MATERIAL","No of Strips","No. of Wires")</f>
        <v>0</v>
      </c>
      <c r="B10" s="22" t="s">
        <v>16</v>
      </c>
      <c r="C10" s="23">
        <f>IF((D9-D10)&gt;=0.5,D10+1,D10)</f>
        <v>44</v>
      </c>
      <c r="D10" s="24">
        <f>ROUND(D9,0)</f>
        <v>44</v>
      </c>
    </row>
    <row r="11" spans="1:4" ht="22.5" customHeight="1">
      <c r="A11" s="21" t="s">
        <v>17</v>
      </c>
      <c r="B11" s="22" t="s">
        <v>14</v>
      </c>
      <c r="C11" s="22">
        <f>IF($A$8="FLAT STRIP ARMOUR",ROUND((8*C13),-1),IF(C9&lt;=1.4,ROUND(14*(C7+C9),0),ROUND(10*(C7+C9),0)))</f>
        <v>404</v>
      </c>
      <c r="D11" s="22" t="s">
        <v>18</v>
      </c>
    </row>
    <row r="12" spans="1:4" s="17" customFormat="1" ht="22.5" customHeight="1">
      <c r="A12" s="25">
        <f>C8&amp;"   "&amp;A8</f>
        <v>0</v>
      </c>
      <c r="B12" s="26" t="s">
        <v>19</v>
      </c>
      <c r="C12" s="27">
        <f>IF($A$8="FLAT STRIP ARMOUR",ROUND(24.98*C10,0),IF(C9&lt;=1.4,ROUND(0.7854*C9^2*C10*D8*1.025,0),ROUND(0.7854*C9^2*C10*D8*1.05,0)))</f>
        <v>1780</v>
      </c>
      <c r="D12" s="26"/>
    </row>
    <row r="13" spans="1:4" ht="22.5" customHeight="1">
      <c r="A13" s="28">
        <f>"Dia. over  "&amp;C8&amp;" Armour"</f>
        <v>0</v>
      </c>
      <c r="B13" s="29" t="s">
        <v>14</v>
      </c>
      <c r="C13" s="30">
        <f>ROUND(C7+(2*C9),1)</f>
        <v>42.9</v>
      </c>
      <c r="D13" s="29"/>
    </row>
    <row r="14" spans="1:4" s="17" customFormat="1" ht="22.5" customHeight="1">
      <c r="A14" s="31" t="s">
        <v>20</v>
      </c>
      <c r="B14" s="32"/>
      <c r="C14" s="32" t="s">
        <v>21</v>
      </c>
      <c r="D14" s="19">
        <f>VLOOKUP(C14,'[1]Data Base'!$B$96:$C$113,2)</f>
        <v>1.5</v>
      </c>
    </row>
    <row r="15" spans="1:4" ht="22.5" customHeight="1">
      <c r="A15" s="21" t="s">
        <v>22</v>
      </c>
      <c r="B15" s="22"/>
      <c r="C15" s="33">
        <v>1</v>
      </c>
      <c r="D15" s="34" t="s">
        <v>23</v>
      </c>
    </row>
    <row r="16" spans="1:4" ht="22.5" customHeight="1">
      <c r="A16" s="35" t="s">
        <v>24</v>
      </c>
      <c r="B16" s="34" t="s">
        <v>25</v>
      </c>
      <c r="C16" s="34">
        <f>ROUND(C13*1.5,-1)</f>
        <v>60</v>
      </c>
      <c r="D16" s="36">
        <v>0.25</v>
      </c>
    </row>
    <row r="17" spans="1:4" ht="22.5" customHeight="1">
      <c r="A17" s="35" t="s">
        <v>26</v>
      </c>
      <c r="B17" s="34"/>
      <c r="C17" s="34">
        <v>5</v>
      </c>
      <c r="D17" s="34"/>
    </row>
    <row r="18" spans="1:4" s="17" customFormat="1" ht="22.5" customHeight="1">
      <c r="A18" s="35"/>
      <c r="B18" s="34"/>
      <c r="C18" s="37">
        <f>C14&amp;" TAPE"&amp;" ("&amp;C16&amp;" X "&amp;D16&amp;" )"</f>
        <v>0</v>
      </c>
      <c r="D18" s="34"/>
    </row>
    <row r="19" spans="1:4" s="41" customFormat="1" ht="22.5" customHeight="1">
      <c r="A19" s="38">
        <f>C14&amp;" TAPE "&amp;"  - LENGTH "</f>
        <v>0</v>
      </c>
      <c r="B19" s="39" t="s">
        <v>27</v>
      </c>
      <c r="C19" s="40">
        <f>ROUND(3.142*1000*C15*(C13+(C15*D16))/(C16-C17),-1)</f>
        <v>2470</v>
      </c>
      <c r="D19" s="39"/>
    </row>
    <row r="20" spans="1:4" ht="22.5" customHeight="1">
      <c r="A20" s="25">
        <f>C14&amp;" TAPE "&amp;"  - WEIGHT "</f>
        <v>0</v>
      </c>
      <c r="B20" s="26" t="s">
        <v>19</v>
      </c>
      <c r="C20" s="27">
        <f>ROUND(C19*C16*D14*D16/1000,0)</f>
        <v>56</v>
      </c>
      <c r="D20" s="26"/>
    </row>
    <row r="21" spans="1:4" ht="22.5" customHeight="1">
      <c r="A21" s="42">
        <f>"Dia. over  "&amp;C14&amp;" tape"</f>
        <v>0</v>
      </c>
      <c r="B21" s="43" t="s">
        <v>14</v>
      </c>
      <c r="C21" s="43">
        <f>C13+2*D16</f>
        <v>43.4</v>
      </c>
      <c r="D21" s="43"/>
    </row>
    <row r="22" spans="1:4" s="17" customFormat="1" ht="22.5" customHeight="1">
      <c r="A22" s="18" t="s">
        <v>15</v>
      </c>
      <c r="B22" s="32"/>
      <c r="C22" s="32">
        <f>IF($A$22="FLAT STRIP ARMOUR","GS (F) II LAYER","GS (W) II LAYER")</f>
        <v>0</v>
      </c>
      <c r="D22" s="32">
        <v>7.85</v>
      </c>
    </row>
    <row r="23" spans="1:4" ht="22.5" customHeight="1">
      <c r="A23" s="21">
        <f>IF(A22="FLAT STRIP ARMOUR - MATERIAL","Nominal Flat Strip Thickness (4 X 0.8)","Diameter of Wire")</f>
        <v>0</v>
      </c>
      <c r="B23" s="34" t="s">
        <v>14</v>
      </c>
      <c r="C23" s="33">
        <f>C9</f>
        <v>2.5</v>
      </c>
      <c r="D23" s="24">
        <f>IF($A$22="FLAT STRIP ARMOUR",C27*0.658,IF(C23&lt;=1.4,2.76*(C21+C23)/C23,2.697*(C21+C23)/C23))</f>
        <v>49.51692</v>
      </c>
    </row>
    <row r="24" spans="1:4" ht="22.5" customHeight="1">
      <c r="A24" s="21">
        <f>IF(A22="FLAT STRIP ARMOUR - MATERIAL","No of Strips","No. of Wires")</f>
        <v>0</v>
      </c>
      <c r="B24" s="34" t="s">
        <v>16</v>
      </c>
      <c r="C24" s="23">
        <v>29</v>
      </c>
      <c r="D24" s="24">
        <f>ROUND(D23,0)</f>
        <v>50</v>
      </c>
    </row>
    <row r="25" spans="1:4" ht="22.5" customHeight="1">
      <c r="A25" s="21" t="s">
        <v>17</v>
      </c>
      <c r="B25" s="34" t="s">
        <v>14</v>
      </c>
      <c r="C25" s="22">
        <f>IF($A$22="FLAT STRIP ARMOUR",ROUND((8*C27),-1),IF(C23&lt;=1.4,ROUND(14*(C21+C23),0),ROUND(10*(C21+C23),0)))</f>
        <v>459</v>
      </c>
      <c r="D25" s="34" t="s">
        <v>28</v>
      </c>
    </row>
    <row r="26" spans="1:4" ht="22.5" customHeight="1">
      <c r="A26" s="25">
        <f>C22&amp;" "&amp;A22</f>
        <v>0</v>
      </c>
      <c r="B26" s="26" t="s">
        <v>19</v>
      </c>
      <c r="C26" s="27">
        <f>IF($A$22="FLAT STRIP ARMOUR",ROUND(24.98*C24,0),IF(C23&lt;=1.4,ROUND(0.7854*C23^2*C24*D22*1.025,0),ROUND(0.7854*C23^2*C24*D22*1.05,0)))</f>
        <v>1173</v>
      </c>
      <c r="D26" s="26"/>
    </row>
    <row r="27" spans="1:4" ht="22.5" customHeight="1">
      <c r="A27" s="28">
        <f>"Dia. over  "&amp;C22&amp;" Armour"</f>
        <v>0</v>
      </c>
      <c r="B27" s="43" t="s">
        <v>14</v>
      </c>
      <c r="C27" s="43">
        <f>ROUND(C21+(2*C23),1)</f>
        <v>48.4</v>
      </c>
      <c r="D27" s="43"/>
    </row>
    <row r="28" spans="1:4" ht="22.5" customHeight="1">
      <c r="A28" s="44" t="s">
        <v>29</v>
      </c>
      <c r="B28" s="45"/>
      <c r="C28" s="46" t="s">
        <v>30</v>
      </c>
      <c r="D28" s="45">
        <v>8.89</v>
      </c>
    </row>
    <row r="29" spans="1:4" ht="22.5" customHeight="1">
      <c r="A29" s="44" t="s">
        <v>31</v>
      </c>
      <c r="B29" s="45" t="s">
        <v>14</v>
      </c>
      <c r="C29" s="47">
        <f>C23</f>
        <v>2.5</v>
      </c>
      <c r="D29" s="45"/>
    </row>
    <row r="30" spans="1:4" ht="22.5" customHeight="1">
      <c r="A30" s="44" t="s">
        <v>32</v>
      </c>
      <c r="B30" s="45" t="s">
        <v>16</v>
      </c>
      <c r="C30" s="48">
        <v>20</v>
      </c>
      <c r="D30" s="49"/>
    </row>
    <row r="31" spans="1:4" ht="22.5" customHeight="1">
      <c r="A31" s="50">
        <f>C28&amp;" Armour in 2nd layer"</f>
        <v>0</v>
      </c>
      <c r="B31" s="51" t="s">
        <v>19</v>
      </c>
      <c r="C31" s="51">
        <f>ROUND(IF(C29&lt;=1.4*(C29^2)*0.7854*C30*1.025*8.89,(C29^2)*0.7854*C30*1.05*8.89),0)</f>
        <v>916</v>
      </c>
      <c r="D31" s="52"/>
    </row>
    <row r="32" spans="1:4" ht="22.5" customHeight="1">
      <c r="A32" s="53">
        <f>"Dia. over  "&amp;C28&amp;" Armour"</f>
        <v>0</v>
      </c>
      <c r="B32" s="46" t="s">
        <v>14</v>
      </c>
      <c r="C32" s="54">
        <f>C27</f>
        <v>48.4</v>
      </c>
      <c r="D32" s="55"/>
    </row>
    <row r="33" spans="1:4" ht="22.5" customHeight="1">
      <c r="A33" s="18" t="s">
        <v>33</v>
      </c>
      <c r="B33" s="19"/>
      <c r="C33" s="19" t="s">
        <v>34</v>
      </c>
      <c r="D33" s="19">
        <f>VLOOKUP(C33,'[1]Data Base'!$B$96:$C$113,2)</f>
        <v>0.5</v>
      </c>
    </row>
    <row r="34" spans="1:4" s="41" customFormat="1" ht="22.5" customHeight="1">
      <c r="A34" s="8" t="s">
        <v>22</v>
      </c>
      <c r="B34" s="56"/>
      <c r="C34" s="57">
        <v>1</v>
      </c>
      <c r="D34" s="56"/>
    </row>
    <row r="35" spans="1:4" ht="22.5" customHeight="1">
      <c r="A35" s="8" t="s">
        <v>24</v>
      </c>
      <c r="B35" s="9" t="s">
        <v>25</v>
      </c>
      <c r="C35" s="9">
        <f>IF(C34=0,0,VLOOKUP(C13,'[1]Data Base'!$B$87:$F$91,3))</f>
        <v>90</v>
      </c>
      <c r="D35" s="58">
        <f>IF(C34=0,0,VLOOKUP(C35,'[1]Data Base'!$D$87:$F$91,3))</f>
        <v>0.1</v>
      </c>
    </row>
    <row r="36" spans="1:4" ht="22.5" customHeight="1">
      <c r="A36" s="8" t="s">
        <v>35</v>
      </c>
      <c r="B36" s="9"/>
      <c r="C36" s="9">
        <f>IF(C34=0,0,5)</f>
        <v>5</v>
      </c>
      <c r="D36" s="9" t="s">
        <v>18</v>
      </c>
    </row>
    <row r="37" spans="1:4" s="41" customFormat="1" ht="22.5" customHeight="1">
      <c r="A37" s="38">
        <f>C33&amp;" TAPE "&amp;"("&amp;C35&amp;" x "&amp;D35&amp;")  - LENGTH "</f>
        <v>0</v>
      </c>
      <c r="B37" s="59" t="s">
        <v>27</v>
      </c>
      <c r="C37" s="40">
        <f>IF(C34=0,0,ROUND(3.14*1000*C34*(C27+(C34*D35))/(C35-C36),0))</f>
        <v>1792</v>
      </c>
      <c r="D37" s="59"/>
    </row>
    <row r="38" spans="1:4" ht="22.5" customHeight="1">
      <c r="A38" s="25">
        <f>C33&amp;" TAPE "&amp;"("&amp;C35&amp;" x "&amp;D35&amp;")  - WEIGHT "</f>
        <v>0</v>
      </c>
      <c r="B38" s="60" t="s">
        <v>19</v>
      </c>
      <c r="C38" s="27">
        <f>IF(C34=0,0,ROUND(C37*C35*D33*D35/1000,0))</f>
        <v>8</v>
      </c>
      <c r="D38" s="60"/>
    </row>
    <row r="39" spans="1:4" s="41" customFormat="1" ht="22.5" customHeight="1">
      <c r="A39" s="61" t="s">
        <v>36</v>
      </c>
      <c r="B39" s="62" t="s">
        <v>14</v>
      </c>
      <c r="C39" s="62">
        <f>(C27+(C34*2*D35))</f>
        <v>48.6</v>
      </c>
      <c r="D39" s="62"/>
    </row>
    <row r="40" spans="1:4" ht="22.5" customHeight="1">
      <c r="A40" s="18" t="s">
        <v>37</v>
      </c>
      <c r="B40" s="19" t="s">
        <v>38</v>
      </c>
      <c r="C40" s="20" t="s">
        <v>39</v>
      </c>
      <c r="D40" s="19">
        <f>VLOOKUP(C40,'[1]Data Base'!$B$96:$C$113,2)</f>
        <v>7.85</v>
      </c>
    </row>
    <row r="41" spans="1:4" s="41" customFormat="1" ht="22.5" customHeight="1">
      <c r="A41" s="63" t="s">
        <v>40</v>
      </c>
      <c r="B41" s="64" t="s">
        <v>14</v>
      </c>
      <c r="C41" s="65">
        <f>(D41+0.2)/0.8</f>
        <v>3.0000000000000004</v>
      </c>
      <c r="D41" s="64">
        <v>2.2</v>
      </c>
    </row>
    <row r="42" spans="1:4" ht="22.5" customHeight="1">
      <c r="A42" s="25">
        <f>C40&amp;" "&amp;A40</f>
        <v>0</v>
      </c>
      <c r="B42" s="60" t="s">
        <v>19</v>
      </c>
      <c r="C42" s="27">
        <f>ROUND(3.142*(C39+D42)*D42*D40,0)</f>
        <v>3224</v>
      </c>
      <c r="D42" s="60">
        <f>(D41+0.1)/0.9</f>
        <v>2.555555555555556</v>
      </c>
    </row>
    <row r="43" spans="1:4" ht="22.5" customHeight="1">
      <c r="A43" s="66">
        <f>"Dia. over  "&amp;A40</f>
        <v>0</v>
      </c>
      <c r="B43" s="67" t="s">
        <v>14</v>
      </c>
      <c r="C43" s="68">
        <f>ROUND(C39+(2*D42),0)</f>
        <v>54</v>
      </c>
      <c r="D43" s="67"/>
    </row>
    <row r="44" spans="1:4" ht="22.5" customHeight="1">
      <c r="A44" s="69" t="s">
        <v>41</v>
      </c>
      <c r="B44" s="70" t="s">
        <v>14</v>
      </c>
      <c r="C44" s="70">
        <f>ROUND(C43*1.02,1)</f>
        <v>55.1</v>
      </c>
      <c r="D44" s="70"/>
    </row>
    <row r="45" spans="1:4" s="41" customFormat="1" ht="22.5" customHeight="1">
      <c r="A45" s="63"/>
      <c r="B45" s="64"/>
      <c r="C45" s="64"/>
      <c r="D45" s="64"/>
    </row>
    <row r="46" spans="1:4" ht="22.5" customHeight="1">
      <c r="A46" s="71" t="s">
        <v>42</v>
      </c>
      <c r="B46" s="13"/>
      <c r="C46" s="13"/>
      <c r="D46" s="72" t="s">
        <v>43</v>
      </c>
    </row>
    <row r="47" spans="1:4" ht="22.5" customHeight="1">
      <c r="A47" s="8" t="s">
        <v>44</v>
      </c>
      <c r="B47" s="9" t="s">
        <v>19</v>
      </c>
      <c r="C47" s="9">
        <v>4871</v>
      </c>
      <c r="D47" s="6"/>
    </row>
    <row r="48" spans="1:4" ht="22.5" customHeight="1">
      <c r="A48" s="8" t="s">
        <v>45</v>
      </c>
      <c r="B48" s="9" t="s">
        <v>19</v>
      </c>
      <c r="C48" s="9">
        <v>268</v>
      </c>
      <c r="D48" s="6"/>
    </row>
    <row r="49" spans="1:4" s="41" customFormat="1" ht="22.5" customHeight="1">
      <c r="A49" s="73" t="s">
        <v>46</v>
      </c>
      <c r="B49" s="74" t="s">
        <v>27</v>
      </c>
      <c r="C49" s="74">
        <v>2440</v>
      </c>
      <c r="D49" s="75"/>
    </row>
    <row r="50" spans="1:4" ht="22.5" customHeight="1">
      <c r="A50" s="8" t="s">
        <v>47</v>
      </c>
      <c r="B50" s="9" t="s">
        <v>19</v>
      </c>
      <c r="C50" s="9">
        <v>11</v>
      </c>
      <c r="D50" s="6"/>
    </row>
    <row r="51" spans="1:4" ht="22.5" customHeight="1">
      <c r="A51" s="8" t="s">
        <v>48</v>
      </c>
      <c r="B51" s="9" t="s">
        <v>19</v>
      </c>
      <c r="C51" s="9">
        <v>224</v>
      </c>
      <c r="D51" s="6"/>
    </row>
    <row r="52" spans="1:4" ht="22.5" customHeight="1">
      <c r="A52" s="76">
        <f>A12</f>
        <v>0</v>
      </c>
      <c r="B52" s="77">
        <f>B12</f>
        <v>0</v>
      </c>
      <c r="C52" s="78">
        <f>C12</f>
        <v>1780</v>
      </c>
      <c r="D52" s="79"/>
    </row>
    <row r="53" spans="1:4" s="41" customFormat="1" ht="22.5" customHeight="1">
      <c r="A53" s="80">
        <f aca="true" t="shared" si="0" ref="A53:A54">A19</f>
        <v>0</v>
      </c>
      <c r="B53" s="81">
        <f aca="true" t="shared" si="1" ref="B53:B54">B19</f>
        <v>0</v>
      </c>
      <c r="C53" s="82">
        <f aca="true" t="shared" si="2" ref="C53:C54">C19</f>
        <v>2470</v>
      </c>
      <c r="D53" s="74"/>
    </row>
    <row r="54" spans="1:4" ht="22.5" customHeight="1">
      <c r="A54" s="76">
        <f t="shared" si="0"/>
        <v>0</v>
      </c>
      <c r="B54" s="77">
        <f t="shared" si="1"/>
        <v>0</v>
      </c>
      <c r="C54" s="77">
        <f t="shared" si="2"/>
        <v>56</v>
      </c>
      <c r="D54" s="79"/>
    </row>
    <row r="55" spans="1:4" ht="22.5" customHeight="1">
      <c r="A55" s="76">
        <f>A26</f>
        <v>0</v>
      </c>
      <c r="B55" s="77">
        <f>B26</f>
        <v>0</v>
      </c>
      <c r="C55" s="77">
        <f>C26</f>
        <v>1173</v>
      </c>
      <c r="D55" s="79"/>
    </row>
    <row r="56" spans="1:4" ht="22.5" customHeight="1">
      <c r="A56" s="76">
        <f>A31</f>
        <v>0</v>
      </c>
      <c r="B56" s="77" t="s">
        <v>19</v>
      </c>
      <c r="C56" s="77">
        <f>C31</f>
        <v>916</v>
      </c>
      <c r="D56" s="74"/>
    </row>
    <row r="57" spans="1:4" ht="22.5" customHeight="1">
      <c r="A57" s="80">
        <f aca="true" t="shared" si="3" ref="A57:A58">A37</f>
        <v>0</v>
      </c>
      <c r="B57" s="81">
        <f aca="true" t="shared" si="4" ref="B57:B58">B37</f>
        <v>0</v>
      </c>
      <c r="C57" s="82">
        <f aca="true" t="shared" si="5" ref="C57:C58">C37</f>
        <v>1792</v>
      </c>
      <c r="D57" s="74"/>
    </row>
    <row r="58" spans="1:4" ht="22.5" customHeight="1">
      <c r="A58" s="83">
        <f t="shared" si="3"/>
        <v>0</v>
      </c>
      <c r="B58" s="84">
        <f t="shared" si="4"/>
        <v>0</v>
      </c>
      <c r="C58" s="84">
        <f t="shared" si="5"/>
        <v>8</v>
      </c>
      <c r="D58" s="9"/>
    </row>
    <row r="59" spans="1:4" ht="22.5" customHeight="1">
      <c r="A59" s="85">
        <f>A42</f>
        <v>0</v>
      </c>
      <c r="B59" s="79">
        <f>B42</f>
        <v>0</v>
      </c>
      <c r="C59" s="79">
        <f>C42</f>
        <v>3224</v>
      </c>
      <c r="D59" s="79"/>
    </row>
    <row r="60" spans="1:4" ht="22.5" customHeight="1">
      <c r="A60" s="85" t="s">
        <v>49</v>
      </c>
      <c r="B60" s="79" t="s">
        <v>19</v>
      </c>
      <c r="C60" s="86">
        <f>SUM(C47:C59)-C49-C53-C57</f>
        <v>12531</v>
      </c>
      <c r="D60" s="79"/>
    </row>
    <row r="61" spans="1:4" ht="22.5" customHeight="1">
      <c r="A61" s="87" t="s">
        <v>50</v>
      </c>
      <c r="B61" s="87"/>
      <c r="C61" s="88"/>
      <c r="D61" s="89"/>
    </row>
    <row r="62" spans="1:4" ht="22.5" customHeight="1">
      <c r="A62" s="87" t="s">
        <v>51</v>
      </c>
      <c r="B62" s="87"/>
      <c r="C62" s="90" t="s">
        <v>52</v>
      </c>
      <c r="D62" s="91"/>
    </row>
    <row r="63" spans="1:4" ht="22.5" customHeight="1">
      <c r="A63" s="87" t="s">
        <v>53</v>
      </c>
      <c r="B63" s="87" t="s">
        <v>54</v>
      </c>
      <c r="C63" s="89"/>
      <c r="D63" s="89"/>
    </row>
    <row r="64" spans="1:4" ht="22.5" customHeight="1">
      <c r="A64" s="87" t="s">
        <v>55</v>
      </c>
      <c r="B64" s="87" t="s">
        <v>56</v>
      </c>
      <c r="C64" s="87" t="s">
        <v>57</v>
      </c>
      <c r="D64" s="89"/>
    </row>
    <row r="147" spans="5:7" ht="22.5" customHeight="1">
      <c r="E147" s="23"/>
      <c r="G147" s="23"/>
    </row>
    <row r="158" spans="1:3" ht="22.5" customHeight="1">
      <c r="A158" s="1" t="s">
        <v>58</v>
      </c>
      <c r="B158" s="1" t="s">
        <v>59</v>
      </c>
      <c r="C158" s="1" t="s">
        <v>60</v>
      </c>
    </row>
    <row r="159" spans="1:3" ht="22.5" customHeight="1">
      <c r="A159" s="1" t="s">
        <v>61</v>
      </c>
      <c r="B159" s="1" t="s">
        <v>21</v>
      </c>
      <c r="C159" s="1" t="s">
        <v>34</v>
      </c>
    </row>
    <row r="160" ht="22.5" customHeight="1">
      <c r="B160" s="1" t="s">
        <v>62</v>
      </c>
    </row>
    <row r="161" spans="1:3" ht="22.5" customHeight="1">
      <c r="A161" s="1" t="s">
        <v>63</v>
      </c>
      <c r="B161" s="23" t="s">
        <v>64</v>
      </c>
      <c r="C161" s="23"/>
    </row>
    <row r="162" spans="1:2" ht="22.5" customHeight="1">
      <c r="A162" s="1" t="s">
        <v>15</v>
      </c>
      <c r="B162" s="1" t="s">
        <v>65</v>
      </c>
    </row>
    <row r="163" ht="22.5" customHeight="1">
      <c r="A163" s="1" t="s">
        <v>66</v>
      </c>
    </row>
    <row r="164" ht="22.5" customHeight="1">
      <c r="A164" s="1" t="s">
        <v>39</v>
      </c>
    </row>
    <row r="165" ht="22.5" customHeight="1">
      <c r="A165" s="1" t="s">
        <v>67</v>
      </c>
    </row>
    <row r="166" ht="22.5" customHeight="1">
      <c r="A166" s="1" t="s">
        <v>68</v>
      </c>
    </row>
  </sheetData>
  <sheetProtection selectLockedCells="1" selectUnlockedCells="1"/>
  <dataValidations count="3">
    <dataValidation type="list" allowBlank="1" showErrorMessage="1" sqref="C40">
      <formula1>$A$163:$A$164</formula1>
      <formula2>0</formula2>
    </dataValidation>
    <dataValidation type="list" allowBlank="1" showErrorMessage="1" sqref="A8 A22">
      <formula1>$A$161:$A$162</formula1>
      <formula2>0</formula2>
    </dataValidation>
    <dataValidation type="list" allowBlank="1" showErrorMessage="1" sqref="C33">
      <formula1>$C$158:$C$159</formula1>
      <formula2>0</formula2>
    </dataValidation>
  </dataValidations>
  <printOptions/>
  <pageMargins left="1.2" right="0.7" top="0.75" bottom="0.75" header="0.5118055555555555" footer="0.5118055555555555"/>
  <pageSetup horizontalDpi="300" verticalDpi="300" orientation="portrait" scale="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view="pageBreakPreview" zoomScaleSheetLayoutView="100" workbookViewId="0" topLeftCell="A1">
      <selection activeCell="B1" sqref="B1"/>
    </sheetView>
  </sheetViews>
  <sheetFormatPr defaultColWidth="9.140625" defaultRowHeight="15"/>
  <cols>
    <col min="2" max="2" width="19.00390625" style="0" customWidth="1"/>
    <col min="3" max="3" width="13.421875" style="0" customWidth="1"/>
  </cols>
  <sheetData>
    <row r="1" spans="1:9" ht="15">
      <c r="A1" s="92"/>
      <c r="B1" s="92"/>
      <c r="C1" s="92"/>
      <c r="D1" s="92"/>
      <c r="E1" s="92"/>
      <c r="F1" s="92"/>
      <c r="G1" s="92"/>
      <c r="H1" s="92"/>
      <c r="I1" s="92"/>
    </row>
    <row r="2" spans="1:9" ht="15">
      <c r="A2" s="93" t="s">
        <v>61</v>
      </c>
      <c r="B2" s="93"/>
      <c r="C2" s="93"/>
      <c r="D2" s="93"/>
      <c r="E2" s="93"/>
      <c r="F2" s="92"/>
      <c r="G2" s="92"/>
      <c r="H2" s="92"/>
      <c r="I2" s="92"/>
    </row>
    <row r="3" spans="1:8" ht="15">
      <c r="A3" s="93"/>
      <c r="B3" s="93"/>
      <c r="C3" s="93"/>
      <c r="D3" s="93"/>
      <c r="E3" s="93"/>
      <c r="F3" s="92"/>
      <c r="G3" s="92" t="e">
        <f>VLOOKUP(#REF!,'Data Base'!A5:E26,2,FALSE)</f>
        <v>#REF!</v>
      </c>
      <c r="H3" s="92"/>
    </row>
    <row r="4" spans="1:8" ht="15">
      <c r="A4" s="92" t="s">
        <v>69</v>
      </c>
      <c r="B4" s="92" t="s">
        <v>70</v>
      </c>
      <c r="C4" s="92" t="s">
        <v>71</v>
      </c>
      <c r="D4" s="92" t="s">
        <v>69</v>
      </c>
      <c r="E4" s="92" t="s">
        <v>72</v>
      </c>
      <c r="F4" s="92"/>
      <c r="G4" s="92" t="e">
        <f>VLOOKUP(#REF!,'Data Base'!A5:E26,5,FALSE)</f>
        <v>#REF!</v>
      </c>
      <c r="H4" s="92"/>
    </row>
    <row r="5" spans="1:9" ht="15">
      <c r="A5" s="92">
        <v>16</v>
      </c>
      <c r="B5" s="92">
        <v>4.7</v>
      </c>
      <c r="C5" s="92" t="s">
        <v>73</v>
      </c>
      <c r="D5" s="92">
        <v>16</v>
      </c>
      <c r="E5" s="92">
        <v>137</v>
      </c>
      <c r="F5" s="92"/>
      <c r="G5" s="92"/>
      <c r="H5" s="92"/>
      <c r="I5" s="92"/>
    </row>
    <row r="6" spans="1:9" ht="15">
      <c r="A6" s="92">
        <v>25</v>
      </c>
      <c r="B6" s="92">
        <v>5.9</v>
      </c>
      <c r="C6" s="92" t="s">
        <v>74</v>
      </c>
      <c r="D6" s="92">
        <v>25</v>
      </c>
      <c r="E6" s="92">
        <v>217</v>
      </c>
      <c r="F6" s="92"/>
      <c r="G6" s="92"/>
      <c r="H6" s="92"/>
      <c r="I6" s="92"/>
    </row>
    <row r="7" spans="1:9" ht="15">
      <c r="A7" s="92">
        <v>35</v>
      </c>
      <c r="B7" s="92">
        <v>7</v>
      </c>
      <c r="C7" s="92" t="s">
        <v>75</v>
      </c>
      <c r="D7" s="92">
        <v>35</v>
      </c>
      <c r="E7" s="92">
        <v>301</v>
      </c>
      <c r="F7" s="92"/>
      <c r="G7" s="92"/>
      <c r="H7" s="92"/>
      <c r="I7" s="92"/>
    </row>
    <row r="8" spans="1:9" ht="15">
      <c r="A8" s="92">
        <v>50</v>
      </c>
      <c r="B8" s="92">
        <v>8.1</v>
      </c>
      <c r="C8" s="92" t="s">
        <v>76</v>
      </c>
      <c r="D8" s="92">
        <v>50</v>
      </c>
      <c r="E8" s="92">
        <v>411</v>
      </c>
      <c r="F8" s="92"/>
      <c r="G8" s="92"/>
      <c r="H8" s="92"/>
      <c r="I8" s="92"/>
    </row>
    <row r="9" spans="1:9" ht="15">
      <c r="A9" s="92">
        <v>70</v>
      </c>
      <c r="B9" s="92">
        <v>9.7</v>
      </c>
      <c r="C9" s="92" t="s">
        <v>77</v>
      </c>
      <c r="D9" s="92">
        <v>70</v>
      </c>
      <c r="E9" s="92">
        <v>594</v>
      </c>
      <c r="F9" s="92"/>
      <c r="G9" s="92"/>
      <c r="H9" s="92"/>
      <c r="I9" s="92"/>
    </row>
    <row r="10" spans="1:9" ht="15">
      <c r="A10" s="92">
        <v>95</v>
      </c>
      <c r="B10" s="92">
        <v>11.5</v>
      </c>
      <c r="C10" s="92" t="s">
        <v>78</v>
      </c>
      <c r="D10" s="92">
        <v>95</v>
      </c>
      <c r="E10" s="92">
        <v>824</v>
      </c>
      <c r="F10" s="92"/>
      <c r="G10" s="92"/>
      <c r="H10" s="92"/>
      <c r="I10" s="92"/>
    </row>
    <row r="11" spans="1:9" ht="15">
      <c r="A11" s="92">
        <v>120</v>
      </c>
      <c r="B11" s="92">
        <v>13.2</v>
      </c>
      <c r="C11" s="92" t="s">
        <v>79</v>
      </c>
      <c r="D11" s="92">
        <v>120</v>
      </c>
      <c r="E11" s="92">
        <v>1044</v>
      </c>
      <c r="F11" s="92"/>
      <c r="G11" s="92"/>
      <c r="H11" s="92"/>
      <c r="I11" s="92"/>
    </row>
    <row r="12" spans="1:9" ht="15">
      <c r="A12" s="92">
        <v>150</v>
      </c>
      <c r="B12" s="92">
        <v>14.5</v>
      </c>
      <c r="C12" s="92" t="s">
        <v>80</v>
      </c>
      <c r="D12" s="92">
        <v>150</v>
      </c>
      <c r="E12" s="92">
        <v>1289</v>
      </c>
      <c r="F12" s="92"/>
      <c r="G12" s="92"/>
      <c r="H12" s="92"/>
      <c r="I12" s="92"/>
    </row>
    <row r="13" spans="1:9" ht="15">
      <c r="A13" s="92">
        <v>185</v>
      </c>
      <c r="B13" s="92">
        <v>16.1</v>
      </c>
      <c r="C13" s="92" t="s">
        <v>81</v>
      </c>
      <c r="D13" s="92">
        <v>185</v>
      </c>
      <c r="E13" s="92">
        <v>1612</v>
      </c>
      <c r="F13" s="92"/>
      <c r="G13" s="92"/>
      <c r="H13" s="92"/>
      <c r="I13" s="92"/>
    </row>
    <row r="14" spans="1:9" ht="15">
      <c r="A14" s="92">
        <v>240</v>
      </c>
      <c r="B14" s="92">
        <v>18.6</v>
      </c>
      <c r="C14" s="92" t="s">
        <v>82</v>
      </c>
      <c r="D14" s="92">
        <v>240</v>
      </c>
      <c r="E14" s="92">
        <v>2120</v>
      </c>
      <c r="F14" s="92"/>
      <c r="G14" s="92"/>
      <c r="H14" s="92"/>
      <c r="I14" s="92"/>
    </row>
    <row r="15" spans="1:9" ht="15">
      <c r="A15" s="92">
        <v>300</v>
      </c>
      <c r="B15" s="92">
        <v>20.8</v>
      </c>
      <c r="C15" s="92" t="s">
        <v>83</v>
      </c>
      <c r="D15" s="92">
        <v>300</v>
      </c>
      <c r="E15" s="92">
        <v>2657</v>
      </c>
      <c r="F15" s="92"/>
      <c r="G15" s="92"/>
      <c r="H15" s="92"/>
      <c r="I15" s="92"/>
    </row>
    <row r="16" spans="1:9" ht="15">
      <c r="A16" s="92">
        <v>400</v>
      </c>
      <c r="B16" s="92">
        <v>23.8</v>
      </c>
      <c r="C16" s="92" t="s">
        <v>84</v>
      </c>
      <c r="D16" s="92">
        <v>400</v>
      </c>
      <c r="E16" s="92">
        <v>3400</v>
      </c>
      <c r="F16" s="92"/>
      <c r="G16" s="92"/>
      <c r="H16" s="92"/>
      <c r="I16" s="92"/>
    </row>
    <row r="17" spans="1:9" ht="15">
      <c r="A17" s="92">
        <v>500</v>
      </c>
      <c r="B17" s="92">
        <v>27</v>
      </c>
      <c r="C17" s="92" t="s">
        <v>85</v>
      </c>
      <c r="D17" s="92">
        <v>500</v>
      </c>
      <c r="E17" s="92">
        <v>4312</v>
      </c>
      <c r="F17" s="92"/>
      <c r="G17" s="92"/>
      <c r="H17" s="92"/>
      <c r="I17" s="92"/>
    </row>
    <row r="18" spans="1:9" ht="15">
      <c r="A18" s="92">
        <v>630</v>
      </c>
      <c r="B18" s="92">
        <v>30.6</v>
      </c>
      <c r="C18" s="92" t="s">
        <v>86</v>
      </c>
      <c r="D18" s="92">
        <v>630</v>
      </c>
      <c r="E18" s="92">
        <v>5677</v>
      </c>
      <c r="F18" s="92"/>
      <c r="G18" s="92"/>
      <c r="H18" s="92"/>
      <c r="I18" s="92"/>
    </row>
    <row r="19" spans="1:9" ht="15">
      <c r="A19" s="92">
        <v>800</v>
      </c>
      <c r="B19" s="92">
        <v>34.9</v>
      </c>
      <c r="C19" s="92" t="s">
        <v>87</v>
      </c>
      <c r="D19" s="92">
        <v>800</v>
      </c>
      <c r="E19" s="92">
        <v>7252</v>
      </c>
      <c r="F19" s="92"/>
      <c r="G19" s="92"/>
      <c r="H19" s="92"/>
      <c r="I19" s="92"/>
    </row>
    <row r="20" spans="1:9" ht="15">
      <c r="A20" s="92">
        <v>1000</v>
      </c>
      <c r="B20" s="92">
        <v>39.7</v>
      </c>
      <c r="C20" s="92"/>
      <c r="D20" s="92">
        <v>1000</v>
      </c>
      <c r="E20" s="92">
        <v>9556</v>
      </c>
      <c r="F20" s="92"/>
      <c r="G20" s="92"/>
      <c r="H20" s="92"/>
      <c r="I20" s="92"/>
    </row>
    <row r="21" spans="1:9" ht="15">
      <c r="A21" s="92">
        <v>1200</v>
      </c>
      <c r="B21" s="92">
        <v>42</v>
      </c>
      <c r="C21" s="92"/>
      <c r="D21" s="92">
        <v>1200</v>
      </c>
      <c r="E21" s="92">
        <v>10668</v>
      </c>
      <c r="F21" s="92"/>
      <c r="G21" s="92"/>
      <c r="H21" s="92"/>
      <c r="I21" s="92"/>
    </row>
    <row r="22" spans="1:9" ht="15">
      <c r="A22" s="92">
        <v>1400</v>
      </c>
      <c r="B22" s="92">
        <v>44</v>
      </c>
      <c r="C22" s="92"/>
      <c r="D22" s="92">
        <v>1400</v>
      </c>
      <c r="E22" s="92">
        <v>12446</v>
      </c>
      <c r="F22" s="92"/>
      <c r="G22" s="92"/>
      <c r="H22" s="92"/>
      <c r="I22" s="92"/>
    </row>
    <row r="23" spans="1:9" ht="15">
      <c r="A23" s="92">
        <v>1600</v>
      </c>
      <c r="B23" s="92">
        <v>46</v>
      </c>
      <c r="C23" s="92"/>
      <c r="D23" s="92">
        <v>1600</v>
      </c>
      <c r="E23" s="92">
        <v>14080</v>
      </c>
      <c r="F23" s="92"/>
      <c r="G23" s="92"/>
      <c r="H23" s="92"/>
      <c r="I23" s="92"/>
    </row>
    <row r="24" spans="1:9" ht="15">
      <c r="A24" s="92">
        <v>1800</v>
      </c>
      <c r="B24" s="92">
        <v>51</v>
      </c>
      <c r="C24" s="92"/>
      <c r="D24" s="92">
        <v>1800</v>
      </c>
      <c r="E24" s="92">
        <v>15840</v>
      </c>
      <c r="F24" s="92"/>
      <c r="G24" s="92"/>
      <c r="H24" s="92"/>
      <c r="I24" s="92"/>
    </row>
    <row r="25" spans="1:9" ht="15">
      <c r="A25" s="92">
        <v>2000</v>
      </c>
      <c r="B25" s="92">
        <v>54</v>
      </c>
      <c r="C25" s="92"/>
      <c r="D25" s="92">
        <v>2000</v>
      </c>
      <c r="E25" s="92">
        <v>17880</v>
      </c>
      <c r="F25" s="92"/>
      <c r="G25" s="92"/>
      <c r="H25" s="92"/>
      <c r="I25" s="92"/>
    </row>
    <row r="26" spans="1:9" ht="15">
      <c r="A26" s="92">
        <v>2500</v>
      </c>
      <c r="B26" s="92">
        <v>62</v>
      </c>
      <c r="C26" s="92"/>
      <c r="D26" s="92">
        <v>2500</v>
      </c>
      <c r="E26" s="92">
        <v>22208</v>
      </c>
      <c r="F26" s="92"/>
      <c r="G26" s="92"/>
      <c r="H26" s="92"/>
      <c r="I26" s="92"/>
    </row>
    <row r="27" spans="1:9" ht="15">
      <c r="A27" s="93" t="s">
        <v>88</v>
      </c>
      <c r="B27" s="93"/>
      <c r="C27" s="93"/>
      <c r="D27" s="93"/>
      <c r="E27" s="93"/>
      <c r="F27" s="92"/>
      <c r="G27" s="92"/>
      <c r="H27" s="92"/>
      <c r="I27" s="92"/>
    </row>
    <row r="28" spans="1:9" ht="15">
      <c r="A28" s="93"/>
      <c r="B28" s="93"/>
      <c r="C28" s="93"/>
      <c r="D28" s="93"/>
      <c r="E28" s="93"/>
      <c r="F28" s="92"/>
      <c r="G28" s="92"/>
      <c r="H28" s="92"/>
      <c r="I28" s="92"/>
    </row>
    <row r="29" spans="1:9" ht="15">
      <c r="A29" s="92" t="s">
        <v>69</v>
      </c>
      <c r="B29" s="92" t="s">
        <v>70</v>
      </c>
      <c r="C29" s="92"/>
      <c r="D29" s="92" t="s">
        <v>69</v>
      </c>
      <c r="E29" s="92" t="s">
        <v>72</v>
      </c>
      <c r="F29" s="92"/>
      <c r="G29" s="92"/>
      <c r="H29" s="92"/>
      <c r="I29" s="92"/>
    </row>
    <row r="30" spans="1:9" ht="15">
      <c r="A30" s="92">
        <v>16</v>
      </c>
      <c r="B30" s="92">
        <v>4.7</v>
      </c>
      <c r="C30" s="92" t="s">
        <v>89</v>
      </c>
      <c r="D30" s="92">
        <v>16</v>
      </c>
      <c r="E30" s="92">
        <v>41</v>
      </c>
      <c r="F30" s="92"/>
      <c r="G30" s="92" t="e">
        <f>VLOOKUP(#REF!,'Data Base'!A30:E51,2,FALSE)</f>
        <v>#REF!</v>
      </c>
      <c r="H30" s="92"/>
      <c r="I30" s="92"/>
    </row>
    <row r="31" spans="1:9" ht="15">
      <c r="A31" s="92">
        <v>25</v>
      </c>
      <c r="B31" s="92">
        <v>5.9</v>
      </c>
      <c r="C31" s="92" t="s">
        <v>90</v>
      </c>
      <c r="D31" s="92">
        <v>25</v>
      </c>
      <c r="E31" s="92">
        <v>65</v>
      </c>
      <c r="F31" s="92"/>
      <c r="G31" s="92" t="e">
        <f>VLOOKUP(#REF!,'Data Base'!A31:E52,5,FALSE)</f>
        <v>#REF!</v>
      </c>
      <c r="H31" s="92"/>
      <c r="I31" s="92"/>
    </row>
    <row r="32" spans="1:9" ht="15">
      <c r="A32" s="92">
        <v>35</v>
      </c>
      <c r="B32" s="92">
        <v>7</v>
      </c>
      <c r="C32" s="92" t="s">
        <v>91</v>
      </c>
      <c r="D32" s="92">
        <v>35</v>
      </c>
      <c r="E32" s="92">
        <v>90</v>
      </c>
      <c r="F32" s="92"/>
      <c r="G32" s="92"/>
      <c r="H32" s="92"/>
      <c r="I32" s="92"/>
    </row>
    <row r="33" spans="1:9" ht="15">
      <c r="A33" s="92">
        <v>50</v>
      </c>
      <c r="B33" s="92">
        <v>8.1</v>
      </c>
      <c r="C33" s="92" t="s">
        <v>92</v>
      </c>
      <c r="D33" s="92">
        <v>50</v>
      </c>
      <c r="E33" s="92">
        <v>123</v>
      </c>
      <c r="F33" s="92"/>
      <c r="G33" s="92"/>
      <c r="H33" s="92"/>
      <c r="I33" s="92"/>
    </row>
    <row r="34" spans="1:9" ht="15">
      <c r="A34" s="92">
        <v>70</v>
      </c>
      <c r="B34" s="92">
        <v>9.7</v>
      </c>
      <c r="C34" s="92" t="s">
        <v>93</v>
      </c>
      <c r="D34" s="92">
        <v>70</v>
      </c>
      <c r="E34" s="92">
        <v>248</v>
      </c>
      <c r="F34" s="92"/>
      <c r="G34" s="92"/>
      <c r="H34" s="92"/>
      <c r="I34" s="92"/>
    </row>
    <row r="35" spans="1:9" ht="15">
      <c r="A35" s="92">
        <v>95</v>
      </c>
      <c r="B35" s="92">
        <v>11.5</v>
      </c>
      <c r="C35" s="92" t="s">
        <v>94</v>
      </c>
      <c r="D35" s="92">
        <v>95</v>
      </c>
      <c r="E35" s="92">
        <v>315</v>
      </c>
      <c r="F35" s="92"/>
      <c r="G35" s="92"/>
      <c r="H35" s="92"/>
      <c r="I35" s="92"/>
    </row>
    <row r="36" spans="1:9" ht="15">
      <c r="A36" s="92">
        <v>120</v>
      </c>
      <c r="B36" s="92">
        <v>12.9</v>
      </c>
      <c r="C36" s="92" t="s">
        <v>95</v>
      </c>
      <c r="D36" s="92">
        <v>120</v>
      </c>
      <c r="E36" s="92">
        <v>315</v>
      </c>
      <c r="F36" s="92"/>
      <c r="G36" s="92"/>
      <c r="H36" s="92"/>
      <c r="I36" s="92"/>
    </row>
    <row r="37" spans="1:9" ht="15">
      <c r="A37" s="92">
        <v>150</v>
      </c>
      <c r="B37" s="92">
        <v>14.5</v>
      </c>
      <c r="C37" s="92" t="s">
        <v>96</v>
      </c>
      <c r="D37" s="92">
        <v>150</v>
      </c>
      <c r="E37" s="92">
        <v>387</v>
      </c>
      <c r="F37" s="92"/>
      <c r="G37" s="92"/>
      <c r="H37" s="92"/>
      <c r="I37" s="92"/>
    </row>
    <row r="38" spans="1:9" ht="15">
      <c r="A38" s="92">
        <v>185</v>
      </c>
      <c r="B38" s="92">
        <v>16.1</v>
      </c>
      <c r="C38" s="92" t="s">
        <v>97</v>
      </c>
      <c r="D38" s="92">
        <v>185</v>
      </c>
      <c r="E38" s="92">
        <v>485</v>
      </c>
      <c r="F38" s="92"/>
      <c r="G38" s="92"/>
      <c r="H38" s="92"/>
      <c r="I38" s="92"/>
    </row>
    <row r="39" spans="1:9" ht="15">
      <c r="A39" s="92">
        <v>240</v>
      </c>
      <c r="B39" s="92">
        <v>18.6</v>
      </c>
      <c r="C39" s="92" t="s">
        <v>98</v>
      </c>
      <c r="D39" s="92">
        <v>240</v>
      </c>
      <c r="E39" s="92">
        <v>637</v>
      </c>
      <c r="F39" s="92"/>
      <c r="G39" s="92"/>
      <c r="H39" s="92"/>
      <c r="I39" s="92"/>
    </row>
    <row r="40" spans="1:9" ht="15">
      <c r="A40" s="92">
        <v>300</v>
      </c>
      <c r="B40" s="92">
        <v>20.8</v>
      </c>
      <c r="C40" s="92" t="s">
        <v>99</v>
      </c>
      <c r="D40" s="92">
        <v>300</v>
      </c>
      <c r="E40" s="92">
        <v>796</v>
      </c>
      <c r="F40" s="92"/>
      <c r="G40" s="92"/>
      <c r="H40" s="92"/>
      <c r="I40" s="92"/>
    </row>
    <row r="41" spans="1:9" ht="15">
      <c r="A41" s="92">
        <v>400</v>
      </c>
      <c r="B41" s="92">
        <v>23.8</v>
      </c>
      <c r="C41" s="92" t="s">
        <v>100</v>
      </c>
      <c r="D41" s="92">
        <v>400</v>
      </c>
      <c r="E41" s="92">
        <v>1026</v>
      </c>
      <c r="F41" s="92"/>
      <c r="G41" s="92"/>
      <c r="H41" s="92"/>
      <c r="I41" s="92"/>
    </row>
    <row r="42" spans="1:9" ht="15">
      <c r="A42" s="92">
        <v>500</v>
      </c>
      <c r="B42" s="92">
        <v>27</v>
      </c>
      <c r="C42" s="92" t="s">
        <v>101</v>
      </c>
      <c r="D42" s="92">
        <v>500</v>
      </c>
      <c r="E42" s="92">
        <v>1308</v>
      </c>
      <c r="F42" s="92"/>
      <c r="G42" s="92"/>
      <c r="H42" s="92"/>
      <c r="I42" s="92"/>
    </row>
    <row r="43" spans="1:9" ht="15">
      <c r="A43" s="92">
        <v>630</v>
      </c>
      <c r="B43" s="92">
        <v>30.4</v>
      </c>
      <c r="C43" s="92" t="s">
        <v>102</v>
      </c>
      <c r="D43" s="92">
        <v>630</v>
      </c>
      <c r="E43" s="92">
        <v>1688</v>
      </c>
      <c r="F43" s="92"/>
      <c r="G43" s="92"/>
      <c r="H43" s="92"/>
      <c r="I43" s="92"/>
    </row>
    <row r="44" spans="1:9" ht="15">
      <c r="A44" s="92">
        <v>800</v>
      </c>
      <c r="B44" s="92">
        <v>34.2</v>
      </c>
      <c r="C44" s="92" t="s">
        <v>103</v>
      </c>
      <c r="D44" s="92">
        <v>800</v>
      </c>
      <c r="E44" s="92">
        <v>2156</v>
      </c>
      <c r="F44" s="92"/>
      <c r="G44" s="92"/>
      <c r="H44" s="92"/>
      <c r="I44" s="92"/>
    </row>
    <row r="45" spans="1:9" ht="15">
      <c r="A45" s="92">
        <v>1000</v>
      </c>
      <c r="B45" s="92">
        <v>38.6</v>
      </c>
      <c r="C45" s="92" t="s">
        <v>104</v>
      </c>
      <c r="D45" s="92">
        <v>1000</v>
      </c>
      <c r="E45" s="92">
        <v>2722</v>
      </c>
      <c r="F45" s="92"/>
      <c r="G45" s="92"/>
      <c r="H45" s="92"/>
      <c r="I45" s="92"/>
    </row>
    <row r="46" spans="1:9" ht="15">
      <c r="A46" s="92">
        <v>1200</v>
      </c>
      <c r="B46" s="92">
        <v>42</v>
      </c>
      <c r="C46" s="92" t="s">
        <v>105</v>
      </c>
      <c r="D46" s="92">
        <v>1200</v>
      </c>
      <c r="E46" s="92">
        <v>3180</v>
      </c>
      <c r="F46" s="92"/>
      <c r="G46" s="92"/>
      <c r="H46" s="92"/>
      <c r="I46" s="92"/>
    </row>
    <row r="47" spans="1:9" ht="15">
      <c r="A47" s="92">
        <v>1400</v>
      </c>
      <c r="B47" s="92">
        <v>44</v>
      </c>
      <c r="C47" s="92"/>
      <c r="D47" s="92">
        <v>1400</v>
      </c>
      <c r="E47" s="92">
        <v>3784</v>
      </c>
      <c r="F47" s="92"/>
      <c r="G47" s="92"/>
      <c r="H47" s="92"/>
      <c r="I47" s="92"/>
    </row>
    <row r="48" spans="1:9" ht="15">
      <c r="A48" s="92">
        <v>1600</v>
      </c>
      <c r="B48" s="92">
        <v>46</v>
      </c>
      <c r="C48" s="92"/>
      <c r="D48" s="92">
        <v>1600</v>
      </c>
      <c r="E48" s="92">
        <v>4325</v>
      </c>
      <c r="F48" s="92"/>
      <c r="G48" s="92"/>
      <c r="H48" s="92"/>
      <c r="I48" s="92"/>
    </row>
    <row r="49" spans="1:9" ht="15">
      <c r="A49" s="92">
        <v>1800</v>
      </c>
      <c r="B49" s="92">
        <v>51</v>
      </c>
      <c r="C49" s="92"/>
      <c r="D49" s="92">
        <v>1800</v>
      </c>
      <c r="E49" s="92">
        <v>4865</v>
      </c>
      <c r="F49" s="92"/>
      <c r="G49" s="92"/>
      <c r="H49" s="92"/>
      <c r="I49" s="92"/>
    </row>
    <row r="50" spans="1:9" ht="15">
      <c r="A50" s="92">
        <v>2000</v>
      </c>
      <c r="B50" s="92">
        <v>54</v>
      </c>
      <c r="C50" s="92"/>
      <c r="D50" s="92">
        <v>2000</v>
      </c>
      <c r="E50" s="92">
        <v>5406</v>
      </c>
      <c r="F50" s="92"/>
      <c r="G50" s="92"/>
      <c r="H50" s="92"/>
      <c r="I50" s="92"/>
    </row>
    <row r="51" spans="1:9" ht="15">
      <c r="A51" s="92">
        <v>2500</v>
      </c>
      <c r="B51" s="92">
        <v>62</v>
      </c>
      <c r="C51" s="92"/>
      <c r="D51" s="92">
        <v>2500</v>
      </c>
      <c r="E51" s="92">
        <v>6760</v>
      </c>
      <c r="F51" s="92"/>
      <c r="G51" s="92"/>
      <c r="H51" s="92"/>
      <c r="I51" s="92"/>
    </row>
    <row r="59" spans="2:9" ht="15">
      <c r="B59" s="94" t="s">
        <v>106</v>
      </c>
      <c r="C59" s="94"/>
      <c r="D59" s="94"/>
      <c r="E59" s="95"/>
      <c r="G59" s="94" t="s">
        <v>107</v>
      </c>
      <c r="H59" s="94"/>
      <c r="I59" s="94"/>
    </row>
    <row r="61" spans="2:9" ht="30" customHeight="1">
      <c r="B61" s="96" t="s">
        <v>108</v>
      </c>
      <c r="C61" s="96"/>
      <c r="D61" s="97" t="s">
        <v>109</v>
      </c>
      <c r="E61" s="97"/>
      <c r="G61" s="98" t="s">
        <v>110</v>
      </c>
      <c r="H61" s="98" t="s">
        <v>111</v>
      </c>
      <c r="I61" s="98"/>
    </row>
    <row r="62" spans="2:9" ht="15">
      <c r="B62" s="99" t="s">
        <v>112</v>
      </c>
      <c r="C62" s="99" t="s">
        <v>113</v>
      </c>
      <c r="D62" s="99" t="s">
        <v>114</v>
      </c>
      <c r="E62" s="99" t="s">
        <v>115</v>
      </c>
      <c r="G62" s="98"/>
      <c r="H62" s="100" t="s">
        <v>21</v>
      </c>
      <c r="I62" s="100" t="s">
        <v>59</v>
      </c>
    </row>
    <row r="63" spans="2:9" ht="15">
      <c r="B63" s="99">
        <v>0</v>
      </c>
      <c r="C63" s="99">
        <v>3.5</v>
      </c>
      <c r="D63" s="99">
        <v>2</v>
      </c>
      <c r="E63" s="99"/>
      <c r="G63" s="100">
        <v>1.5</v>
      </c>
      <c r="H63" s="98">
        <f aca="true" t="shared" si="0" ref="H63:H65">ROUND(0.7854*G63*G63*1.5,1)</f>
        <v>2.7</v>
      </c>
      <c r="I63" s="98">
        <v>1.6</v>
      </c>
    </row>
    <row r="64" spans="2:9" ht="15">
      <c r="B64" s="99">
        <f aca="true" t="shared" si="1" ref="B64:B77">C63</f>
        <v>3.5</v>
      </c>
      <c r="C64" s="99">
        <v>6</v>
      </c>
      <c r="D64" s="99">
        <v>2.5</v>
      </c>
      <c r="E64" s="99"/>
      <c r="G64" s="98">
        <v>2</v>
      </c>
      <c r="H64" s="98">
        <f t="shared" si="0"/>
        <v>4.7</v>
      </c>
      <c r="I64" s="98">
        <v>2.9</v>
      </c>
    </row>
    <row r="65" spans="2:9" ht="15">
      <c r="B65" s="99">
        <f t="shared" si="1"/>
        <v>6</v>
      </c>
      <c r="C65" s="99">
        <v>8.5</v>
      </c>
      <c r="D65" s="99">
        <v>4</v>
      </c>
      <c r="E65" s="99"/>
      <c r="G65" s="98">
        <v>2.5</v>
      </c>
      <c r="H65" s="98">
        <f t="shared" si="0"/>
        <v>7.4</v>
      </c>
      <c r="I65" s="98">
        <v>4.5</v>
      </c>
    </row>
    <row r="66" spans="2:9" ht="15">
      <c r="B66" s="99">
        <f t="shared" si="1"/>
        <v>8.5</v>
      </c>
      <c r="C66" s="99">
        <v>10.5</v>
      </c>
      <c r="D66" s="99">
        <v>5</v>
      </c>
      <c r="E66" s="99"/>
      <c r="G66" s="98">
        <v>3</v>
      </c>
      <c r="H66" s="98">
        <f>ROUND(0.7854*G66*G66*1.5,0)</f>
        <v>11</v>
      </c>
      <c r="I66" s="98">
        <v>7</v>
      </c>
    </row>
    <row r="67" spans="2:9" ht="15">
      <c r="B67" s="99">
        <f t="shared" si="1"/>
        <v>10.5</v>
      </c>
      <c r="C67" s="99">
        <v>13</v>
      </c>
      <c r="D67" s="99">
        <v>6</v>
      </c>
      <c r="E67" s="99"/>
      <c r="G67" s="98">
        <v>3.5</v>
      </c>
      <c r="H67" s="98">
        <v>14.5</v>
      </c>
      <c r="I67" s="98">
        <v>8.9</v>
      </c>
    </row>
    <row r="68" spans="2:9" ht="15">
      <c r="B68" s="99">
        <f t="shared" si="1"/>
        <v>13</v>
      </c>
      <c r="C68" s="99">
        <v>15</v>
      </c>
      <c r="D68" s="99">
        <v>7</v>
      </c>
      <c r="E68" s="99">
        <v>3</v>
      </c>
      <c r="G68" s="100">
        <v>4</v>
      </c>
      <c r="H68" s="98">
        <f aca="true" t="shared" si="2" ref="H68:H80">ROUND(0.7854*G68*G68*1.5,0)</f>
        <v>19</v>
      </c>
      <c r="I68" s="98">
        <v>12</v>
      </c>
    </row>
    <row r="69" spans="2:9" ht="15">
      <c r="B69" s="99">
        <f t="shared" si="1"/>
        <v>15</v>
      </c>
      <c r="C69" s="99">
        <v>18</v>
      </c>
      <c r="D69" s="99">
        <v>8</v>
      </c>
      <c r="E69" s="99">
        <v>4</v>
      </c>
      <c r="G69" s="100">
        <v>5</v>
      </c>
      <c r="H69" s="98">
        <f t="shared" si="2"/>
        <v>29</v>
      </c>
      <c r="I69" s="98">
        <v>18</v>
      </c>
    </row>
    <row r="70" spans="2:9" ht="15">
      <c r="B70" s="99">
        <f t="shared" si="1"/>
        <v>18</v>
      </c>
      <c r="C70" s="99">
        <v>20</v>
      </c>
      <c r="D70" s="99">
        <v>9</v>
      </c>
      <c r="E70" s="99">
        <v>5</v>
      </c>
      <c r="G70" s="100">
        <v>6</v>
      </c>
      <c r="H70" s="98">
        <f t="shared" si="2"/>
        <v>42</v>
      </c>
      <c r="I70" s="98">
        <v>26</v>
      </c>
    </row>
    <row r="71" spans="2:9" ht="15">
      <c r="B71" s="99">
        <f t="shared" si="1"/>
        <v>20</v>
      </c>
      <c r="C71" s="99">
        <v>23</v>
      </c>
      <c r="D71" s="99">
        <v>10</v>
      </c>
      <c r="E71" s="99">
        <v>5</v>
      </c>
      <c r="G71" s="100">
        <v>7</v>
      </c>
      <c r="H71" s="98">
        <f t="shared" si="2"/>
        <v>58</v>
      </c>
      <c r="I71" s="98">
        <v>36</v>
      </c>
    </row>
    <row r="72" spans="2:9" ht="15">
      <c r="B72" s="99">
        <f t="shared" si="1"/>
        <v>23</v>
      </c>
      <c r="C72" s="99">
        <v>27.5</v>
      </c>
      <c r="D72" s="99">
        <v>12</v>
      </c>
      <c r="E72" s="99">
        <v>6</v>
      </c>
      <c r="G72" s="100">
        <v>8</v>
      </c>
      <c r="H72" s="98">
        <f t="shared" si="2"/>
        <v>75</v>
      </c>
      <c r="I72" s="98">
        <v>47</v>
      </c>
    </row>
    <row r="73" spans="2:9" ht="15">
      <c r="B73" s="99">
        <f t="shared" si="1"/>
        <v>27.5</v>
      </c>
      <c r="C73" s="99">
        <v>30.5</v>
      </c>
      <c r="D73" s="99">
        <v>14</v>
      </c>
      <c r="E73" s="99">
        <v>7</v>
      </c>
      <c r="G73" s="100">
        <v>9</v>
      </c>
      <c r="H73" s="98">
        <f t="shared" si="2"/>
        <v>95</v>
      </c>
      <c r="I73" s="98">
        <v>60</v>
      </c>
    </row>
    <row r="74" spans="2:9" ht="15">
      <c r="B74" s="99">
        <f t="shared" si="1"/>
        <v>30.5</v>
      </c>
      <c r="C74" s="99">
        <v>35</v>
      </c>
      <c r="D74" s="99">
        <v>16</v>
      </c>
      <c r="E74" s="99">
        <v>8</v>
      </c>
      <c r="G74" s="100">
        <v>10</v>
      </c>
      <c r="H74" s="98">
        <f t="shared" si="2"/>
        <v>118</v>
      </c>
      <c r="I74" s="98">
        <v>73</v>
      </c>
    </row>
    <row r="75" spans="2:9" ht="15">
      <c r="B75" s="99">
        <f t="shared" si="1"/>
        <v>35</v>
      </c>
      <c r="C75" s="99">
        <v>40</v>
      </c>
      <c r="D75" s="99">
        <v>18</v>
      </c>
      <c r="E75" s="99">
        <v>9</v>
      </c>
      <c r="G75" s="100">
        <v>12</v>
      </c>
      <c r="H75" s="98">
        <f t="shared" si="2"/>
        <v>170</v>
      </c>
      <c r="I75" s="98">
        <v>105</v>
      </c>
    </row>
    <row r="76" spans="2:9" ht="15">
      <c r="B76" s="99">
        <f t="shared" si="1"/>
        <v>40</v>
      </c>
      <c r="C76" s="99">
        <v>44</v>
      </c>
      <c r="D76" s="99">
        <v>20</v>
      </c>
      <c r="E76" s="99">
        <v>10</v>
      </c>
      <c r="G76" s="100">
        <v>14</v>
      </c>
      <c r="H76" s="98">
        <f t="shared" si="2"/>
        <v>231</v>
      </c>
      <c r="I76" s="98">
        <v>143</v>
      </c>
    </row>
    <row r="77" spans="2:9" ht="15">
      <c r="B77" s="99">
        <f t="shared" si="1"/>
        <v>44</v>
      </c>
      <c r="C77" s="99"/>
      <c r="D77" s="99">
        <v>22</v>
      </c>
      <c r="E77" s="99">
        <v>10</v>
      </c>
      <c r="G77" s="100">
        <v>16</v>
      </c>
      <c r="H77" s="98">
        <f t="shared" si="2"/>
        <v>302</v>
      </c>
      <c r="I77" s="98">
        <v>187</v>
      </c>
    </row>
    <row r="78" spans="7:9" ht="15">
      <c r="G78" s="100">
        <v>18</v>
      </c>
      <c r="H78" s="98">
        <f t="shared" si="2"/>
        <v>382</v>
      </c>
      <c r="I78" s="98">
        <v>237</v>
      </c>
    </row>
    <row r="79" spans="7:9" ht="15">
      <c r="G79" s="100">
        <v>20</v>
      </c>
      <c r="H79" s="98">
        <f t="shared" si="2"/>
        <v>471</v>
      </c>
      <c r="I79" s="98">
        <v>292</v>
      </c>
    </row>
    <row r="80" spans="7:9" ht="15">
      <c r="G80" s="100">
        <v>22</v>
      </c>
      <c r="H80" s="98">
        <f t="shared" si="2"/>
        <v>570</v>
      </c>
      <c r="I80" s="98">
        <v>353</v>
      </c>
    </row>
    <row r="84" spans="3:5" ht="15">
      <c r="C84" s="94" t="s">
        <v>116</v>
      </c>
      <c r="D84" s="94"/>
      <c r="E84" s="94"/>
    </row>
    <row r="86" spans="2:6" ht="30" customHeight="1">
      <c r="B86" s="97" t="s">
        <v>117</v>
      </c>
      <c r="C86" s="97"/>
      <c r="D86" s="97" t="s">
        <v>118</v>
      </c>
      <c r="E86" s="97"/>
      <c r="F86" s="97"/>
    </row>
    <row r="87" spans="2:6" ht="15">
      <c r="B87" s="99">
        <v>0</v>
      </c>
      <c r="C87" s="99">
        <v>10</v>
      </c>
      <c r="D87" s="99">
        <v>17</v>
      </c>
      <c r="E87" s="99" t="s">
        <v>119</v>
      </c>
      <c r="F87" s="99">
        <v>0.05</v>
      </c>
    </row>
    <row r="88" spans="2:6" ht="15">
      <c r="B88" s="99">
        <v>10.1</v>
      </c>
      <c r="C88" s="99">
        <v>20</v>
      </c>
      <c r="D88" s="99">
        <v>30</v>
      </c>
      <c r="E88" s="99" t="s">
        <v>119</v>
      </c>
      <c r="F88" s="99">
        <v>0.05</v>
      </c>
    </row>
    <row r="89" spans="2:6" ht="15">
      <c r="B89" s="99">
        <v>20.1</v>
      </c>
      <c r="C89" s="99">
        <v>35</v>
      </c>
      <c r="D89" s="99">
        <v>50</v>
      </c>
      <c r="E89" s="99" t="s">
        <v>119</v>
      </c>
      <c r="F89" s="99">
        <v>0.1</v>
      </c>
    </row>
    <row r="90" spans="2:6" ht="15">
      <c r="B90" s="99">
        <v>35.1</v>
      </c>
      <c r="C90" s="99">
        <v>55</v>
      </c>
      <c r="D90" s="99">
        <v>90</v>
      </c>
      <c r="E90" s="99" t="s">
        <v>119</v>
      </c>
      <c r="F90" s="99">
        <v>0.1</v>
      </c>
    </row>
    <row r="91" spans="2:6" ht="15">
      <c r="B91" s="99">
        <v>55.1</v>
      </c>
      <c r="C91" s="99"/>
      <c r="D91" s="99">
        <v>100</v>
      </c>
      <c r="E91" s="99" t="s">
        <v>119</v>
      </c>
      <c r="F91" s="99">
        <v>0.1</v>
      </c>
    </row>
    <row r="95" ht="15.75">
      <c r="B95" s="101" t="s">
        <v>120</v>
      </c>
    </row>
    <row r="96" spans="2:3" ht="15.75">
      <c r="B96" s="102" t="s">
        <v>121</v>
      </c>
      <c r="C96" s="103">
        <v>7.85</v>
      </c>
    </row>
    <row r="97" spans="2:3" ht="15.75">
      <c r="B97" s="104" t="s">
        <v>88</v>
      </c>
      <c r="C97" s="103">
        <v>2.703</v>
      </c>
    </row>
    <row r="98" spans="2:3" ht="15.75">
      <c r="B98" s="105" t="s">
        <v>61</v>
      </c>
      <c r="C98" s="103">
        <v>8.89</v>
      </c>
    </row>
    <row r="99" spans="2:3" ht="15.75">
      <c r="B99" s="102" t="s">
        <v>65</v>
      </c>
      <c r="C99" s="103">
        <v>110</v>
      </c>
    </row>
    <row r="100" spans="2:3" ht="15.75">
      <c r="B100" s="106" t="s">
        <v>122</v>
      </c>
      <c r="C100" s="103">
        <v>1.17</v>
      </c>
    </row>
    <row r="101" spans="2:3" ht="15.75">
      <c r="B101" s="106" t="s">
        <v>123</v>
      </c>
      <c r="C101" s="103">
        <v>0.93</v>
      </c>
    </row>
    <row r="102" spans="2:3" ht="15.75">
      <c r="B102" s="107" t="s">
        <v>62</v>
      </c>
      <c r="C102" s="103">
        <v>0.7</v>
      </c>
    </row>
    <row r="103" spans="2:3" ht="15.75">
      <c r="B103" s="107" t="s">
        <v>39</v>
      </c>
      <c r="C103" s="103">
        <v>1.5</v>
      </c>
    </row>
    <row r="104" spans="2:3" ht="15.75">
      <c r="B104" s="108" t="s">
        <v>124</v>
      </c>
      <c r="C104" s="103">
        <v>7.85</v>
      </c>
    </row>
    <row r="105" spans="2:3" ht="15.75">
      <c r="B105" s="102" t="s">
        <v>59</v>
      </c>
      <c r="C105" s="103">
        <v>0.9</v>
      </c>
    </row>
    <row r="106" spans="2:3" ht="15.75">
      <c r="B106" s="102" t="s">
        <v>60</v>
      </c>
      <c r="C106" s="103">
        <v>0.9</v>
      </c>
    </row>
    <row r="107" spans="2:3" ht="15.75">
      <c r="B107" s="102" t="s">
        <v>68</v>
      </c>
      <c r="C107" s="103">
        <v>1.5</v>
      </c>
    </row>
    <row r="108" spans="2:3" ht="15.75">
      <c r="B108" s="102" t="s">
        <v>67</v>
      </c>
      <c r="C108" s="103">
        <v>1.5</v>
      </c>
    </row>
    <row r="109" spans="2:3" ht="15.75">
      <c r="B109" s="102" t="s">
        <v>21</v>
      </c>
      <c r="C109" s="103">
        <v>1.5</v>
      </c>
    </row>
    <row r="110" spans="2:3" ht="15.75">
      <c r="B110" s="102" t="s">
        <v>66</v>
      </c>
      <c r="C110" s="103">
        <v>1.5</v>
      </c>
    </row>
    <row r="111" spans="2:3" ht="15.75">
      <c r="B111" s="102" t="s">
        <v>34</v>
      </c>
      <c r="C111" s="103">
        <v>0.5</v>
      </c>
    </row>
    <row r="112" spans="2:3" ht="15.75">
      <c r="B112" s="106" t="s">
        <v>125</v>
      </c>
      <c r="C112" s="103">
        <v>128</v>
      </c>
    </row>
    <row r="113" spans="2:3" ht="15.75">
      <c r="B113" s="109" t="s">
        <v>64</v>
      </c>
      <c r="C113" s="103">
        <v>110</v>
      </c>
    </row>
  </sheetData>
  <sheetProtection selectLockedCells="1" selectUnlockedCells="1"/>
  <mergeCells count="10">
    <mergeCell ref="A2:E3"/>
    <mergeCell ref="A27:E28"/>
    <mergeCell ref="B59:D59"/>
    <mergeCell ref="G59:I59"/>
    <mergeCell ref="B61:C61"/>
    <mergeCell ref="D61:E61"/>
    <mergeCell ref="H61:I61"/>
    <mergeCell ref="C84:E84"/>
    <mergeCell ref="B86:C86"/>
    <mergeCell ref="D86:F8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2016-02-03T13:10:50Z</dcterms:modified>
  <cp:category/>
  <cp:version/>
  <cp:contentType/>
  <cp:contentStatus/>
  <cp:revision>3</cp:revision>
</cp:coreProperties>
</file>