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yoder\Desktop\"/>
    </mc:Choice>
  </mc:AlternateContent>
  <bookViews>
    <workbookView xWindow="120" yWindow="30" windowWidth="21075" windowHeight="9780"/>
  </bookViews>
  <sheets>
    <sheet name="Bandwidth" sheetId="1" r:id="rId1"/>
    <sheet name="Belt Speed" sheetId="2" r:id="rId2"/>
    <sheet name="Inspection Time" sheetId="3" r:id="rId3"/>
  </sheets>
  <calcPr calcId="152511"/>
</workbook>
</file>

<file path=xl/calcChain.xml><?xml version="1.0" encoding="utf-8"?>
<calcChain xmlns="http://schemas.openxmlformats.org/spreadsheetml/2006/main">
  <c r="F25" i="1" l="1"/>
  <c r="F26" i="1"/>
  <c r="F27" i="1"/>
  <c r="D19" i="3" l="1"/>
  <c r="K13" i="2" l="1"/>
  <c r="G22" i="3" l="1"/>
  <c r="D25" i="3" l="1"/>
  <c r="G20" i="2" l="1"/>
  <c r="G19" i="2"/>
  <c r="G18" i="2"/>
  <c r="G27" i="2"/>
  <c r="G30" i="2" s="1"/>
  <c r="I24" i="2"/>
  <c r="I25" i="2" s="1"/>
  <c r="G16" i="2"/>
  <c r="G14" i="2"/>
  <c r="G15" i="2"/>
  <c r="I4" i="2"/>
  <c r="O15" i="2" s="1"/>
  <c r="I5" i="2" l="1"/>
  <c r="I6" i="2" s="1"/>
  <c r="I7" i="2" s="1"/>
  <c r="I29" i="2"/>
  <c r="I30" i="2" s="1"/>
  <c r="G29" i="2"/>
  <c r="F21" i="1"/>
  <c r="F23" i="1" l="1"/>
  <c r="F24" i="1"/>
  <c r="F20" i="1"/>
  <c r="F22" i="1"/>
  <c r="F19" i="1"/>
  <c r="H27" i="1" l="1"/>
  <c r="E14" i="1"/>
  <c r="H14" i="1" s="1"/>
  <c r="H13" i="1"/>
  <c r="F4" i="1" l="1"/>
  <c r="M4" i="1" l="1"/>
  <c r="M7" i="1" s="1"/>
  <c r="N4" i="1"/>
  <c r="N7" i="1" s="1"/>
  <c r="F7" i="1"/>
  <c r="K4" i="1"/>
  <c r="K7" i="1" s="1"/>
  <c r="L4" i="1"/>
  <c r="L7" i="1" s="1"/>
  <c r="I4" i="1"/>
  <c r="I7" i="1" s="1"/>
  <c r="H4" i="1"/>
  <c r="H7" i="1" s="1"/>
  <c r="J4" i="1"/>
  <c r="J7" i="1" s="1"/>
</calcChain>
</file>

<file path=xl/sharedStrings.xml><?xml version="1.0" encoding="utf-8"?>
<sst xmlns="http://schemas.openxmlformats.org/spreadsheetml/2006/main" count="164" uniqueCount="111">
  <si>
    <t>H</t>
  </si>
  <si>
    <t>w</t>
  </si>
  <si>
    <t>ppm</t>
  </si>
  <si>
    <t>byte per second</t>
  </si>
  <si>
    <t>3 cam</t>
  </si>
  <si>
    <t>4 cam</t>
  </si>
  <si>
    <t>2 Cam</t>
  </si>
  <si>
    <t>Cam 1</t>
  </si>
  <si>
    <t>Cam 2</t>
  </si>
  <si>
    <t>Cam 3</t>
  </si>
  <si>
    <t>Cam 4</t>
  </si>
  <si>
    <t>Percent of Bandwidth</t>
  </si>
  <si>
    <t>3/4 Ratio</t>
  </si>
  <si>
    <t>Pixels</t>
  </si>
  <si>
    <t>5 cam</t>
  </si>
  <si>
    <t>6 cam</t>
  </si>
  <si>
    <t>Cam 5</t>
  </si>
  <si>
    <t>Cam 6</t>
  </si>
  <si>
    <t>Belt Speed</t>
  </si>
  <si>
    <t>ft/min</t>
  </si>
  <si>
    <t>Part Dia</t>
  </si>
  <si>
    <t>inches</t>
  </si>
  <si>
    <t>Part Gap</t>
  </si>
  <si>
    <t>in</t>
  </si>
  <si>
    <t>mm</t>
  </si>
  <si>
    <t>cm</t>
  </si>
  <si>
    <t>M</t>
  </si>
  <si>
    <t>ft</t>
  </si>
  <si>
    <t>=</t>
  </si>
  <si>
    <t>inches in 1 msec</t>
  </si>
  <si>
    <t>msec to travel 1 inch</t>
  </si>
  <si>
    <t>msec between snaps</t>
  </si>
  <si>
    <t>Lighting Dwell</t>
  </si>
  <si>
    <t>1 pixel</t>
  </si>
  <si>
    <t>%</t>
  </si>
  <si>
    <t>usec</t>
  </si>
  <si>
    <t>Pixels traveled in</t>
  </si>
  <si>
    <t>Inches traveled in</t>
  </si>
  <si>
    <t>Cameras on 1 port</t>
  </si>
  <si>
    <t>Width</t>
  </si>
  <si>
    <t>Height</t>
  </si>
  <si>
    <t xml:space="preserve"> of port bandwidth</t>
  </si>
  <si>
    <t>80% and under</t>
  </si>
  <si>
    <t>Between 80% and 90%</t>
  </si>
  <si>
    <t>Above 90%</t>
  </si>
  <si>
    <t>Parts per minute</t>
  </si>
  <si>
    <t>1 inch</t>
  </si>
  <si>
    <t>Dia in Pixels</t>
  </si>
  <si>
    <t>part rate</t>
  </si>
  <si>
    <t>one every</t>
  </si>
  <si>
    <t>ms</t>
  </si>
  <si>
    <t>Inspection time</t>
  </si>
  <si>
    <t>Cam 7</t>
  </si>
  <si>
    <t>Cam 8</t>
  </si>
  <si>
    <t>Total</t>
  </si>
  <si>
    <t>(total inspection time / 4) / (time between parts)</t>
  </si>
  <si>
    <t>or less Good</t>
  </si>
  <si>
    <t>or higher bad</t>
  </si>
  <si>
    <t>(fudge factors)</t>
  </si>
  <si>
    <t>Acq Time</t>
  </si>
  <si>
    <t>Inspection Time</t>
  </si>
  <si>
    <t>+</t>
  </si>
  <si>
    <t>Total Time</t>
  </si>
  <si>
    <t>Inches</t>
  </si>
  <si>
    <t>PD1/PD2 acq times</t>
  </si>
  <si>
    <t>PD3/PD4 acq times</t>
  </si>
  <si>
    <t xml:space="preserve">Reject distance from snap </t>
  </si>
  <si>
    <t>1 Gigabyte per second = 118,000,000 bytes with Jumbo</t>
  </si>
  <si>
    <t>Application</t>
  </si>
  <si>
    <t>LoRes</t>
  </si>
  <si>
    <t>HiRes</t>
  </si>
  <si>
    <t>Shell</t>
  </si>
  <si>
    <t>CE</t>
  </si>
  <si>
    <t>Panel</t>
  </si>
  <si>
    <t>Rivet</t>
  </si>
  <si>
    <t>Bottle</t>
  </si>
  <si>
    <t>Base</t>
  </si>
  <si>
    <t>Neck</t>
  </si>
  <si>
    <t>Seal</t>
  </si>
  <si>
    <t>1 Cam Sidewall</t>
  </si>
  <si>
    <t>28 mm Cap</t>
  </si>
  <si>
    <t>1 cam</t>
  </si>
  <si>
    <t>2 cam</t>
  </si>
  <si>
    <t>FHCP</t>
  </si>
  <si>
    <t>Fill</t>
  </si>
  <si>
    <t>Color 1</t>
  </si>
  <si>
    <t>Color 2</t>
  </si>
  <si>
    <t>Label</t>
  </si>
  <si>
    <t>Flag</t>
  </si>
  <si>
    <t>Skew</t>
  </si>
  <si>
    <t>CPX</t>
  </si>
  <si>
    <t>2 Cam Mux</t>
  </si>
  <si>
    <t>EZO</t>
  </si>
  <si>
    <t>1 Cam</t>
  </si>
  <si>
    <t>Food End</t>
  </si>
  <si>
    <t>IOC</t>
  </si>
  <si>
    <t>Flange</t>
  </si>
  <si>
    <t>Body</t>
  </si>
  <si>
    <t>Dome</t>
  </si>
  <si>
    <t xml:space="preserve">Lugged Closure </t>
  </si>
  <si>
    <t>Product (3 lugs)</t>
  </si>
  <si>
    <t>Preform</t>
  </si>
  <si>
    <t>End Cap</t>
  </si>
  <si>
    <t>Sidewall PCR</t>
  </si>
  <si>
    <t>PSW1</t>
  </si>
  <si>
    <t>Cam 9</t>
  </si>
  <si>
    <t>Cam 10</t>
  </si>
  <si>
    <t>Cam 11</t>
  </si>
  <si>
    <t>Cam 12</t>
  </si>
  <si>
    <t>7 Cam</t>
  </si>
  <si>
    <t>8 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</si>
</sst>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/>
    <xf numFmtId="9" fontId="0" fillId="3" borderId="1" xfId="0" applyNumberFormat="1" applyFill="1" applyBorder="1"/>
    <xf numFmtId="10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8" borderId="0" xfId="0" applyFill="1"/>
    <xf numFmtId="0" fontId="0" fillId="8" borderId="2" xfId="0" applyFill="1" applyBorder="1"/>
    <xf numFmtId="0" fontId="0" fillId="6" borderId="1" xfId="0" applyFill="1" applyBorder="1" applyAlignment="1">
      <alignment horizontal="right" vertical="center"/>
    </xf>
    <xf numFmtId="0" fontId="1" fillId="8" borderId="0" xfId="0" applyFont="1" applyFill="1" applyBorder="1" applyAlignment="1">
      <alignment horizontal="center"/>
    </xf>
    <xf numFmtId="0" fontId="0" fillId="8" borderId="0" xfId="0" applyFill="1" applyBorder="1"/>
    <xf numFmtId="0" fontId="1" fillId="7" borderId="1" xfId="0" applyNumberFormat="1" applyFont="1" applyFill="1" applyBorder="1" applyAlignment="1">
      <alignment horizontal="center" vertical="center"/>
    </xf>
    <xf numFmtId="9" fontId="0" fillId="8" borderId="0" xfId="0" applyNumberFormat="1" applyFill="1"/>
    <xf numFmtId="3" fontId="0" fillId="8" borderId="0" xfId="0" applyNumberFormat="1" applyFill="1"/>
    <xf numFmtId="10" fontId="0" fillId="8" borderId="0" xfId="0" applyNumberFormat="1" applyFill="1"/>
    <xf numFmtId="3" fontId="1" fillId="0" borderId="1" xfId="0" applyNumberFormat="1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0" fillId="6" borderId="1" xfId="0" applyNumberFormat="1" applyFill="1" applyBorder="1"/>
    <xf numFmtId="2" fontId="1" fillId="0" borderId="1" xfId="0" applyNumberFormat="1" applyFont="1" applyBorder="1" applyAlignment="1">
      <alignment horizontal="center" vertical="center"/>
    </xf>
    <xf numFmtId="0" fontId="0" fillId="8" borderId="0" xfId="0" applyFill="1" applyAlignment="1">
      <alignment horizontal="right" vertical="center"/>
    </xf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0" fillId="9" borderId="8" xfId="0" applyFill="1" applyBorder="1"/>
    <xf numFmtId="0" fontId="1" fillId="9" borderId="9" xfId="0" applyFont="1" applyFill="1" applyBorder="1" applyAlignment="1">
      <alignment horizontal="center"/>
    </xf>
    <xf numFmtId="0" fontId="0" fillId="9" borderId="9" xfId="0" applyFill="1" applyBorder="1"/>
    <xf numFmtId="0" fontId="0" fillId="9" borderId="10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3" xfId="0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" xfId="0" applyFill="1" applyBorder="1"/>
    <xf numFmtId="0" fontId="0" fillId="10" borderId="13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6" borderId="1" xfId="0" applyFill="1" applyBorder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E5" sqref="E5"/>
    </sheetView>
  </sheetViews>
  <sheetFormatPr defaultRowHeight="15" x14ac:dyDescent="0.25"/>
  <cols>
    <col min="1" max="1" width="3.140625" customWidth="1"/>
    <col min="2" max="2" width="8.140625" customWidth="1"/>
    <col min="5" max="5" width="11.5703125" bestFit="1" customWidth="1"/>
    <col min="6" max="6" width="14.85546875" customWidth="1"/>
    <col min="7" max="7" width="4" customWidth="1"/>
    <col min="8" max="8" width="12.28515625" customWidth="1"/>
    <col min="9" max="9" width="11.140625" bestFit="1" customWidth="1"/>
    <col min="10" max="11" width="12" customWidth="1"/>
    <col min="12" max="12" width="11.140625" bestFit="1" customWidth="1"/>
    <col min="13" max="14" width="13.7109375" customWidth="1"/>
    <col min="15" max="15" width="3.85546875" customWidth="1"/>
  </cols>
  <sheetData>
    <row r="1" spans="2:1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25">
      <c r="B3" s="11"/>
      <c r="C3" s="11" t="s">
        <v>0</v>
      </c>
      <c r="D3" s="11" t="s">
        <v>1</v>
      </c>
      <c r="E3" s="11" t="s">
        <v>2</v>
      </c>
      <c r="F3" s="11" t="s">
        <v>3</v>
      </c>
      <c r="G3" s="11"/>
      <c r="H3" s="11" t="s">
        <v>6</v>
      </c>
      <c r="I3" s="11" t="s">
        <v>4</v>
      </c>
      <c r="J3" s="11" t="s">
        <v>5</v>
      </c>
      <c r="K3" s="11" t="s">
        <v>14</v>
      </c>
      <c r="L3" s="11" t="s">
        <v>15</v>
      </c>
      <c r="M3" s="11" t="s">
        <v>109</v>
      </c>
      <c r="N3" s="11" t="s">
        <v>110</v>
      </c>
      <c r="O3" s="11"/>
    </row>
    <row r="4" spans="2:15" x14ac:dyDescent="0.25">
      <c r="B4" s="11"/>
      <c r="C4" s="20">
        <v>640</v>
      </c>
      <c r="D4" s="20">
        <v>480</v>
      </c>
      <c r="E4" s="20">
        <v>2600</v>
      </c>
      <c r="F4" s="2">
        <f>(C4 * D4) * (E4/60)</f>
        <v>13312000</v>
      </c>
      <c r="G4" s="18"/>
      <c r="H4" s="2">
        <f>2 * F4</f>
        <v>26624000</v>
      </c>
      <c r="I4" s="2">
        <f>3 * F4</f>
        <v>39936000</v>
      </c>
      <c r="J4" s="2">
        <f>4 * F4</f>
        <v>53248000</v>
      </c>
      <c r="K4" s="2">
        <f>5 * F4</f>
        <v>66560000</v>
      </c>
      <c r="L4" s="2">
        <f>6 * F4</f>
        <v>79872000</v>
      </c>
      <c r="M4" s="2">
        <f>7 * F4</f>
        <v>93184000</v>
      </c>
      <c r="N4" s="2">
        <f>8 * F4</f>
        <v>106496000</v>
      </c>
      <c r="O4" s="11"/>
    </row>
    <row r="5" spans="2:1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x14ac:dyDescent="0.25">
      <c r="B6" s="11"/>
      <c r="C6" s="11"/>
      <c r="D6" s="11"/>
      <c r="E6" s="11"/>
      <c r="F6" s="11" t="s">
        <v>7</v>
      </c>
      <c r="G6" s="11"/>
      <c r="H6" s="11" t="s">
        <v>8</v>
      </c>
      <c r="I6" s="11" t="s">
        <v>9</v>
      </c>
      <c r="J6" s="11" t="s">
        <v>10</v>
      </c>
      <c r="K6" s="11" t="s">
        <v>16</v>
      </c>
      <c r="L6" s="11" t="s">
        <v>17</v>
      </c>
      <c r="M6" s="11" t="s">
        <v>52</v>
      </c>
      <c r="N6" s="11" t="s">
        <v>53</v>
      </c>
      <c r="O6" s="11"/>
    </row>
    <row r="7" spans="2:15" x14ac:dyDescent="0.25">
      <c r="B7" s="11"/>
      <c r="C7" s="11"/>
      <c r="D7" s="18" t="s">
        <v>11</v>
      </c>
      <c r="E7" s="11"/>
      <c r="F7" s="3">
        <f>(F4/118000000)</f>
        <v>0.11281355932203389</v>
      </c>
      <c r="G7" s="11"/>
      <c r="H7" s="3">
        <f>(H4/118000000)</f>
        <v>0.22562711864406779</v>
      </c>
      <c r="I7" s="3">
        <f>(I4/118000000)</f>
        <v>0.33844067796610172</v>
      </c>
      <c r="J7" s="3">
        <f>(J4/118000000)</f>
        <v>0.45125423728813557</v>
      </c>
      <c r="K7" s="3">
        <f>(K4/118000000)</f>
        <v>0.56406779661016948</v>
      </c>
      <c r="L7" s="3">
        <f>(L4/118000000)</f>
        <v>0.67688135593220344</v>
      </c>
      <c r="M7" s="3">
        <f>(M4/118000000)</f>
        <v>0.7896949152542373</v>
      </c>
      <c r="N7" s="3">
        <f>(N4/118000000)</f>
        <v>0.90250847457627115</v>
      </c>
      <c r="O7" s="11"/>
    </row>
    <row r="8" spans="2:1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11"/>
      <c r="C9" s="11" t="s">
        <v>67</v>
      </c>
      <c r="D9" s="17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x14ac:dyDescent="0.25">
      <c r="B10" s="11"/>
      <c r="C10" s="11"/>
      <c r="D10" s="17"/>
      <c r="E10" s="18"/>
      <c r="F10" s="11"/>
      <c r="G10" s="11"/>
      <c r="H10" s="11"/>
      <c r="I10" s="11"/>
      <c r="J10" s="5" t="s">
        <v>42</v>
      </c>
      <c r="K10" s="5"/>
      <c r="L10" s="11"/>
      <c r="M10" s="11"/>
      <c r="N10" s="11"/>
      <c r="O10" s="11"/>
    </row>
    <row r="11" spans="2:15" x14ac:dyDescent="0.25">
      <c r="B11" s="11"/>
      <c r="C11" s="11"/>
      <c r="D11" s="11"/>
      <c r="E11" s="11"/>
      <c r="F11" s="11"/>
      <c r="G11" s="11"/>
      <c r="H11" s="11"/>
      <c r="I11" s="11"/>
      <c r="J11" s="6" t="s">
        <v>43</v>
      </c>
      <c r="K11" s="6"/>
      <c r="L11" s="11"/>
      <c r="M11" s="11"/>
      <c r="N11" s="11"/>
      <c r="O11" s="11"/>
    </row>
    <row r="12" spans="2:15" x14ac:dyDescent="0.25">
      <c r="B12" s="11"/>
      <c r="C12" s="11"/>
      <c r="D12" s="11" t="s">
        <v>12</v>
      </c>
      <c r="E12" s="21" t="s">
        <v>39</v>
      </c>
      <c r="F12" s="21" t="s">
        <v>40</v>
      </c>
      <c r="G12" s="11"/>
      <c r="H12" s="11" t="s">
        <v>13</v>
      </c>
      <c r="I12" s="11"/>
      <c r="J12" s="7" t="s">
        <v>44</v>
      </c>
      <c r="K12" s="7"/>
      <c r="L12" s="11"/>
      <c r="M12" s="11"/>
      <c r="N12" s="11"/>
      <c r="O12" s="11"/>
    </row>
    <row r="13" spans="2:15" x14ac:dyDescent="0.25">
      <c r="B13" s="11"/>
      <c r="C13" s="11"/>
      <c r="D13" s="11"/>
      <c r="E13" s="20">
        <v>1280</v>
      </c>
      <c r="F13" s="1">
        <v>960</v>
      </c>
      <c r="G13" s="11"/>
      <c r="H13" s="2">
        <f>(E13 * F13)</f>
        <v>1228800</v>
      </c>
      <c r="I13" s="11"/>
      <c r="J13" s="11"/>
      <c r="K13" s="11"/>
      <c r="L13" s="11"/>
      <c r="M13" s="11"/>
      <c r="N13" s="11"/>
      <c r="O13" s="11"/>
    </row>
    <row r="14" spans="2:15" x14ac:dyDescent="0.25">
      <c r="B14" s="11"/>
      <c r="C14" s="11"/>
      <c r="D14" s="11"/>
      <c r="E14" s="1">
        <f>(F14/3)*4</f>
        <v>640</v>
      </c>
      <c r="F14" s="20">
        <v>480</v>
      </c>
      <c r="G14" s="11"/>
      <c r="H14" s="2">
        <f>(E14 * F14)</f>
        <v>307200</v>
      </c>
      <c r="I14" s="11"/>
      <c r="J14" s="11"/>
      <c r="K14" s="11"/>
      <c r="L14" s="11"/>
      <c r="M14" s="11"/>
      <c r="N14" s="11"/>
      <c r="O14" s="11"/>
    </row>
    <row r="15" spans="2:15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x14ac:dyDescent="0.25">
      <c r="B17" s="11" t="s">
        <v>38</v>
      </c>
      <c r="C17" s="11"/>
      <c r="D17" s="11"/>
      <c r="E17" s="11"/>
      <c r="F17" s="18"/>
      <c r="G17" s="11"/>
      <c r="H17" s="11"/>
      <c r="I17" s="19"/>
      <c r="J17" s="11"/>
      <c r="K17" s="11"/>
      <c r="L17" s="11"/>
      <c r="M17" s="11"/>
      <c r="N17" s="11"/>
      <c r="O17" s="11"/>
    </row>
    <row r="18" spans="2:15" x14ac:dyDescent="0.25">
      <c r="B18" s="11"/>
      <c r="C18" s="11" t="s">
        <v>0</v>
      </c>
      <c r="D18" s="11" t="s">
        <v>1</v>
      </c>
      <c r="E18" s="11" t="s">
        <v>2</v>
      </c>
      <c r="F18" s="11" t="s">
        <v>3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2:15" x14ac:dyDescent="0.25">
      <c r="B19" s="11"/>
      <c r="C19" s="20">
        <v>640</v>
      </c>
      <c r="D19" s="20">
        <v>480</v>
      </c>
      <c r="E19" s="20">
        <v>3700</v>
      </c>
      <c r="F19" s="2">
        <f>(C19 * D19) * (E19/60)</f>
        <v>18944000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2:15" x14ac:dyDescent="0.25">
      <c r="B20" s="11"/>
      <c r="C20" s="20">
        <v>640</v>
      </c>
      <c r="D20" s="20">
        <v>480</v>
      </c>
      <c r="E20" s="20">
        <v>3700</v>
      </c>
      <c r="F20" s="2">
        <f t="shared" ref="F20:F22" si="0">(C20 * D20) * (E20/60)</f>
        <v>18944000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2:15" x14ac:dyDescent="0.25">
      <c r="B21" s="11"/>
      <c r="C21" s="20">
        <v>640</v>
      </c>
      <c r="D21" s="20">
        <v>480</v>
      </c>
      <c r="E21" s="20">
        <v>3700</v>
      </c>
      <c r="F21" s="2">
        <f t="shared" si="0"/>
        <v>18944000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2:15" x14ac:dyDescent="0.25">
      <c r="B22" s="11"/>
      <c r="C22" s="20">
        <v>640</v>
      </c>
      <c r="D22" s="20">
        <v>480</v>
      </c>
      <c r="E22" s="20">
        <v>3700</v>
      </c>
      <c r="F22" s="2">
        <f t="shared" si="0"/>
        <v>18944000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2:15" x14ac:dyDescent="0.25">
      <c r="B23" s="11"/>
      <c r="C23" s="20"/>
      <c r="D23" s="20"/>
      <c r="E23" s="20"/>
      <c r="F23" s="2">
        <f t="shared" ref="F23:F25" si="1">(C23 * D23) * (E23/60)</f>
        <v>0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2:15" x14ac:dyDescent="0.25">
      <c r="B24" s="11"/>
      <c r="C24" s="20"/>
      <c r="D24" s="20"/>
      <c r="E24" s="20"/>
      <c r="F24" s="2">
        <f t="shared" si="1"/>
        <v>0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2:15" x14ac:dyDescent="0.25">
      <c r="B25" s="11"/>
      <c r="C25" s="20"/>
      <c r="D25" s="20"/>
      <c r="E25" s="20"/>
      <c r="F25" s="2">
        <f t="shared" ref="F25:F27" si="2">(C25 * D25) * (E25/60)</f>
        <v>0</v>
      </c>
      <c r="G25" s="11"/>
      <c r="H25" s="11"/>
      <c r="I25" s="11"/>
      <c r="J25" s="11"/>
      <c r="K25" s="11"/>
      <c r="L25" s="11"/>
      <c r="M25" s="11"/>
      <c r="N25" s="11"/>
      <c r="O25" s="11"/>
    </row>
    <row r="26" spans="2:15" x14ac:dyDescent="0.25">
      <c r="B26" s="11"/>
      <c r="C26" s="20"/>
      <c r="D26" s="20"/>
      <c r="E26" s="20"/>
      <c r="F26" s="2">
        <f t="shared" si="2"/>
        <v>0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2:15" x14ac:dyDescent="0.25">
      <c r="B27" s="11"/>
      <c r="C27" s="20"/>
      <c r="D27" s="20"/>
      <c r="E27" s="20"/>
      <c r="F27" s="2">
        <f t="shared" si="2"/>
        <v>0</v>
      </c>
      <c r="G27" s="11"/>
      <c r="H27" s="4">
        <f>(F27/118000000)</f>
        <v>0</v>
      </c>
      <c r="I27" s="11" t="s">
        <v>41</v>
      </c>
      <c r="J27" s="11"/>
      <c r="K27" s="11"/>
      <c r="L27" s="11"/>
      <c r="M27" s="11"/>
      <c r="N27" s="11"/>
      <c r="O27" s="11"/>
    </row>
    <row r="28" spans="2:15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conditionalFormatting sqref="F7 H7:N7">
    <cfRule type="cellIs" dxfId="11" priority="10" operator="greaterThan">
      <formula>0.9</formula>
    </cfRule>
    <cfRule type="cellIs" dxfId="10" priority="11" operator="between">
      <formula>0.8</formula>
      <formula>0.9</formula>
    </cfRule>
    <cfRule type="cellIs" dxfId="9" priority="12" operator="lessThan">
      <formula>0.8</formula>
    </cfRule>
  </conditionalFormatting>
  <conditionalFormatting sqref="H27">
    <cfRule type="cellIs" dxfId="8" priority="1" operator="lessThan">
      <formula>0.8</formula>
    </cfRule>
    <cfRule type="cellIs" dxfId="7" priority="2" operator="between">
      <formula>0.8</formula>
      <formula>0.9</formula>
    </cfRule>
    <cfRule type="cellIs" dxfId="6" priority="3" operator="greaterThan">
      <formula>0.9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O14" sqref="O14"/>
    </sheetView>
  </sheetViews>
  <sheetFormatPr defaultRowHeight="15" x14ac:dyDescent="0.25"/>
  <cols>
    <col min="1" max="2" width="2.28515625" customWidth="1"/>
    <col min="3" max="3" width="2" customWidth="1"/>
    <col min="4" max="4" width="13.5703125" customWidth="1"/>
    <col min="5" max="5" width="6.42578125" customWidth="1"/>
    <col min="6" max="6" width="3.85546875" customWidth="1"/>
    <col min="8" max="8" width="5.42578125" customWidth="1"/>
    <col min="9" max="9" width="13.28515625" customWidth="1"/>
    <col min="10" max="10" width="20.85546875" customWidth="1"/>
    <col min="11" max="11" width="16.28515625" customWidth="1"/>
    <col min="12" max="12" width="3.140625" customWidth="1"/>
    <col min="13" max="13" width="10" customWidth="1"/>
    <col min="14" max="14" width="1.85546875" customWidth="1"/>
    <col min="15" max="15" width="14.85546875" customWidth="1"/>
  </cols>
  <sheetData>
    <row r="1" spans="2:17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x14ac:dyDescent="0.25">
      <c r="B3" s="11"/>
      <c r="C3" s="11"/>
      <c r="D3" s="11" t="s">
        <v>18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x14ac:dyDescent="0.25">
      <c r="B4" s="11"/>
      <c r="C4" s="11"/>
      <c r="D4" s="16">
        <v>754.6</v>
      </c>
      <c r="E4" s="11" t="s">
        <v>19</v>
      </c>
      <c r="F4" s="11"/>
      <c r="G4" s="11"/>
      <c r="H4" s="11"/>
      <c r="I4" s="13">
        <f>(D4/60000)*12</f>
        <v>0.15092</v>
      </c>
      <c r="J4" s="12" t="s">
        <v>29</v>
      </c>
      <c r="K4" s="15"/>
      <c r="L4" s="54">
        <v>15.78</v>
      </c>
      <c r="M4" s="54"/>
      <c r="N4" s="52" t="s">
        <v>64</v>
      </c>
      <c r="O4" s="52"/>
      <c r="P4" s="52"/>
      <c r="Q4" s="11"/>
    </row>
    <row r="5" spans="2:17" x14ac:dyDescent="0.25">
      <c r="B5" s="11"/>
      <c r="C5" s="11"/>
      <c r="D5" s="11"/>
      <c r="E5" s="11"/>
      <c r="F5" s="11"/>
      <c r="G5" s="11"/>
      <c r="H5" s="11"/>
      <c r="I5" s="13">
        <f>(1/I4)</f>
        <v>6.6260270341902991</v>
      </c>
      <c r="J5" s="12" t="s">
        <v>30</v>
      </c>
      <c r="K5" s="15"/>
      <c r="L5" s="54">
        <v>45.78</v>
      </c>
      <c r="M5" s="54"/>
      <c r="N5" s="52" t="s">
        <v>65</v>
      </c>
      <c r="O5" s="52"/>
      <c r="P5" s="52"/>
      <c r="Q5" s="11"/>
    </row>
    <row r="6" spans="2:17" x14ac:dyDescent="0.25">
      <c r="B6" s="11"/>
      <c r="C6" s="11"/>
      <c r="D6" s="11" t="s">
        <v>20</v>
      </c>
      <c r="E6" s="11"/>
      <c r="F6" s="11"/>
      <c r="G6" s="11"/>
      <c r="H6" s="11"/>
      <c r="I6" s="13">
        <f>(D7+D10)*I5</f>
        <v>24.251258945136495</v>
      </c>
      <c r="J6" s="12" t="s">
        <v>31</v>
      </c>
      <c r="K6" s="15"/>
      <c r="L6" s="11"/>
      <c r="M6" s="11"/>
      <c r="N6" s="11"/>
      <c r="O6" s="11"/>
      <c r="P6" s="11"/>
      <c r="Q6" s="11"/>
    </row>
    <row r="7" spans="2:17" x14ac:dyDescent="0.25">
      <c r="B7" s="11"/>
      <c r="C7" s="11"/>
      <c r="D7" s="16">
        <v>2.68</v>
      </c>
      <c r="E7" s="11" t="s">
        <v>21</v>
      </c>
      <c r="F7" s="11"/>
      <c r="G7" s="11"/>
      <c r="H7" s="11"/>
      <c r="I7" s="13">
        <f>(1/I6)*60000</f>
        <v>2474.0983606557375</v>
      </c>
      <c r="J7" s="12" t="s">
        <v>45</v>
      </c>
      <c r="K7" s="15"/>
      <c r="L7" s="11"/>
      <c r="M7" s="11"/>
      <c r="N7" s="11"/>
      <c r="O7" s="11"/>
      <c r="P7" s="11"/>
      <c r="Q7" s="11"/>
    </row>
    <row r="8" spans="2:17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x14ac:dyDescent="0.25">
      <c r="B9" s="11"/>
      <c r="C9" s="11"/>
      <c r="D9" s="11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17" x14ac:dyDescent="0.25">
      <c r="B10" s="11"/>
      <c r="C10" s="11"/>
      <c r="D10" s="16">
        <v>0.98</v>
      </c>
      <c r="E10" s="11" t="s">
        <v>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28" t="s">
        <v>62</v>
      </c>
      <c r="L12" s="11" t="s">
        <v>28</v>
      </c>
      <c r="M12" s="11" t="s">
        <v>59</v>
      </c>
      <c r="N12" s="11" t="s">
        <v>61</v>
      </c>
      <c r="O12" s="11" t="s">
        <v>60</v>
      </c>
      <c r="P12" s="11"/>
      <c r="Q12" s="11"/>
    </row>
    <row r="13" spans="2:17" x14ac:dyDescent="0.25">
      <c r="B13" s="11"/>
      <c r="C13" s="30"/>
      <c r="D13" s="31"/>
      <c r="E13" s="31"/>
      <c r="F13" s="31"/>
      <c r="G13" s="31"/>
      <c r="H13" s="32"/>
      <c r="I13" s="11"/>
      <c r="J13" s="11"/>
      <c r="K13" s="8">
        <f>(M13+O13)</f>
        <v>45.78</v>
      </c>
      <c r="L13" s="11"/>
      <c r="M13" s="10">
        <v>15.78</v>
      </c>
      <c r="N13" s="11"/>
      <c r="O13" s="10">
        <v>30</v>
      </c>
      <c r="P13" s="11"/>
      <c r="Q13" s="11"/>
    </row>
    <row r="14" spans="2:17" x14ac:dyDescent="0.25">
      <c r="B14" s="11"/>
      <c r="C14" s="29"/>
      <c r="D14" s="9">
        <v>25</v>
      </c>
      <c r="E14" s="33" t="s">
        <v>24</v>
      </c>
      <c r="F14" s="33" t="s">
        <v>28</v>
      </c>
      <c r="G14" s="8">
        <f>D14/25.4</f>
        <v>0.98425196850393704</v>
      </c>
      <c r="H14" s="34" t="s">
        <v>23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2:17" x14ac:dyDescent="0.25">
      <c r="B15" s="11"/>
      <c r="C15" s="29"/>
      <c r="D15" s="9">
        <v>1</v>
      </c>
      <c r="E15" s="33" t="s">
        <v>25</v>
      </c>
      <c r="F15" s="33" t="s">
        <v>28</v>
      </c>
      <c r="G15" s="8">
        <f>D15/2.54</f>
        <v>0.39370078740157477</v>
      </c>
      <c r="H15" s="34" t="s">
        <v>23</v>
      </c>
      <c r="I15" s="11"/>
      <c r="J15" s="11"/>
      <c r="K15" s="11" t="s">
        <v>66</v>
      </c>
      <c r="L15" s="11"/>
      <c r="M15" s="11"/>
      <c r="N15" s="11" t="s">
        <v>28</v>
      </c>
      <c r="O15" s="25">
        <f>K13*I4</f>
        <v>6.9091176000000001</v>
      </c>
      <c r="P15" s="11" t="s">
        <v>63</v>
      </c>
      <c r="Q15" s="11"/>
    </row>
    <row r="16" spans="2:17" x14ac:dyDescent="0.25">
      <c r="B16" s="11"/>
      <c r="C16" s="29"/>
      <c r="D16" s="9">
        <v>230</v>
      </c>
      <c r="E16" s="33" t="s">
        <v>26</v>
      </c>
      <c r="F16" s="33" t="s">
        <v>28</v>
      </c>
      <c r="G16" s="8">
        <f>D16*3.2808</f>
        <v>754.58400000000006</v>
      </c>
      <c r="H16" s="34" t="s">
        <v>27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2:17" x14ac:dyDescent="0.25">
      <c r="B17" s="11"/>
      <c r="C17" s="29"/>
      <c r="D17" s="33"/>
      <c r="E17" s="33"/>
      <c r="F17" s="33"/>
      <c r="G17" s="33"/>
      <c r="H17" s="34"/>
      <c r="I17" s="11"/>
      <c r="J17" s="11"/>
      <c r="K17" s="11"/>
      <c r="L17" s="11"/>
      <c r="M17" s="11"/>
      <c r="N17" s="11"/>
      <c r="O17" s="11"/>
      <c r="P17" s="11"/>
      <c r="Q17" s="11"/>
    </row>
    <row r="18" spans="2:17" x14ac:dyDescent="0.25">
      <c r="B18" s="11"/>
      <c r="C18" s="29"/>
      <c r="D18" s="9">
        <v>0.98399999999999999</v>
      </c>
      <c r="E18" s="33" t="s">
        <v>23</v>
      </c>
      <c r="F18" s="33" t="s">
        <v>28</v>
      </c>
      <c r="G18" s="8">
        <f>D18*25.4</f>
        <v>24.993599999999997</v>
      </c>
      <c r="H18" s="34" t="s">
        <v>24</v>
      </c>
      <c r="I18" s="11"/>
      <c r="J18" s="11"/>
      <c r="K18" s="11"/>
      <c r="L18" s="11"/>
      <c r="M18" s="11"/>
      <c r="N18" s="11"/>
      <c r="O18" s="11"/>
      <c r="P18" s="11"/>
      <c r="Q18" s="11"/>
    </row>
    <row r="19" spans="2:17" x14ac:dyDescent="0.25">
      <c r="B19" s="11"/>
      <c r="C19" s="29"/>
      <c r="D19" s="9">
        <v>0.39300000000000002</v>
      </c>
      <c r="E19" s="33" t="s">
        <v>23</v>
      </c>
      <c r="F19" s="33" t="s">
        <v>28</v>
      </c>
      <c r="G19" s="8">
        <f>D19*2.54</f>
        <v>0.99822000000000011</v>
      </c>
      <c r="H19" s="34" t="s">
        <v>25</v>
      </c>
      <c r="I19" s="11"/>
      <c r="J19" s="11"/>
      <c r="K19" s="11"/>
      <c r="L19" s="11"/>
      <c r="M19" s="11"/>
      <c r="N19" s="11"/>
      <c r="O19" s="11"/>
      <c r="P19" s="11"/>
      <c r="Q19" s="11"/>
    </row>
    <row r="20" spans="2:17" x14ac:dyDescent="0.25">
      <c r="B20" s="11"/>
      <c r="C20" s="29"/>
      <c r="D20" s="9">
        <v>754.58</v>
      </c>
      <c r="E20" s="33" t="s">
        <v>27</v>
      </c>
      <c r="F20" s="33" t="s">
        <v>28</v>
      </c>
      <c r="G20" s="8">
        <f>D20/3.2808</f>
        <v>229.99878078517435</v>
      </c>
      <c r="H20" s="34" t="s">
        <v>26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2:17" x14ac:dyDescent="0.25">
      <c r="B21" s="11"/>
      <c r="C21" s="35"/>
      <c r="D21" s="36"/>
      <c r="E21" s="37"/>
      <c r="F21" s="37"/>
      <c r="G21" s="37"/>
      <c r="H21" s="38"/>
      <c r="I21" s="11"/>
      <c r="J21" s="11"/>
      <c r="K21" s="11"/>
      <c r="L21" s="11"/>
      <c r="M21" s="11"/>
      <c r="N21" s="11"/>
      <c r="O21" s="11"/>
      <c r="P21" s="11"/>
      <c r="Q21" s="11"/>
    </row>
    <row r="22" spans="2:17" x14ac:dyDescent="0.25">
      <c r="B22" s="11"/>
      <c r="C22" s="11"/>
      <c r="D22" s="14"/>
      <c r="E22" s="11"/>
      <c r="F22" s="11"/>
      <c r="G22" s="1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x14ac:dyDescent="0.25">
      <c r="B23" s="11"/>
      <c r="C23" s="11"/>
      <c r="D23" s="11" t="s">
        <v>47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x14ac:dyDescent="0.25">
      <c r="B24" s="11"/>
      <c r="C24" s="11"/>
      <c r="D24" s="10">
        <v>440</v>
      </c>
      <c r="E24" s="11"/>
      <c r="F24" s="11"/>
      <c r="G24" s="11" t="s">
        <v>33</v>
      </c>
      <c r="H24" s="11" t="s">
        <v>28</v>
      </c>
      <c r="I24" s="8">
        <f>(D7/D24)</f>
        <v>6.0909090909090913E-3</v>
      </c>
      <c r="J24" s="12" t="s">
        <v>21</v>
      </c>
      <c r="K24" s="15"/>
      <c r="L24" s="11"/>
      <c r="M24" s="11"/>
      <c r="N24" s="11"/>
      <c r="O24" s="11"/>
      <c r="P24" s="11"/>
      <c r="Q24" s="11"/>
    </row>
    <row r="25" spans="2:17" x14ac:dyDescent="0.25">
      <c r="B25" s="11"/>
      <c r="C25" s="11"/>
      <c r="D25" s="11"/>
      <c r="E25" s="11"/>
      <c r="F25" s="11"/>
      <c r="G25" s="11" t="s">
        <v>46</v>
      </c>
      <c r="H25" s="11" t="s">
        <v>28</v>
      </c>
      <c r="I25" s="8">
        <f>(1/I24)</f>
        <v>164.17910447761193</v>
      </c>
      <c r="J25" s="12" t="s">
        <v>13</v>
      </c>
      <c r="K25" s="15"/>
      <c r="L25" s="11"/>
      <c r="M25" s="11"/>
      <c r="N25" s="11"/>
      <c r="O25" s="11"/>
      <c r="P25" s="11"/>
      <c r="Q25" s="11"/>
    </row>
    <row r="26" spans="2:17" x14ac:dyDescent="0.25">
      <c r="B26" s="11"/>
      <c r="C26" s="11"/>
      <c r="D26" s="11" t="s">
        <v>32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x14ac:dyDescent="0.25">
      <c r="B27" s="11"/>
      <c r="C27" s="11"/>
      <c r="D27" s="10">
        <v>30</v>
      </c>
      <c r="E27" s="11" t="s">
        <v>34</v>
      </c>
      <c r="F27" s="11" t="s">
        <v>28</v>
      </c>
      <c r="G27" s="8">
        <f>(D27/100) * 255</f>
        <v>76.5</v>
      </c>
      <c r="H27" s="12" t="s">
        <v>35</v>
      </c>
      <c r="I27" s="11"/>
      <c r="J27" s="11"/>
      <c r="K27" s="11"/>
      <c r="L27" s="11"/>
      <c r="M27" s="11"/>
      <c r="N27" s="11"/>
      <c r="O27" s="11"/>
      <c r="P27" s="11"/>
      <c r="Q27" s="11"/>
    </row>
    <row r="28" spans="2:17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x14ac:dyDescent="0.25">
      <c r="B29" s="11"/>
      <c r="C29" s="11"/>
      <c r="D29" s="53" t="s">
        <v>37</v>
      </c>
      <c r="E29" s="53"/>
      <c r="F29" s="53"/>
      <c r="G29" s="11">
        <f>G27</f>
        <v>76.5</v>
      </c>
      <c r="H29" s="11" t="s">
        <v>35</v>
      </c>
      <c r="I29" s="8">
        <f>(I4 *G27)/1000</f>
        <v>1.1545379999999999E-2</v>
      </c>
      <c r="J29" s="11"/>
      <c r="K29" s="11"/>
      <c r="L29" s="11"/>
      <c r="M29" s="11"/>
      <c r="N29" s="11"/>
      <c r="O29" s="11"/>
      <c r="P29" s="11"/>
      <c r="Q29" s="11"/>
    </row>
    <row r="30" spans="2:17" x14ac:dyDescent="0.25">
      <c r="B30" s="11"/>
      <c r="C30" s="11"/>
      <c r="D30" s="53" t="s">
        <v>36</v>
      </c>
      <c r="E30" s="53"/>
      <c r="F30" s="53"/>
      <c r="G30" s="11">
        <f>G27</f>
        <v>76.5</v>
      </c>
      <c r="H30" s="11" t="s">
        <v>35</v>
      </c>
      <c r="I30" s="8">
        <f>I24/I29</f>
        <v>0.52756246142691632</v>
      </c>
      <c r="J30" s="11"/>
      <c r="K30" s="11"/>
      <c r="L30" s="11"/>
      <c r="M30" s="11"/>
      <c r="N30" s="11"/>
      <c r="O30" s="11"/>
      <c r="P30" s="11"/>
      <c r="Q30" s="11"/>
    </row>
    <row r="31" spans="2:17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7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7" x14ac:dyDescent="0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7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7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7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7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7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7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7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7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7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7" x14ac:dyDescent="0.25">
      <c r="C48" s="22"/>
      <c r="D48" s="22"/>
      <c r="E48" s="22"/>
      <c r="F48" s="22"/>
      <c r="G48" s="22"/>
      <c r="H48" s="22"/>
      <c r="K48" s="22"/>
      <c r="L48" s="22"/>
      <c r="M48" s="22"/>
      <c r="N48" s="22"/>
    </row>
    <row r="49" spans="3:14" x14ac:dyDescent="0.25">
      <c r="C49" s="22"/>
      <c r="D49" s="22"/>
      <c r="E49" s="22"/>
      <c r="F49" s="22"/>
      <c r="G49" s="22"/>
      <c r="H49" s="22"/>
      <c r="K49" s="22"/>
      <c r="L49" s="22"/>
      <c r="M49" s="22"/>
      <c r="N49" s="22"/>
    </row>
  </sheetData>
  <mergeCells count="6">
    <mergeCell ref="N4:P4"/>
    <mergeCell ref="N5:P5"/>
    <mergeCell ref="D29:F29"/>
    <mergeCell ref="D30:F30"/>
    <mergeCell ref="L4:M4"/>
    <mergeCell ref="L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workbookViewId="0">
      <selection activeCell="J28" sqref="J28"/>
    </sheetView>
  </sheetViews>
  <sheetFormatPr defaultRowHeight="15" x14ac:dyDescent="0.25"/>
  <cols>
    <col min="4" max="4" width="8.85546875" customWidth="1"/>
    <col min="6" max="6" width="10.42578125" customWidth="1"/>
    <col min="8" max="9" width="5" customWidth="1"/>
    <col min="18" max="18" width="14.28515625" customWidth="1"/>
  </cols>
  <sheetData>
    <row r="2" spans="2:21" x14ac:dyDescent="0.25">
      <c r="P2" s="39"/>
      <c r="Q2" s="40"/>
      <c r="R2" s="40"/>
      <c r="S2" s="40"/>
      <c r="T2" s="40"/>
      <c r="U2" s="41"/>
    </row>
    <row r="3" spans="2:21" x14ac:dyDescent="0.25">
      <c r="P3" s="42"/>
      <c r="Q3" s="43" t="s">
        <v>68</v>
      </c>
      <c r="R3" s="43"/>
      <c r="S3" s="43" t="s">
        <v>69</v>
      </c>
      <c r="T3" s="43" t="s">
        <v>70</v>
      </c>
      <c r="U3" s="44"/>
    </row>
    <row r="4" spans="2:21" x14ac:dyDescent="0.25">
      <c r="P4" s="42"/>
      <c r="Q4" s="48" t="s">
        <v>71</v>
      </c>
      <c r="R4" s="49"/>
      <c r="S4" s="50">
        <v>5</v>
      </c>
      <c r="T4" s="50">
        <v>12</v>
      </c>
      <c r="U4" s="44"/>
    </row>
    <row r="5" spans="2:21" x14ac:dyDescent="0.25">
      <c r="B5" s="11"/>
      <c r="C5" s="11"/>
      <c r="D5" s="11"/>
      <c r="E5" s="11"/>
      <c r="F5" s="11"/>
      <c r="G5" s="11"/>
      <c r="H5" s="11"/>
      <c r="P5" s="42"/>
      <c r="Q5" s="39" t="s">
        <v>72</v>
      </c>
      <c r="R5" s="40"/>
      <c r="S5" s="40"/>
      <c r="T5" s="41"/>
      <c r="U5" s="44"/>
    </row>
    <row r="6" spans="2:21" x14ac:dyDescent="0.25">
      <c r="B6" s="11"/>
      <c r="C6" s="55" t="s">
        <v>51</v>
      </c>
      <c r="D6" s="55"/>
      <c r="E6" s="55"/>
      <c r="F6" s="11"/>
      <c r="G6" s="11"/>
      <c r="H6" s="11"/>
      <c r="K6" t="s">
        <v>55</v>
      </c>
      <c r="P6" s="42"/>
      <c r="Q6" s="42"/>
      <c r="R6" s="50" t="s">
        <v>73</v>
      </c>
      <c r="S6" s="50">
        <v>12</v>
      </c>
      <c r="T6" s="50">
        <v>30</v>
      </c>
      <c r="U6" s="44"/>
    </row>
    <row r="7" spans="2:21" x14ac:dyDescent="0.25">
      <c r="B7" s="11"/>
      <c r="C7" s="11" t="s">
        <v>7</v>
      </c>
      <c r="D7" s="23">
        <v>30</v>
      </c>
      <c r="E7" s="11" t="s">
        <v>50</v>
      </c>
      <c r="F7" s="11"/>
      <c r="G7" s="11"/>
      <c r="H7" s="11"/>
      <c r="K7" t="s">
        <v>58</v>
      </c>
      <c r="P7" s="42"/>
      <c r="Q7" s="45"/>
      <c r="R7" s="50" t="s">
        <v>74</v>
      </c>
      <c r="S7" s="50">
        <v>8</v>
      </c>
      <c r="T7" s="50">
        <v>18</v>
      </c>
      <c r="U7" s="44"/>
    </row>
    <row r="8" spans="2:21" x14ac:dyDescent="0.25">
      <c r="B8" s="11"/>
      <c r="C8" s="11" t="s">
        <v>8</v>
      </c>
      <c r="D8" s="23">
        <v>30</v>
      </c>
      <c r="E8" s="11" t="s">
        <v>50</v>
      </c>
      <c r="F8" s="11"/>
      <c r="G8" s="11"/>
      <c r="H8" s="11"/>
      <c r="K8" s="27">
        <v>0.85</v>
      </c>
      <c r="L8" t="s">
        <v>56</v>
      </c>
      <c r="P8" s="42"/>
      <c r="Q8" s="39" t="s">
        <v>75</v>
      </c>
      <c r="R8" s="40"/>
      <c r="S8" s="40"/>
      <c r="T8" s="41"/>
      <c r="U8" s="44"/>
    </row>
    <row r="9" spans="2:21" x14ac:dyDescent="0.25">
      <c r="B9" s="11"/>
      <c r="C9" s="11" t="s">
        <v>9</v>
      </c>
      <c r="D9" s="23">
        <v>30</v>
      </c>
      <c r="E9" s="11" t="s">
        <v>50</v>
      </c>
      <c r="F9" s="11"/>
      <c r="G9" s="11"/>
      <c r="H9" s="11"/>
      <c r="K9" s="27">
        <v>0.95</v>
      </c>
      <c r="L9" t="s">
        <v>57</v>
      </c>
      <c r="P9" s="42"/>
      <c r="Q9" s="42"/>
      <c r="R9" s="50" t="s">
        <v>76</v>
      </c>
      <c r="S9" s="50">
        <v>8</v>
      </c>
      <c r="T9" s="44"/>
      <c r="U9" s="44"/>
    </row>
    <row r="10" spans="2:21" x14ac:dyDescent="0.25">
      <c r="B10" s="11"/>
      <c r="C10" s="11" t="s">
        <v>10</v>
      </c>
      <c r="D10" s="23">
        <v>30</v>
      </c>
      <c r="E10" s="11" t="s">
        <v>50</v>
      </c>
      <c r="F10" s="11"/>
      <c r="G10" s="11"/>
      <c r="H10" s="11"/>
      <c r="P10" s="42"/>
      <c r="Q10" s="42"/>
      <c r="R10" s="50" t="s">
        <v>77</v>
      </c>
      <c r="S10" s="50">
        <v>3</v>
      </c>
      <c r="T10" s="44"/>
      <c r="U10" s="44"/>
    </row>
    <row r="11" spans="2:21" x14ac:dyDescent="0.25">
      <c r="B11" s="11"/>
      <c r="C11" s="11" t="s">
        <v>16</v>
      </c>
      <c r="D11" s="23">
        <v>8</v>
      </c>
      <c r="E11" s="11" t="s">
        <v>50</v>
      </c>
      <c r="F11" s="11"/>
      <c r="G11" s="11"/>
      <c r="H11" s="11"/>
      <c r="P11" s="42"/>
      <c r="Q11" s="42"/>
      <c r="R11" s="50" t="s">
        <v>78</v>
      </c>
      <c r="S11" s="50">
        <v>2</v>
      </c>
      <c r="T11" s="44"/>
      <c r="U11" s="44"/>
    </row>
    <row r="12" spans="2:21" x14ac:dyDescent="0.25">
      <c r="B12" s="11"/>
      <c r="C12" s="11" t="s">
        <v>17</v>
      </c>
      <c r="D12" s="23">
        <v>8</v>
      </c>
      <c r="E12" s="11" t="s">
        <v>50</v>
      </c>
      <c r="F12" s="11"/>
      <c r="G12" s="11"/>
      <c r="H12" s="11"/>
      <c r="P12" s="42"/>
      <c r="Q12" s="45"/>
      <c r="R12" s="50" t="s">
        <v>79</v>
      </c>
      <c r="S12" s="50">
        <v>4</v>
      </c>
      <c r="T12" s="47"/>
      <c r="U12" s="44"/>
    </row>
    <row r="13" spans="2:21" x14ac:dyDescent="0.25">
      <c r="B13" s="11"/>
      <c r="C13" s="11" t="s">
        <v>52</v>
      </c>
      <c r="D13" s="23">
        <v>8</v>
      </c>
      <c r="E13" s="11" t="s">
        <v>50</v>
      </c>
      <c r="F13" s="11"/>
      <c r="G13" s="11"/>
      <c r="H13" s="11"/>
      <c r="P13" s="42"/>
      <c r="Q13" s="39" t="s">
        <v>80</v>
      </c>
      <c r="R13" s="40"/>
      <c r="S13" s="40"/>
      <c r="T13" s="41"/>
      <c r="U13" s="44"/>
    </row>
    <row r="14" spans="2:21" x14ac:dyDescent="0.25">
      <c r="B14" s="11"/>
      <c r="C14" s="11" t="s">
        <v>53</v>
      </c>
      <c r="D14" s="23">
        <v>8</v>
      </c>
      <c r="E14" s="11" t="s">
        <v>50</v>
      </c>
      <c r="F14" s="11"/>
      <c r="G14" s="11"/>
      <c r="H14" s="11"/>
      <c r="P14" s="42"/>
      <c r="Q14" s="42"/>
      <c r="R14" s="50" t="s">
        <v>81</v>
      </c>
      <c r="S14" s="50">
        <v>8</v>
      </c>
      <c r="T14" s="44"/>
      <c r="U14" s="44"/>
    </row>
    <row r="15" spans="2:21" x14ac:dyDescent="0.25">
      <c r="B15" s="11"/>
      <c r="C15" s="11" t="s">
        <v>105</v>
      </c>
      <c r="D15" s="23">
        <v>6</v>
      </c>
      <c r="E15" s="11" t="s">
        <v>50</v>
      </c>
      <c r="F15" s="11"/>
      <c r="G15" s="11"/>
      <c r="H15" s="11"/>
      <c r="P15" s="42"/>
      <c r="Q15" s="45"/>
      <c r="R15" s="50" t="s">
        <v>82</v>
      </c>
      <c r="S15" s="50">
        <v>10</v>
      </c>
      <c r="T15" s="47"/>
      <c r="U15" s="44"/>
    </row>
    <row r="16" spans="2:21" x14ac:dyDescent="0.25">
      <c r="B16" s="11"/>
      <c r="C16" s="11" t="s">
        <v>106</v>
      </c>
      <c r="D16" s="23">
        <v>6</v>
      </c>
      <c r="E16" s="11" t="s">
        <v>50</v>
      </c>
      <c r="F16" s="11"/>
      <c r="G16" s="11"/>
      <c r="H16" s="11"/>
      <c r="P16" s="42"/>
      <c r="Q16" s="39" t="s">
        <v>83</v>
      </c>
      <c r="R16" s="40"/>
      <c r="S16" s="40"/>
      <c r="T16" s="41"/>
      <c r="U16" s="44"/>
    </row>
    <row r="17" spans="2:21" x14ac:dyDescent="0.25">
      <c r="B17" s="11"/>
      <c r="C17" s="11" t="s">
        <v>107</v>
      </c>
      <c r="D17" s="23">
        <v>6</v>
      </c>
      <c r="E17" s="11" t="s">
        <v>50</v>
      </c>
      <c r="F17" s="11"/>
      <c r="G17" s="11"/>
      <c r="H17" s="11"/>
      <c r="P17" s="42"/>
      <c r="Q17" s="42"/>
      <c r="R17" s="51" t="s">
        <v>84</v>
      </c>
      <c r="S17" s="43"/>
      <c r="T17" s="50">
        <v>9</v>
      </c>
      <c r="U17" s="44"/>
    </row>
    <row r="18" spans="2:21" x14ac:dyDescent="0.25">
      <c r="B18" s="11"/>
      <c r="C18" s="11" t="s">
        <v>108</v>
      </c>
      <c r="D18" s="23">
        <v>6</v>
      </c>
      <c r="E18" s="11" t="s">
        <v>50</v>
      </c>
      <c r="F18" s="11"/>
      <c r="G18" s="11"/>
      <c r="H18" s="11"/>
      <c r="P18" s="42"/>
      <c r="Q18" s="42"/>
      <c r="R18" s="50" t="s">
        <v>85</v>
      </c>
      <c r="S18" s="50">
        <v>6</v>
      </c>
      <c r="T18" s="44"/>
      <c r="U18" s="44"/>
    </row>
    <row r="19" spans="2:21" x14ac:dyDescent="0.25">
      <c r="B19" s="11"/>
      <c r="C19" s="11" t="s">
        <v>54</v>
      </c>
      <c r="D19" s="25">
        <f xml:space="preserve"> SUM(D7:D18)</f>
        <v>176</v>
      </c>
      <c r="E19" s="11" t="s">
        <v>50</v>
      </c>
      <c r="F19" s="11"/>
      <c r="G19" s="11"/>
      <c r="H19" s="11"/>
      <c r="P19" s="42"/>
      <c r="Q19" s="45"/>
      <c r="R19" s="50" t="s">
        <v>86</v>
      </c>
      <c r="S19" s="50">
        <v>6</v>
      </c>
      <c r="T19" s="47"/>
      <c r="U19" s="44"/>
    </row>
    <row r="20" spans="2:21" x14ac:dyDescent="0.25">
      <c r="B20" s="11"/>
      <c r="C20" s="11"/>
      <c r="D20" s="11"/>
      <c r="E20" s="11"/>
      <c r="F20" s="11"/>
      <c r="G20" s="11"/>
      <c r="H20" s="11"/>
      <c r="P20" s="42"/>
      <c r="Q20" s="39" t="s">
        <v>87</v>
      </c>
      <c r="R20" s="43"/>
      <c r="S20" s="43"/>
      <c r="T20" s="41"/>
      <c r="U20" s="44"/>
    </row>
    <row r="21" spans="2:21" x14ac:dyDescent="0.25">
      <c r="B21" s="11"/>
      <c r="C21" s="11"/>
      <c r="D21" s="11"/>
      <c r="E21" s="11"/>
      <c r="F21" s="11"/>
      <c r="G21" s="11"/>
      <c r="H21" s="11"/>
      <c r="P21" s="42"/>
      <c r="Q21" s="42"/>
      <c r="R21" s="50" t="s">
        <v>88</v>
      </c>
      <c r="S21" s="50">
        <v>5</v>
      </c>
      <c r="T21" s="50">
        <v>12</v>
      </c>
      <c r="U21" s="44"/>
    </row>
    <row r="22" spans="2:21" x14ac:dyDescent="0.25">
      <c r="B22" s="11"/>
      <c r="C22" s="11" t="s">
        <v>48</v>
      </c>
      <c r="D22" s="24">
        <v>1200</v>
      </c>
      <c r="E22" s="11" t="s">
        <v>2</v>
      </c>
      <c r="F22" s="11" t="s">
        <v>49</v>
      </c>
      <c r="G22" s="26">
        <f>1/(D22/60000)</f>
        <v>50</v>
      </c>
      <c r="H22" s="11" t="s">
        <v>50</v>
      </c>
      <c r="P22" s="42"/>
      <c r="Q22" s="45"/>
      <c r="R22" s="50" t="s">
        <v>89</v>
      </c>
      <c r="S22" s="50">
        <v>7</v>
      </c>
      <c r="T22" s="50">
        <v>16</v>
      </c>
      <c r="U22" s="44"/>
    </row>
    <row r="23" spans="2:21" x14ac:dyDescent="0.25">
      <c r="B23" s="11"/>
      <c r="C23" s="11"/>
      <c r="D23" s="11"/>
      <c r="E23" s="11"/>
      <c r="F23" s="11"/>
      <c r="G23" s="11"/>
      <c r="H23" s="11"/>
      <c r="P23" s="42"/>
      <c r="Q23" s="39" t="s">
        <v>90</v>
      </c>
      <c r="R23" s="40"/>
      <c r="S23" s="40"/>
      <c r="T23" s="41"/>
      <c r="U23" s="44"/>
    </row>
    <row r="24" spans="2:21" x14ac:dyDescent="0.25">
      <c r="B24" s="11"/>
      <c r="C24" s="11"/>
      <c r="D24" s="11"/>
      <c r="E24" s="11"/>
      <c r="F24" s="11"/>
      <c r="G24" s="11"/>
      <c r="H24" s="11"/>
      <c r="P24" s="42"/>
      <c r="Q24" s="42"/>
      <c r="R24" s="50" t="s">
        <v>6</v>
      </c>
      <c r="S24" s="50">
        <v>12</v>
      </c>
      <c r="T24" s="44"/>
      <c r="U24" s="44"/>
    </row>
    <row r="25" spans="2:21" x14ac:dyDescent="0.25">
      <c r="B25" s="11"/>
      <c r="C25" s="11"/>
      <c r="D25" s="11">
        <f>(D19/4)/G22</f>
        <v>0.88</v>
      </c>
      <c r="E25" s="11"/>
      <c r="F25" s="11"/>
      <c r="G25" s="11"/>
      <c r="H25" s="11"/>
      <c r="P25" s="42"/>
      <c r="Q25" s="45"/>
      <c r="R25" s="50" t="s">
        <v>91</v>
      </c>
      <c r="S25" s="50">
        <v>10</v>
      </c>
      <c r="T25" s="47"/>
      <c r="U25" s="44"/>
    </row>
    <row r="26" spans="2:21" x14ac:dyDescent="0.25">
      <c r="B26" s="11"/>
      <c r="C26" s="11"/>
      <c r="D26" s="11"/>
      <c r="E26" s="11"/>
      <c r="F26" s="11"/>
      <c r="G26" s="11"/>
      <c r="H26" s="11"/>
      <c r="P26" s="42"/>
      <c r="Q26" s="39" t="s">
        <v>92</v>
      </c>
      <c r="R26" s="40"/>
      <c r="S26" s="40"/>
      <c r="T26" s="41"/>
      <c r="U26" s="44"/>
    </row>
    <row r="27" spans="2:21" x14ac:dyDescent="0.25">
      <c r="P27" s="42"/>
      <c r="Q27" s="42"/>
      <c r="R27" s="50" t="s">
        <v>93</v>
      </c>
      <c r="S27" s="50">
        <v>12</v>
      </c>
      <c r="T27" s="50">
        <v>26</v>
      </c>
      <c r="U27" s="44"/>
    </row>
    <row r="28" spans="2:21" x14ac:dyDescent="0.25">
      <c r="P28" s="42"/>
      <c r="Q28" s="42"/>
      <c r="R28" s="50" t="s">
        <v>73</v>
      </c>
      <c r="S28" s="50">
        <v>10</v>
      </c>
      <c r="T28" s="50">
        <v>21</v>
      </c>
      <c r="U28" s="44"/>
    </row>
    <row r="29" spans="2:21" x14ac:dyDescent="0.25">
      <c r="P29" s="42"/>
      <c r="Q29" s="45"/>
      <c r="R29" s="50" t="s">
        <v>74</v>
      </c>
      <c r="S29" s="50">
        <v>3</v>
      </c>
      <c r="T29" s="50">
        <v>7</v>
      </c>
      <c r="U29" s="44"/>
    </row>
    <row r="30" spans="2:21" x14ac:dyDescent="0.25">
      <c r="P30" s="42"/>
      <c r="Q30" s="48" t="s">
        <v>94</v>
      </c>
      <c r="R30" s="49"/>
      <c r="S30" s="50">
        <v>8</v>
      </c>
      <c r="T30" s="50">
        <v>18</v>
      </c>
      <c r="U30" s="44"/>
    </row>
    <row r="31" spans="2:21" x14ac:dyDescent="0.25">
      <c r="P31" s="42"/>
      <c r="Q31" s="39" t="s">
        <v>95</v>
      </c>
      <c r="R31" s="40"/>
      <c r="S31" s="40"/>
      <c r="T31" s="41"/>
      <c r="U31" s="44"/>
    </row>
    <row r="32" spans="2:21" x14ac:dyDescent="0.25">
      <c r="P32" s="42"/>
      <c r="Q32" s="42"/>
      <c r="R32" s="50" t="s">
        <v>77</v>
      </c>
      <c r="S32" s="50">
        <v>2</v>
      </c>
      <c r="T32" s="44"/>
      <c r="U32" s="44"/>
    </row>
    <row r="33" spans="16:21" x14ac:dyDescent="0.25">
      <c r="P33" s="42"/>
      <c r="Q33" s="42"/>
      <c r="R33" s="50" t="s">
        <v>96</v>
      </c>
      <c r="S33" s="50">
        <v>2</v>
      </c>
      <c r="T33" s="44"/>
      <c r="U33" s="44"/>
    </row>
    <row r="34" spans="16:21" x14ac:dyDescent="0.25">
      <c r="P34" s="42"/>
      <c r="Q34" s="42"/>
      <c r="R34" s="50" t="s">
        <v>97</v>
      </c>
      <c r="S34" s="50">
        <v>6</v>
      </c>
      <c r="T34" s="44"/>
      <c r="U34" s="44"/>
    </row>
    <row r="35" spans="16:21" x14ac:dyDescent="0.25">
      <c r="P35" s="42"/>
      <c r="Q35" s="45"/>
      <c r="R35" s="50" t="s">
        <v>98</v>
      </c>
      <c r="S35" s="50">
        <v>4</v>
      </c>
      <c r="T35" s="47"/>
      <c r="U35" s="44"/>
    </row>
    <row r="36" spans="16:21" x14ac:dyDescent="0.25">
      <c r="P36" s="42"/>
      <c r="Q36" s="39" t="s">
        <v>99</v>
      </c>
      <c r="R36" s="40"/>
      <c r="S36" s="40"/>
      <c r="T36" s="41"/>
      <c r="U36" s="44"/>
    </row>
    <row r="37" spans="16:21" x14ac:dyDescent="0.25">
      <c r="P37" s="42"/>
      <c r="Q37" s="45"/>
      <c r="R37" s="50" t="s">
        <v>100</v>
      </c>
      <c r="S37" s="50">
        <v>6</v>
      </c>
      <c r="T37" s="47"/>
      <c r="U37" s="44"/>
    </row>
    <row r="38" spans="16:21" x14ac:dyDescent="0.25">
      <c r="P38" s="42"/>
      <c r="Q38" s="39" t="s">
        <v>101</v>
      </c>
      <c r="R38" s="40"/>
      <c r="S38" s="40"/>
      <c r="T38" s="41"/>
      <c r="U38" s="44"/>
    </row>
    <row r="39" spans="16:21" x14ac:dyDescent="0.25">
      <c r="P39" s="42"/>
      <c r="Q39" s="42"/>
      <c r="R39" s="50" t="s">
        <v>78</v>
      </c>
      <c r="S39" s="50">
        <v>2</v>
      </c>
      <c r="T39" s="44"/>
      <c r="U39" s="44"/>
    </row>
    <row r="40" spans="16:21" x14ac:dyDescent="0.25">
      <c r="P40" s="42"/>
      <c r="Q40" s="42"/>
      <c r="R40" s="50" t="s">
        <v>102</v>
      </c>
      <c r="S40" s="50">
        <v>2</v>
      </c>
      <c r="T40" s="44"/>
      <c r="U40" s="44"/>
    </row>
    <row r="41" spans="16:21" x14ac:dyDescent="0.25">
      <c r="P41" s="42"/>
      <c r="Q41" s="42"/>
      <c r="R41" s="50" t="s">
        <v>103</v>
      </c>
      <c r="S41" s="50">
        <v>13</v>
      </c>
      <c r="T41" s="44"/>
      <c r="U41" s="44"/>
    </row>
    <row r="42" spans="16:21" x14ac:dyDescent="0.25">
      <c r="P42" s="42"/>
      <c r="Q42" s="45"/>
      <c r="R42" s="50" t="s">
        <v>104</v>
      </c>
      <c r="S42" s="50">
        <v>8</v>
      </c>
      <c r="T42" s="47"/>
      <c r="U42" s="44"/>
    </row>
    <row r="43" spans="16:21" x14ac:dyDescent="0.25">
      <c r="P43" s="45"/>
      <c r="Q43" s="46"/>
      <c r="R43" s="46"/>
      <c r="S43" s="46"/>
      <c r="T43" s="46"/>
      <c r="U43" s="47"/>
    </row>
  </sheetData>
  <mergeCells count="1">
    <mergeCell ref="C6:E6"/>
  </mergeCells>
  <conditionalFormatting sqref="D22">
    <cfRule type="expression" dxfId="5" priority="1">
      <formula>(((D19/4)/G22)&gt;(K9))</formula>
    </cfRule>
    <cfRule type="expression" dxfId="4" priority="2">
      <formula>AND((((D19/4)/G22)&gt;(K8)),((D19/4)/G22)&lt;K9)</formula>
    </cfRule>
    <cfRule type="expression" dxfId="3" priority="3">
      <formula>(((D19/4)/G22)&lt;(K8))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Bandwidth</vt:lpstr>
      <vt:lpstr>Belt Speed</vt:lpstr>
      <vt:lpstr>Inspection 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Yoder</dc:creator>
  <cp:lastModifiedBy>Mike Yoder</cp:lastModifiedBy>
  <cp:lastPrinted>2015-08-26T17:28:28Z</cp:lastPrinted>
  <dcterms:created xsi:type="dcterms:W3CDTF">2013-10-18T12:21:03Z</dcterms:created>
  <dcterms:modified xsi:type="dcterms:W3CDTF">2015-09-28T14:36:39Z</dcterms:modified>
</cp:coreProperties>
</file>