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9480" windowHeight="6990" tabRatio="725" activeTab="0"/>
  </bookViews>
  <sheets>
    <sheet name="Zusammenfassung" sheetId="1" r:id="rId1"/>
    <sheet name="Grafikaufbau" sheetId="2" r:id="rId2"/>
    <sheet name="mittlerer erzielte Energiepreis" sheetId="3" r:id="rId3"/>
    <sheet name="KalkulationNutzungsgrade" sheetId="4" r:id="rId4"/>
    <sheet name="Kalkulation Kosten" sheetId="5" r:id="rId5"/>
    <sheet name="Substratverbrauch'14-Baierlein" sheetId="6" r:id="rId6"/>
    <sheet name="Substratkosten" sheetId="7" r:id="rId7"/>
    <sheet name="Analyse Biogasprozess" sheetId="8" r:id="rId8"/>
  </sheets>
  <definedNames/>
  <calcPr fullCalcOnLoad="1"/>
</workbook>
</file>

<file path=xl/comments2.xml><?xml version="1.0" encoding="utf-8"?>
<comments xmlns="http://schemas.openxmlformats.org/spreadsheetml/2006/main">
  <authors>
    <author>GC</author>
  </authors>
  <commentList>
    <comment ref="C56" authorId="0">
      <text>
        <r>
          <rPr>
            <b/>
            <sz val="8"/>
            <rFont val="Tahoma"/>
            <family val="0"/>
          </rPr>
          <t>GC:</t>
        </r>
        <r>
          <rPr>
            <sz val="8"/>
            <rFont val="Tahoma"/>
            <family val="0"/>
          </rPr>
          <t xml:space="preserve">
3% Steigerung/a , in Summe 6% Steigerung gegenüber '14</t>
        </r>
      </text>
    </comment>
  </commentList>
</comments>
</file>

<file path=xl/sharedStrings.xml><?xml version="1.0" encoding="utf-8"?>
<sst xmlns="http://schemas.openxmlformats.org/spreadsheetml/2006/main" count="481" uniqueCount="225">
  <si>
    <t>Summe</t>
  </si>
  <si>
    <t xml:space="preserve">Schloss und Gut Wendlinghausen </t>
  </si>
  <si>
    <t xml:space="preserve">Name </t>
  </si>
  <si>
    <t>Jährliche Wärmenutzung</t>
  </si>
  <si>
    <t>Gewerbebetrieb Heitmeier GmbH</t>
  </si>
  <si>
    <t xml:space="preserve">Kindergarten </t>
  </si>
  <si>
    <t xml:space="preserve">Getreidetrocknung Meyer </t>
  </si>
  <si>
    <t xml:space="preserve">Sägewerk Hundertmark </t>
  </si>
  <si>
    <t xml:space="preserve">Privatimmobilien EFH/MFH </t>
  </si>
  <si>
    <t>2014 in kWh</t>
  </si>
  <si>
    <t>2014 in €</t>
  </si>
  <si>
    <t xml:space="preserve">Summe </t>
  </si>
  <si>
    <t>Wärmepreis</t>
  </si>
  <si>
    <t>2014 €/kWh</t>
  </si>
  <si>
    <t>KWK-Bonus</t>
  </si>
  <si>
    <t>Summe aus Preismittelwert+KWK-Bonus</t>
  </si>
  <si>
    <t>Ermittlung des mittleren Preises Wärmenutzung (Quelle: Geschäftsbericht 2014)</t>
  </si>
  <si>
    <t>Ermittlung des mittleren Preises Strom (Quelle: Geschäftsbericht 2014, Seite 2, 5)</t>
  </si>
  <si>
    <t>Strompreis</t>
  </si>
  <si>
    <t>Substratkosten Summe</t>
  </si>
  <si>
    <t>Ermittlung Substratkosten (Quelle: Geschäftsbericht 2014)</t>
  </si>
  <si>
    <t>Summe der Energie Strom, Wärme und der Einnahmen</t>
  </si>
  <si>
    <t>Einspeise Mengen und Erlöse Strom</t>
  </si>
  <si>
    <t>kWel</t>
  </si>
  <si>
    <t>Summe Stromlieferung</t>
  </si>
  <si>
    <t>kWh</t>
  </si>
  <si>
    <t>Jährliche Stromlieferung</t>
  </si>
  <si>
    <t>h</t>
  </si>
  <si>
    <t>Jahressumme h</t>
  </si>
  <si>
    <t>Maximal mögliche Jahressumme kWh</t>
  </si>
  <si>
    <t>Summe Wärmelieferung</t>
  </si>
  <si>
    <t>Verbrauch Maissilage</t>
  </si>
  <si>
    <t>Verbrauch GPS</t>
  </si>
  <si>
    <t>Verbrauch Roggen</t>
  </si>
  <si>
    <t>Verbrauch Rüben</t>
  </si>
  <si>
    <t>Monat</t>
  </si>
  <si>
    <t xml:space="preserve"> Summe </t>
  </si>
  <si>
    <t>Januar</t>
  </si>
  <si>
    <t>Februar</t>
  </si>
  <si>
    <t>März</t>
  </si>
  <si>
    <t>April</t>
  </si>
  <si>
    <t>Mai</t>
  </si>
  <si>
    <t>Juni</t>
  </si>
  <si>
    <t>Juli</t>
  </si>
  <si>
    <t>August</t>
  </si>
  <si>
    <t>September</t>
  </si>
  <si>
    <t>Oktober</t>
  </si>
  <si>
    <t>November</t>
  </si>
  <si>
    <t>Dezember</t>
  </si>
  <si>
    <t>Substratbestand</t>
  </si>
  <si>
    <t>Inventur 2014</t>
  </si>
  <si>
    <t>Verbrauch Rindermist</t>
  </si>
  <si>
    <t>Verbrauch Weizen</t>
  </si>
  <si>
    <t>Verbrauch Hähnchenmist</t>
  </si>
  <si>
    <t>Verbrauch Putenmist/HTK</t>
  </si>
  <si>
    <t xml:space="preserve"> Menge t </t>
  </si>
  <si>
    <t xml:space="preserve"> Preise € </t>
  </si>
  <si>
    <t xml:space="preserve"> Menge
 t </t>
  </si>
  <si>
    <t xml:space="preserve"> Preise
 € /t</t>
  </si>
  <si>
    <t>Summe Preis
 €</t>
  </si>
  <si>
    <r>
      <t>spez Methang-ertrag
m</t>
    </r>
    <r>
      <rPr>
        <vertAlign val="superscript"/>
        <sz val="9"/>
        <rFont val="Arial"/>
        <family val="0"/>
      </rPr>
      <t>3</t>
    </r>
    <r>
      <rPr>
        <sz val="9"/>
        <rFont val="Arial"/>
        <family val="0"/>
      </rPr>
      <t>/t FM</t>
    </r>
  </si>
  <si>
    <r>
      <t>Spez Biogas-ertrag
m</t>
    </r>
    <r>
      <rPr>
        <vertAlign val="superscript"/>
        <sz val="9"/>
        <rFont val="Arial"/>
        <family val="0"/>
      </rPr>
      <t>3</t>
    </r>
    <r>
      <rPr>
        <sz val="9"/>
        <rFont val="Arial"/>
        <family val="0"/>
      </rPr>
      <t>/t FM</t>
    </r>
  </si>
  <si>
    <t>spez
Methan-gehalt
%</t>
  </si>
  <si>
    <t>Methan-ertrag 
2014
m^3/a</t>
  </si>
  <si>
    <t>spez. 
Energie-
ausbeute
kWh/t</t>
  </si>
  <si>
    <t xml:space="preserve">
spez.
Energie-
preis
€/kWh</t>
  </si>
  <si>
    <t>Heizwert
CH3   für Normliter
kWh/m^3</t>
  </si>
  <si>
    <t>Bioener-gieertrag
2014
kWh/a</t>
  </si>
  <si>
    <t>Mit Mengen gewichteter Mittelwert für Substratpreis</t>
  </si>
  <si>
    <t>Mit kWh/a   gewichteter Mittelwert für Biogaspreis</t>
  </si>
  <si>
    <t>Wichtungswert</t>
  </si>
  <si>
    <t>Diese Bioenergiemenge muß mind. von d. BGA geliefert werden</t>
  </si>
  <si>
    <t xml:space="preserve">7. BHKW-Wartung inkl. Runderneuerung  </t>
  </si>
  <si>
    <t xml:space="preserve">8. Reparaturen Biogasanlage  </t>
  </si>
  <si>
    <t xml:space="preserve">9. Personal  </t>
  </si>
  <si>
    <t xml:space="preserve">10. Biologische Betreuung  </t>
  </si>
  <si>
    <t xml:space="preserve">11 . Eigenstrom  </t>
  </si>
  <si>
    <t xml:space="preserve">12. Sonstige Betriebskosten  </t>
  </si>
  <si>
    <t xml:space="preserve">13. Reserve für Unvorhergesehenes  </t>
  </si>
  <si>
    <t xml:space="preserve">14. Versicherungen  </t>
  </si>
  <si>
    <t xml:space="preserve">15. Verwaltungsaufwendungen </t>
  </si>
  <si>
    <t xml:space="preserve">16. Darlehenszinsen  </t>
  </si>
  <si>
    <t>Summe der Aufwendungen</t>
  </si>
  <si>
    <t>Tilgung Dahrlehen</t>
  </si>
  <si>
    <t>GB WH 2014</t>
  </si>
  <si>
    <t>JA NaWaRo 2014</t>
  </si>
  <si>
    <t>4. Materialaufwand</t>
  </si>
  <si>
    <t>b) Aufwendungen für bezogene Leistungen</t>
  </si>
  <si>
    <t>5. Personalaufwand</t>
  </si>
  <si>
    <t>a) Löhne und Gehälter</t>
  </si>
  <si>
    <t>b) Soziale Abgaben und Aufwendungen für Altersvers. U. Unterstütz.</t>
  </si>
  <si>
    <t>7. Sonstige betriebl Aufwend.</t>
  </si>
  <si>
    <t>a) Ordentliche betriebliche Aufwendungen</t>
  </si>
  <si>
    <t>aa) Raumkosten</t>
  </si>
  <si>
    <t>ab) Versicherungen, Beiträge und Abgaben</t>
  </si>
  <si>
    <t>ac) Reparaturen und Instandhaltungen</t>
  </si>
  <si>
    <t>ad) Verschiedene betriebliche Kosten</t>
  </si>
  <si>
    <t>b) Sonstige Aufwendungen im Rahmen der gewöhnlichen</t>
  </si>
  <si>
    <t>gehört nicht zu Aufwendungen</t>
  </si>
  <si>
    <t>9. Zinsen u ähnl Aufwendung</t>
  </si>
  <si>
    <t>AUFWENDUNGEN in € ohne Substratkosten</t>
  </si>
  <si>
    <t>Es wurden alle Kosten zur Aufwandsabschätzung verwendet, die den operativen Betrieb belasten</t>
  </si>
  <si>
    <t>€</t>
  </si>
  <si>
    <t>angesetzt</t>
  </si>
  <si>
    <t>Für weitere Rechnungen werden Aufwendungen von</t>
  </si>
  <si>
    <r>
      <t>Berechnung Nutzungsgrade  b</t>
    </r>
    <r>
      <rPr>
        <b/>
        <vertAlign val="subscript"/>
        <sz val="9"/>
        <rFont val="Arial"/>
        <family val="2"/>
      </rPr>
      <t xml:space="preserve">el </t>
    </r>
    <r>
      <rPr>
        <b/>
        <sz val="9"/>
        <rFont val="Arial"/>
        <family val="2"/>
      </rPr>
      <t>, b</t>
    </r>
    <r>
      <rPr>
        <b/>
        <vertAlign val="subscript"/>
        <sz val="9"/>
        <rFont val="Arial"/>
        <family val="2"/>
      </rPr>
      <t>th</t>
    </r>
    <r>
      <rPr>
        <b/>
        <sz val="9"/>
        <rFont val="Arial"/>
        <family val="2"/>
      </rPr>
      <t xml:space="preserve"> für alle BHKW gemeinsam für 2014</t>
    </r>
  </si>
  <si>
    <r>
      <t xml:space="preserve">Wirkungsgrade </t>
    </r>
    <r>
      <rPr>
        <b/>
        <sz val="9"/>
        <rFont val="Arial"/>
        <family val="0"/>
      </rPr>
      <t>η</t>
    </r>
    <r>
      <rPr>
        <b/>
        <vertAlign val="subscript"/>
        <sz val="9"/>
        <rFont val="Arial"/>
        <family val="2"/>
      </rPr>
      <t xml:space="preserve">el_BHKW </t>
    </r>
    <r>
      <rPr>
        <sz val="9"/>
        <rFont val="Arial Narrow"/>
        <family val="2"/>
      </rPr>
      <t>(Quelle:  http://www.2-g.com/de/patruus-50-bis-400-kw/)</t>
    </r>
  </si>
  <si>
    <r>
      <t>η</t>
    </r>
    <r>
      <rPr>
        <vertAlign val="subscript"/>
        <sz val="9"/>
        <rFont val="Arial"/>
        <family val="2"/>
      </rPr>
      <t>el</t>
    </r>
    <r>
      <rPr>
        <sz val="9"/>
        <rFont val="Arial"/>
        <family val="2"/>
      </rPr>
      <t xml:space="preserve">  %</t>
    </r>
  </si>
  <si>
    <r>
      <t>η</t>
    </r>
    <r>
      <rPr>
        <vertAlign val="subscript"/>
        <sz val="9"/>
        <rFont val="Arial"/>
        <family val="2"/>
      </rPr>
      <t xml:space="preserve">th  </t>
    </r>
    <r>
      <rPr>
        <sz val="9"/>
        <rFont val="Arial"/>
        <family val="2"/>
      </rPr>
      <t>%</t>
    </r>
  </si>
  <si>
    <r>
      <t>η</t>
    </r>
    <r>
      <rPr>
        <vertAlign val="subscript"/>
        <sz val="9"/>
        <rFont val="Arial"/>
        <family val="2"/>
      </rPr>
      <t xml:space="preserve">ges  </t>
    </r>
    <r>
      <rPr>
        <sz val="9"/>
        <rFont val="Arial"/>
        <family val="2"/>
      </rPr>
      <t>%</t>
    </r>
  </si>
  <si>
    <t>BHKW  im Ortskern</t>
  </si>
  <si>
    <r>
      <t>kW</t>
    </r>
    <r>
      <rPr>
        <vertAlign val="subscript"/>
        <sz val="9"/>
        <rFont val="Arial"/>
        <family val="2"/>
      </rPr>
      <t>el</t>
    </r>
  </si>
  <si>
    <t>BHKW beim Sägewerk</t>
  </si>
  <si>
    <t>BHKW bei der Biogasanlage</t>
  </si>
  <si>
    <r>
      <t>Berechnung Nutzungsgrade über alle BHKW, b</t>
    </r>
    <r>
      <rPr>
        <b/>
        <vertAlign val="subscript"/>
        <sz val="9"/>
        <color indexed="8"/>
        <rFont val="Arial"/>
        <family val="2"/>
      </rPr>
      <t xml:space="preserve">el </t>
    </r>
    <r>
      <rPr>
        <b/>
        <sz val="9"/>
        <color indexed="8"/>
        <rFont val="Arial"/>
        <family val="2"/>
      </rPr>
      <t>,b</t>
    </r>
    <r>
      <rPr>
        <b/>
        <vertAlign val="subscript"/>
        <sz val="9"/>
        <color indexed="8"/>
        <rFont val="Arial"/>
        <family val="2"/>
      </rPr>
      <t>th</t>
    </r>
    <r>
      <rPr>
        <b/>
        <sz val="9"/>
        <color indexed="8"/>
        <rFont val="Arial"/>
        <family val="2"/>
      </rPr>
      <t xml:space="preserve"> für 2014</t>
    </r>
  </si>
  <si>
    <r>
      <t>Berechnung Nutzungsgrad BGA, b</t>
    </r>
    <r>
      <rPr>
        <b/>
        <vertAlign val="subscript"/>
        <sz val="9"/>
        <color indexed="8"/>
        <rFont val="Arial"/>
        <family val="2"/>
      </rPr>
      <t xml:space="preserve">BGA </t>
    </r>
    <r>
      <rPr>
        <b/>
        <sz val="9"/>
        <color indexed="8"/>
        <rFont val="Arial"/>
        <family val="2"/>
      </rPr>
      <t>, einschließlich Fackel für 2014 (Quelle Menge, Preise, Summe€: 14_Wendlinghausen_Fifo-Tabelle Substratverbräuche.xlsx, Gasertrag: KTBL Homepage</t>
    </r>
  </si>
  <si>
    <r>
      <t>Nutzungsgrad b</t>
    </r>
    <r>
      <rPr>
        <b/>
        <vertAlign val="subscript"/>
        <sz val="9"/>
        <rFont val="Arial"/>
        <family val="2"/>
      </rPr>
      <t>BGA</t>
    </r>
  </si>
  <si>
    <r>
      <t>Nutzungsgrad BGA                                              b</t>
    </r>
    <r>
      <rPr>
        <vertAlign val="subscript"/>
        <sz val="9"/>
        <rFont val="Arial"/>
        <family val="2"/>
      </rPr>
      <t>BGA</t>
    </r>
  </si>
  <si>
    <r>
      <t>Thermischer Nutzungsgrad BHKW                  b</t>
    </r>
    <r>
      <rPr>
        <vertAlign val="subscript"/>
        <sz val="9"/>
        <rFont val="Arial"/>
        <family val="2"/>
      </rPr>
      <t>th_BHKW</t>
    </r>
  </si>
  <si>
    <r>
      <t>Elektrischer  Nutzungsgrad BHKW                   b</t>
    </r>
    <r>
      <rPr>
        <vertAlign val="subscript"/>
        <sz val="9"/>
        <rFont val="Arial"/>
        <family val="2"/>
      </rPr>
      <t>el_BHKW</t>
    </r>
  </si>
  <si>
    <t>€/kWh</t>
  </si>
  <si>
    <r>
      <t>Inputenergie BGA                                                 E</t>
    </r>
    <r>
      <rPr>
        <vertAlign val="subscript"/>
        <sz val="9"/>
        <rFont val="Arial"/>
        <family val="2"/>
      </rPr>
      <t>0BGA</t>
    </r>
  </si>
  <si>
    <t>€/a</t>
  </si>
  <si>
    <t>kWh/a</t>
  </si>
  <si>
    <t>Nutzungsgrad BGA                                              bBGA</t>
  </si>
  <si>
    <t>Elektrischer  Nutzungsgrad BHKW                   bel_BHKW</t>
  </si>
  <si>
    <t>Thermischer Nutzungsgrad BHKW                  bth_BHKW</t>
  </si>
  <si>
    <t>Inputenergie BGA                                                 E0BGA</t>
  </si>
  <si>
    <t>Mittlerer Verkaufspreis elektrische  Energie   γel_BHKW</t>
  </si>
  <si>
    <r>
      <t>Mittlerer Verkaufspreis elektrische  Energie   γ</t>
    </r>
    <r>
      <rPr>
        <vertAlign val="subscript"/>
        <sz val="9"/>
        <rFont val="Arial"/>
        <family val="2"/>
      </rPr>
      <t>el_BHKW</t>
    </r>
  </si>
  <si>
    <t>min</t>
  </si>
  <si>
    <t>max</t>
  </si>
  <si>
    <t>zu groß</t>
  </si>
  <si>
    <r>
      <t>Auf eingebrachte Energiemenge normierter Gewinn  G/E</t>
    </r>
    <r>
      <rPr>
        <vertAlign val="subscript"/>
        <sz val="9"/>
        <rFont val="Arial Narrow"/>
        <family val="2"/>
      </rPr>
      <t xml:space="preserve">0BHKW  </t>
    </r>
    <r>
      <rPr>
        <sz val="9"/>
        <rFont val="Arial Narrow"/>
        <family val="2"/>
      </rPr>
      <t>mit α</t>
    </r>
    <r>
      <rPr>
        <vertAlign val="subscript"/>
        <sz val="9"/>
        <rFont val="Arial Narrow"/>
        <family val="2"/>
      </rPr>
      <t>BGA</t>
    </r>
    <r>
      <rPr>
        <sz val="9"/>
        <rFont val="Arial Narrow"/>
        <family val="2"/>
      </rPr>
      <t>=0,0376 €/kWh</t>
    </r>
  </si>
  <si>
    <t>Ziel 2016</t>
  </si>
  <si>
    <r>
      <t>Summe Kosten für BGA und BHKW                 K</t>
    </r>
    <r>
      <rPr>
        <vertAlign val="subscript"/>
        <sz val="9"/>
        <rFont val="Arial"/>
        <family val="2"/>
      </rPr>
      <t>BGA</t>
    </r>
    <r>
      <rPr>
        <sz val="9"/>
        <rFont val="Arial"/>
        <family val="2"/>
      </rPr>
      <t>+K</t>
    </r>
    <r>
      <rPr>
        <vertAlign val="subscript"/>
        <sz val="9"/>
        <rFont val="Arial"/>
        <family val="2"/>
      </rPr>
      <t xml:space="preserve">BHKW     </t>
    </r>
    <r>
      <rPr>
        <sz val="9"/>
        <rFont val="Arial"/>
        <family val="2"/>
      </rPr>
      <t>einschließl Tilgung+Zins</t>
    </r>
  </si>
  <si>
    <t>Ohne Berücksichtigung von Abschreibungen, mit Zins und Tilgung</t>
  </si>
  <si>
    <t>Abschätzung oberer mittlerer Grenzpreis für Substrate für 2014</t>
  </si>
  <si>
    <r>
      <t>Mittlerer Verkaufspreis thermische Energie   γth</t>
    </r>
    <r>
      <rPr>
        <vertAlign val="subscript"/>
        <sz val="9"/>
        <rFont val="Arial"/>
        <family val="2"/>
      </rPr>
      <t xml:space="preserve">_BHKW                </t>
    </r>
    <r>
      <rPr>
        <sz val="9"/>
        <rFont val="Arial"/>
        <family val="2"/>
      </rPr>
      <t>Einschließl KWK-Bonus</t>
    </r>
  </si>
  <si>
    <t>Mit kWh gewichteter Preismittelwert für Wärme</t>
  </si>
  <si>
    <t>Herkunft der Differenz zwischen Geschäftsbericht und JA NaWaRo ist unklar</t>
  </si>
  <si>
    <r>
      <t>γ</t>
    </r>
    <r>
      <rPr>
        <vertAlign val="subscript"/>
        <sz val="9"/>
        <rFont val="Arial"/>
        <family val="2"/>
      </rPr>
      <t>el_BHKW</t>
    </r>
    <r>
      <rPr>
        <sz val="9"/>
        <rFont val="Arial"/>
        <family val="0"/>
      </rPr>
      <t>*b</t>
    </r>
    <r>
      <rPr>
        <vertAlign val="subscript"/>
        <sz val="9"/>
        <rFont val="Arial"/>
        <family val="2"/>
      </rPr>
      <t>BGA</t>
    </r>
    <r>
      <rPr>
        <sz val="9"/>
        <rFont val="Arial"/>
        <family val="0"/>
      </rPr>
      <t>*b</t>
    </r>
    <r>
      <rPr>
        <vertAlign val="subscript"/>
        <sz val="9"/>
        <rFont val="Arial"/>
        <family val="2"/>
      </rPr>
      <t>el_BHKW</t>
    </r>
    <r>
      <rPr>
        <sz val="9"/>
        <rFont val="Arial"/>
        <family val="0"/>
      </rPr>
      <t>+γ</t>
    </r>
    <r>
      <rPr>
        <vertAlign val="subscript"/>
        <sz val="9"/>
        <rFont val="Arial"/>
        <family val="2"/>
      </rPr>
      <t>th_BHKW</t>
    </r>
    <r>
      <rPr>
        <sz val="9"/>
        <rFont val="Arial"/>
        <family val="0"/>
      </rPr>
      <t>*b</t>
    </r>
    <r>
      <rPr>
        <vertAlign val="subscript"/>
        <sz val="9"/>
        <rFont val="Arial"/>
        <family val="2"/>
      </rPr>
      <t>BGA</t>
    </r>
    <r>
      <rPr>
        <sz val="9"/>
        <rFont val="Arial"/>
        <family val="0"/>
      </rPr>
      <t>*b</t>
    </r>
    <r>
      <rPr>
        <vertAlign val="subscript"/>
        <sz val="9"/>
        <rFont val="Arial"/>
        <family val="2"/>
      </rPr>
      <t>th_BHKW</t>
    </r>
  </si>
  <si>
    <r>
      <t>Auf Inputenergie normierte Kosten   K</t>
    </r>
    <r>
      <rPr>
        <vertAlign val="subscript"/>
        <sz val="9"/>
        <rFont val="Arial"/>
        <family val="2"/>
      </rPr>
      <t>BGA</t>
    </r>
    <r>
      <rPr>
        <sz val="9"/>
        <rFont val="Arial"/>
        <family val="0"/>
      </rPr>
      <t>+K</t>
    </r>
    <r>
      <rPr>
        <vertAlign val="subscript"/>
        <sz val="9"/>
        <rFont val="Arial"/>
        <family val="2"/>
      </rPr>
      <t>BHKW</t>
    </r>
    <r>
      <rPr>
        <sz val="9"/>
        <rFont val="Arial"/>
        <family val="0"/>
      </rPr>
      <t>/E</t>
    </r>
    <r>
      <rPr>
        <vertAlign val="subscript"/>
        <sz val="9"/>
        <rFont val="Arial"/>
        <family val="2"/>
      </rPr>
      <t>0BGA</t>
    </r>
  </si>
  <si>
    <r>
      <t>gewichteter Energiepreis γ</t>
    </r>
    <r>
      <rPr>
        <vertAlign val="subscript"/>
        <sz val="9"/>
        <rFont val="Arial Narrow"/>
        <family val="2"/>
      </rPr>
      <t>el_BHKW</t>
    </r>
    <r>
      <rPr>
        <sz val="9"/>
        <rFont val="Arial Narrow"/>
        <family val="2"/>
      </rPr>
      <t>*b</t>
    </r>
    <r>
      <rPr>
        <vertAlign val="subscript"/>
        <sz val="9"/>
        <rFont val="Arial Narrow"/>
        <family val="2"/>
      </rPr>
      <t>BGA</t>
    </r>
    <r>
      <rPr>
        <sz val="9"/>
        <rFont val="Arial Narrow"/>
        <family val="2"/>
      </rPr>
      <t>*b</t>
    </r>
    <r>
      <rPr>
        <vertAlign val="subscript"/>
        <sz val="9"/>
        <rFont val="Arial Narrow"/>
        <family val="2"/>
      </rPr>
      <t>el_BHKW</t>
    </r>
    <r>
      <rPr>
        <sz val="9"/>
        <rFont val="Arial Narrow"/>
        <family val="2"/>
      </rPr>
      <t>+γ</t>
    </r>
    <r>
      <rPr>
        <vertAlign val="subscript"/>
        <sz val="9"/>
        <rFont val="Arial Narrow"/>
        <family val="2"/>
      </rPr>
      <t>th_BHKW</t>
    </r>
    <r>
      <rPr>
        <sz val="9"/>
        <rFont val="Arial Narrow"/>
        <family val="2"/>
      </rPr>
      <t>*b</t>
    </r>
    <r>
      <rPr>
        <vertAlign val="subscript"/>
        <sz val="9"/>
        <rFont val="Arial Narrow"/>
        <family val="2"/>
      </rPr>
      <t>BGA</t>
    </r>
    <r>
      <rPr>
        <sz val="9"/>
        <rFont val="Arial Narrow"/>
        <family val="2"/>
      </rPr>
      <t>*b</t>
    </r>
    <r>
      <rPr>
        <vertAlign val="subscript"/>
        <sz val="9"/>
        <rFont val="Arial Narrow"/>
        <family val="2"/>
      </rPr>
      <t>th_BHKW</t>
    </r>
  </si>
  <si>
    <r>
      <t>Auf Inputenergie BGA normierte Kosten       K</t>
    </r>
    <r>
      <rPr>
        <vertAlign val="subscript"/>
        <sz val="9"/>
        <rFont val="Arial"/>
        <family val="2"/>
      </rPr>
      <t>BGA</t>
    </r>
    <r>
      <rPr>
        <sz val="9"/>
        <rFont val="Arial"/>
        <family val="0"/>
      </rPr>
      <t>+K</t>
    </r>
    <r>
      <rPr>
        <vertAlign val="subscript"/>
        <sz val="9"/>
        <rFont val="Arial"/>
        <family val="2"/>
      </rPr>
      <t>BHKW</t>
    </r>
    <r>
      <rPr>
        <sz val="9"/>
        <rFont val="Arial"/>
        <family val="0"/>
      </rPr>
      <t xml:space="preserve"> / E</t>
    </r>
    <r>
      <rPr>
        <vertAlign val="subscript"/>
        <sz val="9"/>
        <rFont val="Arial"/>
        <family val="2"/>
      </rPr>
      <t>0BGA</t>
    </r>
  </si>
  <si>
    <t>Aufbau Grafik    "Oberer Grenzpreis für Substrate"    versus   "Mit Benutzungsgraden gewichteter Energiepreis"   und Grafik    "Auf BGA-Inputenergie normierter Gewinn"   versus   "Mit Benutzungsgraden gewichtete Energiepreisdifferenz"</t>
  </si>
  <si>
    <t>X-Achse</t>
  </si>
  <si>
    <t>Y-Achse</t>
  </si>
  <si>
    <t>Parameter</t>
  </si>
  <si>
    <r>
      <t>Ermittlung Parameterlinien für   K</t>
    </r>
    <r>
      <rPr>
        <b/>
        <vertAlign val="subscript"/>
        <sz val="9"/>
        <rFont val="Arial"/>
        <family val="2"/>
      </rPr>
      <t>BGA</t>
    </r>
    <r>
      <rPr>
        <b/>
        <sz val="9"/>
        <rFont val="Arial"/>
        <family val="2"/>
      </rPr>
      <t>+K</t>
    </r>
    <r>
      <rPr>
        <b/>
        <vertAlign val="subscript"/>
        <sz val="9"/>
        <rFont val="Arial"/>
        <family val="2"/>
      </rPr>
      <t>BHKW</t>
    </r>
    <r>
      <rPr>
        <b/>
        <sz val="9"/>
        <rFont val="Arial"/>
        <family val="2"/>
      </rPr>
      <t xml:space="preserve"> / E</t>
    </r>
    <r>
      <rPr>
        <b/>
        <vertAlign val="subscript"/>
        <sz val="9"/>
        <rFont val="Arial"/>
        <family val="2"/>
      </rPr>
      <t>0BGA</t>
    </r>
  </si>
  <si>
    <t>Ermittlung Grenzen d. Grafik "Auf Inputenergie normierter Gewinn"</t>
  </si>
  <si>
    <t>mit Benutzungsgraden Energiepreis γ b</t>
  </si>
  <si>
    <t>mit Benutzungsgraden Energiepreis  γ b-α</t>
  </si>
  <si>
    <r>
      <t>γ</t>
    </r>
    <r>
      <rPr>
        <vertAlign val="subscript"/>
        <sz val="9"/>
        <rFont val="Arial"/>
        <family val="2"/>
      </rPr>
      <t>el_BHKW</t>
    </r>
    <r>
      <rPr>
        <sz val="9"/>
        <rFont val="Arial"/>
        <family val="0"/>
      </rPr>
      <t>*b</t>
    </r>
    <r>
      <rPr>
        <vertAlign val="subscript"/>
        <sz val="9"/>
        <rFont val="Arial"/>
        <family val="2"/>
      </rPr>
      <t>BGA</t>
    </r>
    <r>
      <rPr>
        <sz val="9"/>
        <rFont val="Arial"/>
        <family val="0"/>
      </rPr>
      <t>*b</t>
    </r>
    <r>
      <rPr>
        <vertAlign val="subscript"/>
        <sz val="9"/>
        <rFont val="Arial"/>
        <family val="2"/>
      </rPr>
      <t>el_BHKW</t>
    </r>
    <r>
      <rPr>
        <sz val="9"/>
        <rFont val="Arial"/>
        <family val="0"/>
      </rPr>
      <t>+γ</t>
    </r>
    <r>
      <rPr>
        <vertAlign val="subscript"/>
        <sz val="9"/>
        <rFont val="Arial"/>
        <family val="2"/>
      </rPr>
      <t>th_BHKW</t>
    </r>
    <r>
      <rPr>
        <sz val="9"/>
        <rFont val="Arial"/>
        <family val="0"/>
      </rPr>
      <t>*b</t>
    </r>
    <r>
      <rPr>
        <vertAlign val="subscript"/>
        <sz val="9"/>
        <rFont val="Arial"/>
        <family val="2"/>
      </rPr>
      <t>BGA</t>
    </r>
    <r>
      <rPr>
        <sz val="9"/>
        <rFont val="Arial"/>
        <family val="0"/>
      </rPr>
      <t>*b</t>
    </r>
    <r>
      <rPr>
        <vertAlign val="subscript"/>
        <sz val="9"/>
        <rFont val="Arial"/>
        <family val="2"/>
      </rPr>
      <t>th_BHKW</t>
    </r>
    <r>
      <rPr>
        <sz val="9"/>
        <rFont val="Arial"/>
        <family val="2"/>
      </rPr>
      <t xml:space="preserve"> -α</t>
    </r>
    <r>
      <rPr>
        <vertAlign val="subscript"/>
        <sz val="9"/>
        <rFont val="Arial"/>
        <family val="2"/>
      </rPr>
      <t>BGA</t>
    </r>
  </si>
  <si>
    <r>
      <t>Oberer  Grenzpreis für Substrate                   α</t>
    </r>
    <r>
      <rPr>
        <vertAlign val="subscript"/>
        <sz val="9"/>
        <rFont val="Arial"/>
        <family val="2"/>
      </rPr>
      <t>BGA_Grenz</t>
    </r>
  </si>
  <si>
    <r>
      <t xml:space="preserve">Substratpreis  </t>
    </r>
    <r>
      <rPr>
        <sz val="9"/>
        <rFont val="Arial"/>
        <family val="0"/>
      </rPr>
      <t>α</t>
    </r>
    <r>
      <rPr>
        <vertAlign val="subscript"/>
        <sz val="9"/>
        <rFont val="Arial"/>
        <family val="2"/>
      </rPr>
      <t>BGA</t>
    </r>
    <r>
      <rPr>
        <sz val="9"/>
        <rFont val="Arial"/>
        <family val="2"/>
      </rPr>
      <t xml:space="preserve">  (aus Tabelle KalkulationNutzungsgrade)</t>
    </r>
  </si>
  <si>
    <r>
      <t>gewichteter Energiepreis γ</t>
    </r>
    <r>
      <rPr>
        <vertAlign val="subscript"/>
        <sz val="9"/>
        <rFont val="Arial Narrow"/>
        <family val="2"/>
      </rPr>
      <t>el_BHKW</t>
    </r>
    <r>
      <rPr>
        <sz val="9"/>
        <rFont val="Arial Narrow"/>
        <family val="2"/>
      </rPr>
      <t>*b</t>
    </r>
    <r>
      <rPr>
        <vertAlign val="subscript"/>
        <sz val="9"/>
        <rFont val="Arial Narrow"/>
        <family val="2"/>
      </rPr>
      <t>BGA</t>
    </r>
    <r>
      <rPr>
        <sz val="9"/>
        <rFont val="Arial Narrow"/>
        <family val="2"/>
      </rPr>
      <t>*b</t>
    </r>
    <r>
      <rPr>
        <vertAlign val="subscript"/>
        <sz val="9"/>
        <rFont val="Arial Narrow"/>
        <family val="2"/>
      </rPr>
      <t>el_BHKW</t>
    </r>
    <r>
      <rPr>
        <sz val="9"/>
        <rFont val="Arial Narrow"/>
        <family val="2"/>
      </rPr>
      <t>+γ</t>
    </r>
    <r>
      <rPr>
        <vertAlign val="subscript"/>
        <sz val="9"/>
        <rFont val="Arial Narrow"/>
        <family val="2"/>
      </rPr>
      <t>th_BHKW</t>
    </r>
    <r>
      <rPr>
        <sz val="9"/>
        <rFont val="Arial Narrow"/>
        <family val="2"/>
      </rPr>
      <t>*b</t>
    </r>
    <r>
      <rPr>
        <vertAlign val="subscript"/>
        <sz val="9"/>
        <rFont val="Arial Narrow"/>
        <family val="2"/>
      </rPr>
      <t>BGA</t>
    </r>
    <r>
      <rPr>
        <sz val="9"/>
        <rFont val="Arial Narrow"/>
        <family val="2"/>
      </rPr>
      <t>*b</t>
    </r>
    <r>
      <rPr>
        <vertAlign val="subscript"/>
        <sz val="9"/>
        <rFont val="Arial Narrow"/>
        <family val="2"/>
      </rPr>
      <t>th_BHKW</t>
    </r>
  </si>
  <si>
    <r>
      <t>gewicht. Energie- -Subst.preis γ</t>
    </r>
    <r>
      <rPr>
        <vertAlign val="subscript"/>
        <sz val="9"/>
        <rFont val="Arial Narrow"/>
        <family val="2"/>
      </rPr>
      <t>el_BHKW</t>
    </r>
    <r>
      <rPr>
        <sz val="9"/>
        <rFont val="Arial Narrow"/>
        <family val="2"/>
      </rPr>
      <t>*b</t>
    </r>
    <r>
      <rPr>
        <vertAlign val="subscript"/>
        <sz val="9"/>
        <rFont val="Arial Narrow"/>
        <family val="2"/>
      </rPr>
      <t>BGA</t>
    </r>
    <r>
      <rPr>
        <sz val="9"/>
        <rFont val="Arial Narrow"/>
        <family val="2"/>
      </rPr>
      <t>*b</t>
    </r>
    <r>
      <rPr>
        <vertAlign val="subscript"/>
        <sz val="9"/>
        <rFont val="Arial Narrow"/>
        <family val="2"/>
      </rPr>
      <t>el_BHKW</t>
    </r>
    <r>
      <rPr>
        <sz val="9"/>
        <rFont val="Arial Narrow"/>
        <family val="2"/>
      </rPr>
      <t>+γ</t>
    </r>
    <r>
      <rPr>
        <vertAlign val="subscript"/>
        <sz val="9"/>
        <rFont val="Arial Narrow"/>
        <family val="2"/>
      </rPr>
      <t>th_BHKW</t>
    </r>
    <r>
      <rPr>
        <sz val="9"/>
        <rFont val="Arial Narrow"/>
        <family val="2"/>
      </rPr>
      <t>*b</t>
    </r>
    <r>
      <rPr>
        <vertAlign val="subscript"/>
        <sz val="9"/>
        <rFont val="Arial Narrow"/>
        <family val="2"/>
      </rPr>
      <t>BGA</t>
    </r>
    <r>
      <rPr>
        <sz val="9"/>
        <rFont val="Arial Narrow"/>
        <family val="2"/>
      </rPr>
      <t>*b</t>
    </r>
    <r>
      <rPr>
        <vertAlign val="subscript"/>
        <sz val="9"/>
        <rFont val="Arial Narrow"/>
        <family val="2"/>
      </rPr>
      <t>th_BHKW</t>
    </r>
    <r>
      <rPr>
        <sz val="9"/>
        <rFont val="Arial Narrow"/>
        <family val="2"/>
      </rPr>
      <t>-α</t>
    </r>
    <r>
      <rPr>
        <vertAlign val="subscript"/>
        <sz val="9"/>
        <rFont val="Arial Narrow"/>
        <family val="2"/>
      </rPr>
      <t>BGA</t>
    </r>
  </si>
  <si>
    <r>
      <t>Auf eingebrachte Energiemenge normierter Gewinn  G/E</t>
    </r>
    <r>
      <rPr>
        <vertAlign val="subscript"/>
        <sz val="9"/>
        <rFont val="Arial"/>
        <family val="2"/>
      </rPr>
      <t xml:space="preserve">0BHKW </t>
    </r>
    <r>
      <rPr>
        <sz val="9"/>
        <rFont val="Arial"/>
        <family val="2"/>
      </rPr>
      <t xml:space="preserve"> </t>
    </r>
  </si>
  <si>
    <t>Entwicklungslinie WH in   "Oberer Grenzpreis für Substrate"</t>
  </si>
  <si>
    <r>
      <t>Auf eingebrachte Energiemenge normierter Gewinn  G/E</t>
    </r>
    <r>
      <rPr>
        <vertAlign val="subscript"/>
        <sz val="9"/>
        <rFont val="Arial"/>
        <family val="2"/>
      </rPr>
      <t>0BHKW</t>
    </r>
    <r>
      <rPr>
        <sz val="9"/>
        <rFont val="Arial"/>
        <family val="2"/>
      </rPr>
      <t xml:space="preserve">  </t>
    </r>
  </si>
  <si>
    <r>
      <t>Mittlerer Substratpreis α</t>
    </r>
    <r>
      <rPr>
        <vertAlign val="subscript"/>
        <sz val="9"/>
        <rFont val="Arial"/>
        <family val="2"/>
      </rPr>
      <t>BGA</t>
    </r>
  </si>
  <si>
    <t>Grafik "Auf Inputenergie normierter Gewinn"</t>
  </si>
  <si>
    <t>Ermittlung Grenzen d. Grafik "Oberer Grenzpreis für Substrate"</t>
  </si>
  <si>
    <t>Grafik "Oberer Grenzpreis für Substrate"</t>
  </si>
  <si>
    <r>
      <t>Oberer Grenzpreis für Substrate       α</t>
    </r>
    <r>
      <rPr>
        <vertAlign val="subscript"/>
        <sz val="9"/>
        <rFont val="Arial"/>
        <family val="2"/>
      </rPr>
      <t>BGA_Grenz</t>
    </r>
  </si>
  <si>
    <t>spez. Energiepreis
€/kWh</t>
  </si>
  <si>
    <r>
      <t>Gesamtnutzungsgrad BGA+BHKW                  b</t>
    </r>
    <r>
      <rPr>
        <vertAlign val="subscript"/>
        <sz val="9"/>
        <rFont val="Arial"/>
        <family val="2"/>
      </rPr>
      <t>ges</t>
    </r>
    <r>
      <rPr>
        <sz val="9"/>
        <rFont val="Arial"/>
        <family val="0"/>
      </rPr>
      <t>=b</t>
    </r>
    <r>
      <rPr>
        <vertAlign val="subscript"/>
        <sz val="9"/>
        <rFont val="Arial"/>
        <family val="2"/>
      </rPr>
      <t>BGA</t>
    </r>
    <r>
      <rPr>
        <sz val="9"/>
        <rFont val="Arial"/>
        <family val="0"/>
      </rPr>
      <t>(b</t>
    </r>
    <r>
      <rPr>
        <vertAlign val="subscript"/>
        <sz val="9"/>
        <rFont val="Arial"/>
        <family val="2"/>
      </rPr>
      <t>el_BHKW</t>
    </r>
    <r>
      <rPr>
        <sz val="9"/>
        <rFont val="Arial"/>
        <family val="0"/>
      </rPr>
      <t xml:space="preserve"> + b</t>
    </r>
    <r>
      <rPr>
        <vertAlign val="subscript"/>
        <sz val="9"/>
        <rFont val="Arial"/>
        <family val="2"/>
      </rPr>
      <t>th_BHKW</t>
    </r>
    <r>
      <rPr>
        <sz val="9"/>
        <rFont val="Arial"/>
        <family val="2"/>
      </rPr>
      <t>)</t>
    </r>
  </si>
  <si>
    <t>Gesamtnutzungsgrad BGA+BHKW                  bges=bBGA(bel_BHKW + bth_BHKW)</t>
  </si>
  <si>
    <r>
      <t>Biogasenergie, die für die Stromlieferung bei el. Jahresnutzungsgrad=0,704 und η</t>
    </r>
    <r>
      <rPr>
        <vertAlign val="subscript"/>
        <sz val="9"/>
        <color indexed="8"/>
        <rFont val="Arial Narrow"/>
        <family val="2"/>
      </rPr>
      <t>el</t>
    </r>
    <r>
      <rPr>
        <sz val="9"/>
        <color indexed="8"/>
        <rFont val="Arial Narrow"/>
        <family val="2"/>
      </rPr>
      <t>=38,7%benötigt  wurde</t>
    </r>
  </si>
  <si>
    <r>
      <t>Biogasenergie, die für die Stromlieferung bei el. Jahresnutzungsgrad=1,00   und η</t>
    </r>
    <r>
      <rPr>
        <vertAlign val="subscript"/>
        <sz val="9"/>
        <color indexed="8"/>
        <rFont val="Arial Narrow"/>
        <family val="2"/>
      </rPr>
      <t>el</t>
    </r>
    <r>
      <rPr>
        <sz val="9"/>
        <color indexed="8"/>
        <rFont val="Arial Narrow"/>
        <family val="2"/>
      </rPr>
      <t>=38,7%benötigt  w</t>
    </r>
    <r>
      <rPr>
        <b/>
        <sz val="9"/>
        <color indexed="8"/>
        <rFont val="Arial Narrow"/>
        <family val="2"/>
      </rPr>
      <t>ü</t>
    </r>
    <r>
      <rPr>
        <sz val="9"/>
        <color indexed="8"/>
        <rFont val="Arial Narrow"/>
        <family val="2"/>
      </rPr>
      <t>rde</t>
    </r>
  </si>
  <si>
    <r>
      <t xml:space="preserve">Maximal mögliche Wärmelieferung bei Jahresnutzungsgrad=0,704 und </t>
    </r>
    <r>
      <rPr>
        <sz val="9"/>
        <color indexed="8"/>
        <rFont val="Arial"/>
        <family val="0"/>
      </rPr>
      <t>η</t>
    </r>
    <r>
      <rPr>
        <vertAlign val="subscript"/>
        <sz val="9"/>
        <color indexed="8"/>
        <rFont val="ArialMT"/>
        <family val="0"/>
      </rPr>
      <t>th</t>
    </r>
    <r>
      <rPr>
        <sz val="9"/>
        <color indexed="8"/>
        <rFont val="ArialMT"/>
        <family val="0"/>
      </rPr>
      <t>=44,4%:</t>
    </r>
  </si>
  <si>
    <r>
      <t xml:space="preserve">Maximal mögliche Wärmelieferung bei Jahresnutzungsgrad=1,00   und </t>
    </r>
    <r>
      <rPr>
        <sz val="9"/>
        <color indexed="8"/>
        <rFont val="Arial"/>
        <family val="0"/>
      </rPr>
      <t>η</t>
    </r>
    <r>
      <rPr>
        <vertAlign val="subscript"/>
        <sz val="9"/>
        <color indexed="8"/>
        <rFont val="ArialMT"/>
        <family val="0"/>
      </rPr>
      <t>th</t>
    </r>
    <r>
      <rPr>
        <sz val="9"/>
        <color indexed="8"/>
        <rFont val="ArialMT"/>
        <family val="0"/>
      </rPr>
      <t>=44,4%:</t>
    </r>
  </si>
  <si>
    <r>
      <t>Thermischer Nutzungsgrad BHKW  b</t>
    </r>
    <r>
      <rPr>
        <b/>
        <vertAlign val="subscript"/>
        <sz val="9"/>
        <rFont val="Arial"/>
        <family val="2"/>
      </rPr>
      <t>th_BHKW</t>
    </r>
  </si>
  <si>
    <r>
      <t>Elektrischer Nutzungsgrad BHKW  b</t>
    </r>
    <r>
      <rPr>
        <b/>
        <vertAlign val="subscript"/>
        <sz val="9"/>
        <rFont val="Arial"/>
        <family val="2"/>
      </rPr>
      <t>el_BHKW</t>
    </r>
  </si>
  <si>
    <t xml:space="preserve">Aus Vorrausschau </t>
  </si>
  <si>
    <t>Aufwendungen ohne Substratkosten und ohne Abschreibungen, aber mit Dahrlehenszinsen und Tilgungen (rein operativ wichtige Kosten)</t>
  </si>
  <si>
    <t>und ohne Abschreibungen, mit Zins und Tilgung</t>
  </si>
  <si>
    <t>Quelle: 150706_Planrechnung Wendlinghausen</t>
  </si>
  <si>
    <t>Aufwand</t>
  </si>
  <si>
    <t>Substrate inkl. Bestandsveränderung</t>
  </si>
  <si>
    <t>Zinsen Darlehen Bank und UDI</t>
  </si>
  <si>
    <t>Abschreibungen</t>
  </si>
  <si>
    <t>./. Tilgung Darlehen</t>
  </si>
  <si>
    <t>Operative Kosten ohne Abschreibung, mit Zins u. Tilgung</t>
  </si>
  <si>
    <r>
      <t>Auf eingebrachte Energiemenge normierter Gewinn  G/E</t>
    </r>
    <r>
      <rPr>
        <vertAlign val="subscript"/>
        <sz val="9"/>
        <rFont val="Arial Narrow"/>
        <family val="2"/>
      </rPr>
      <t xml:space="preserve">0BHKW  </t>
    </r>
    <r>
      <rPr>
        <sz val="9"/>
        <rFont val="Arial Narrow"/>
        <family val="2"/>
      </rPr>
      <t>mit α</t>
    </r>
    <r>
      <rPr>
        <vertAlign val="subscript"/>
        <sz val="9"/>
        <rFont val="Arial Narrow"/>
        <family val="2"/>
      </rPr>
      <t>BGA</t>
    </r>
    <r>
      <rPr>
        <sz val="9"/>
        <rFont val="Arial Narrow"/>
        <family val="2"/>
      </rPr>
      <t>=-0,0387 €/kWh   zur Kontrolle</t>
    </r>
  </si>
  <si>
    <r>
      <t>Auf Inputenergie normierte Kosten                  K</t>
    </r>
    <r>
      <rPr>
        <vertAlign val="subscript"/>
        <sz val="9"/>
        <rFont val="Arial"/>
        <family val="2"/>
      </rPr>
      <t>BGA</t>
    </r>
    <r>
      <rPr>
        <sz val="9"/>
        <rFont val="Arial"/>
        <family val="0"/>
      </rPr>
      <t>+K</t>
    </r>
    <r>
      <rPr>
        <vertAlign val="subscript"/>
        <sz val="9"/>
        <rFont val="Arial"/>
        <family val="2"/>
      </rPr>
      <t>BHKW</t>
    </r>
    <r>
      <rPr>
        <sz val="9"/>
        <rFont val="Arial"/>
        <family val="0"/>
      </rPr>
      <t>/E</t>
    </r>
    <r>
      <rPr>
        <vertAlign val="subscript"/>
        <sz val="9"/>
        <rFont val="Arial"/>
        <family val="2"/>
      </rPr>
      <t>0BGA</t>
    </r>
  </si>
  <si>
    <t>Parameter: "Auf Inputenergie normierte Kosten für BGA und BHKW"</t>
  </si>
  <si>
    <t>Mittlerer Verkaufspreis thermische Energie   γth_BHKW                Einschließl KWK-Bonus</t>
  </si>
  <si>
    <t>Summe Kosten für BGA und BHKW                 KBGA+KBHKW     einschließl Tilgung+Zins</t>
  </si>
  <si>
    <t>Auf Inputenergie normierte Kosten                  KBGA+KBHKW/E0BGA</t>
  </si>
  <si>
    <t>Oberer mittlerer Grenzpreis für Substrate       αBGA_Grenz</t>
  </si>
  <si>
    <t>Auf eingebrachte Energiemenge normierter Gewinn  G/E0BHKW  mit αBGA=-0,0387 €/kWh   zur Kontrolle</t>
  </si>
  <si>
    <t>Auf eingebrachte Energiemenge normierter Gewinn  G/E0BHKW  mit αBGA=0,0376 €/kWh</t>
  </si>
  <si>
    <r>
      <t>Summe Kosten für BGA und BHKW                 K</t>
    </r>
    <r>
      <rPr>
        <vertAlign val="subscript"/>
        <sz val="9"/>
        <rFont val="Arial Narrow"/>
        <family val="2"/>
      </rPr>
      <t>BGA</t>
    </r>
    <r>
      <rPr>
        <sz val="9"/>
        <rFont val="Arial Narrow"/>
        <family val="2"/>
      </rPr>
      <t>+K</t>
    </r>
    <r>
      <rPr>
        <vertAlign val="subscript"/>
        <sz val="9"/>
        <rFont val="Arial Narrow"/>
        <family val="2"/>
      </rPr>
      <t>BHKW</t>
    </r>
    <r>
      <rPr>
        <sz val="9"/>
        <rFont val="Arial Narrow"/>
        <family val="2"/>
      </rPr>
      <t xml:space="preserve">     einschließl Tilgung+Zins</t>
    </r>
  </si>
  <si>
    <r>
      <t>Gesamtnutzungsgrad BGA+BHKW                   b</t>
    </r>
    <r>
      <rPr>
        <vertAlign val="subscript"/>
        <sz val="9"/>
        <rFont val="Arial Narrow"/>
        <family val="2"/>
      </rPr>
      <t>ge</t>
    </r>
    <r>
      <rPr>
        <sz val="9"/>
        <rFont val="Arial Narrow"/>
        <family val="2"/>
      </rPr>
      <t>s=b</t>
    </r>
    <r>
      <rPr>
        <vertAlign val="subscript"/>
        <sz val="9"/>
        <rFont val="Arial Narrow"/>
        <family val="2"/>
      </rPr>
      <t>BGA</t>
    </r>
    <r>
      <rPr>
        <sz val="9"/>
        <rFont val="Arial Narrow"/>
        <family val="2"/>
      </rPr>
      <t xml:space="preserve"> ( b</t>
    </r>
    <r>
      <rPr>
        <vertAlign val="subscript"/>
        <sz val="9"/>
        <rFont val="Arial Narrow"/>
        <family val="2"/>
      </rPr>
      <t>el_BHKW</t>
    </r>
    <r>
      <rPr>
        <sz val="9"/>
        <rFont val="Arial Narrow"/>
        <family val="2"/>
      </rPr>
      <t xml:space="preserve"> + b</t>
    </r>
    <r>
      <rPr>
        <vertAlign val="subscript"/>
        <sz val="9"/>
        <rFont val="Arial Narrow"/>
        <family val="2"/>
      </rPr>
      <t>th_BHKW</t>
    </r>
    <r>
      <rPr>
        <sz val="9"/>
        <rFont val="Arial Narrow"/>
        <family val="2"/>
      </rPr>
      <t>)</t>
    </r>
  </si>
  <si>
    <r>
      <t>Thermischer Nutzungsgrad BHKW                     b</t>
    </r>
    <r>
      <rPr>
        <vertAlign val="subscript"/>
        <sz val="9"/>
        <rFont val="Arial Narrow"/>
        <family val="2"/>
      </rPr>
      <t>th_BHKW</t>
    </r>
  </si>
  <si>
    <r>
      <t>Elektrischer  Nutzungsgrad BHKW                    b</t>
    </r>
    <r>
      <rPr>
        <vertAlign val="subscript"/>
        <sz val="9"/>
        <rFont val="Arial Narrow"/>
        <family val="2"/>
      </rPr>
      <t>el_BHKW</t>
    </r>
  </si>
  <si>
    <r>
      <t>Nutzungsgrad BGA                                          b</t>
    </r>
    <r>
      <rPr>
        <vertAlign val="subscript"/>
        <sz val="9"/>
        <rFont val="Arial Narrow"/>
        <family val="2"/>
      </rPr>
      <t>BGA</t>
    </r>
  </si>
  <si>
    <r>
      <t>Mittlerer Verkaufspreis thermische Energie           γ</t>
    </r>
    <r>
      <rPr>
        <vertAlign val="subscript"/>
        <sz val="9"/>
        <rFont val="Arial Narrow"/>
        <family val="2"/>
      </rPr>
      <t xml:space="preserve">th_BHKW </t>
    </r>
    <r>
      <rPr>
        <sz val="9"/>
        <rFont val="Arial Narrow"/>
        <family val="2"/>
      </rPr>
      <t xml:space="preserve">               Einschließl KWK-Bonus</t>
    </r>
  </si>
  <si>
    <r>
      <t>Mittlerer Verkaufspreis elektrische  Energie          γ</t>
    </r>
    <r>
      <rPr>
        <vertAlign val="subscript"/>
        <sz val="9"/>
        <rFont val="Arial Narrow"/>
        <family val="2"/>
      </rPr>
      <t>el_BHKW</t>
    </r>
  </si>
  <si>
    <r>
      <t>Inputenergie BGA                                            E</t>
    </r>
    <r>
      <rPr>
        <vertAlign val="subscript"/>
        <sz val="9"/>
        <rFont val="Arial Narrow"/>
        <family val="2"/>
      </rPr>
      <t>0BGA</t>
    </r>
  </si>
  <si>
    <r>
      <t>Auf Inputenergie normierte Kosten    K</t>
    </r>
    <r>
      <rPr>
        <b/>
        <vertAlign val="subscript"/>
        <sz val="9"/>
        <rFont val="Arial"/>
        <family val="2"/>
      </rPr>
      <t>BGA</t>
    </r>
    <r>
      <rPr>
        <b/>
        <sz val="9"/>
        <rFont val="Arial"/>
        <family val="2"/>
      </rPr>
      <t>+K</t>
    </r>
    <r>
      <rPr>
        <b/>
        <vertAlign val="subscript"/>
        <sz val="9"/>
        <rFont val="Arial"/>
        <family val="2"/>
      </rPr>
      <t>BHKW</t>
    </r>
    <r>
      <rPr>
        <b/>
        <sz val="9"/>
        <rFont val="Arial"/>
        <family val="2"/>
      </rPr>
      <t>/E</t>
    </r>
    <r>
      <rPr>
        <b/>
        <vertAlign val="subscript"/>
        <sz val="9"/>
        <rFont val="Arial"/>
        <family val="2"/>
      </rPr>
      <t>0BGA</t>
    </r>
  </si>
  <si>
    <t>Mit kWh/a   gewichteter Mittelwert für Substratpreis 2014</t>
  </si>
  <si>
    <t>Nutzungsgrade für BGA und BHKW sind in 2014 deutlich zu klein. Insgesamt wurden nur 33,9% der Bioenergie genutzt.  Operative Einnahmen mußten z.gr.T. für operative Kosten ausgegeben werden um die Anlage am laufen zu halten und Dahrlehen zu bedienen</t>
  </si>
  <si>
    <t>Ausblick, weitere Entwicklung</t>
  </si>
  <si>
    <t>Mathematische Zusammenhänge (siehe Arbeitsblatt "Analyse Biogasprozess)"</t>
  </si>
  <si>
    <t>Abschätzung Nutzungsgrade u. oberer Grenzpreis für Substrate für '14</t>
  </si>
  <si>
    <r>
      <t xml:space="preserve">Untersuchung der Wirtschaftlichkeit des Einsatzes von Substraten an Hand der BGA Wendlinghausen in Abhängigkeit der Nutzungsgrade von BGA und BHKW's (elektrisch und thermisch) für 2014. 
</t>
    </r>
    <r>
      <rPr>
        <sz val="10"/>
        <color indexed="17"/>
        <rFont val="Arial"/>
        <family val="2"/>
      </rPr>
      <t xml:space="preserve">Alle Substratpreise wurden in €/kWh umgerechnet(Daten Homepage KTBL) </t>
    </r>
    <r>
      <rPr>
        <sz val="10"/>
        <rFont val="Arial"/>
        <family val="2"/>
      </rPr>
      <t>und losgelöst von allen anderen Kosten betrachtet.</t>
    </r>
  </si>
  <si>
    <t>Die genannten Beziehungen von "Substratgrenzpreis versus operative Einnahmen" und "auf Substratenergie normierter Gewinn versus operative Einnahmen - Substratkosten/kWh"  mit jeweils op. Kosten/kWh als Parameter können für die Dahrstellung der Weiterentwicklung einer Anlage und den Vergleich zwischen Anlagen genutzt werden:</t>
  </si>
  <si>
    <t>Roggen, Weizen und Rüben hätten unter den wirtschaftlichen Bedingungen 2014 nie verarbeitet werden dürfen! Auch bei optimierter Anlage in 2016 sind diese Preise zu hoch</t>
  </si>
  <si>
    <r>
      <t>Vorgehen:</t>
    </r>
    <r>
      <rPr>
        <sz val="8"/>
        <rFont val="Arial"/>
        <family val="0"/>
      </rPr>
      <t xml:space="preserve">
Aus dem Geschäftsbericht wurden thermische und elektrische mittlere Verkaufspreise ermittelt(Arbeitsblatt  mittlerer erzielte Energiepreis)
Aus GB Wendlinghausen und JA  NaWaRo wurde die operativen Kosten(ohne Abschreibung, mit Dahrlehensrückzahlung und Zinsen) für Erhalt der Anlage entnommen (Arbeitsblatt Kalkulation Kosten).
Aus den Substratverbräuchen wurde die Inputenergie 2014 bestimmt und für jedes Substrat die Kosten/kWh bestimmt(Arbeitsblatt Kalkulation Kosten). Ebenso der mit kWh/a gewichtete Mittelwert.
Aus den Stromlieferungen, dem el. BHKW-Wirkungsgrad und der Inputenergie wurde der el. BHKW-Nutzungsgrad bestimmt (Arbeitsblatt Kalkulation Nutzungsgrade). Aus der Wärmelieferung und dem th. BHKW-Wirkungsgrad wurde der th. Nutzungsgrad bestimmt. 
Mit Hilfe der Vorrausschau (150706_Wendlinghausen_Planrechnung.pdf) wurde für alle Parameter eine Abschätzung für 2016 vorgenommen.
Mit diesen Parametern ergibt sich dann ein oberer Grenzpreis für Substrate, der nicht überschritten werden sollte (Arbeitsblatt Kalkulation Nutzungsgrade). Gleichfalls ergibt sich der auf die Inputenergie normierte Gewinn.</t>
    </r>
  </si>
  <si>
    <t>Elektrischer Jahresnutzungsgrad BHKW (Volllaststunden)</t>
  </si>
  <si>
    <r>
      <t>Oberer Grenzpreis für Substrate        α</t>
    </r>
    <r>
      <rPr>
        <b/>
        <vertAlign val="subscript"/>
        <sz val="9"/>
        <rFont val="Arial"/>
        <family val="2"/>
      </rPr>
      <t>BGA_Grenz</t>
    </r>
  </si>
  <si>
    <r>
      <t>Oberer Grenzpreis für Substrate                    α</t>
    </r>
    <r>
      <rPr>
        <b/>
        <vertAlign val="subscript"/>
        <sz val="9"/>
        <rFont val="Arial"/>
        <family val="2"/>
      </rPr>
      <t>BGA_Grenz</t>
    </r>
  </si>
  <si>
    <t>Substrate   2014</t>
  </si>
  <si>
    <t xml:space="preserve">Um die Wirtschaftlichkeit von WH zu verbessern, könnte die z.B. Wärmenutzung verbessert werden. Gerade im Sommer fällt wahrscheinlilch viel ungenutzte Wärme an. Wichtig ist die wirtschaftliche Randbedingung, um Verluste zu vermeiden. </t>
  </si>
  <si>
    <t>Nachtrag: Randbedingung für z.B. bessere Wärmenutzung</t>
  </si>
  <si>
    <t>Notwendig für eine positve Entwicklung von WH sind 
- Stabilisierung der Anlagennutzungsgrade (BGA und el. / th. Nutzung BHKW) über Engineering auf hohem Niveau (hohe Nutzungsgrade für BGA und BHKW) einschl. besserer Wärmenutzung wenn wirtschaftlich sinnvoll (s.u.). Die maximale Wärmenutzung für die BGA muß berücksichtigt werden.
- Strenge Kostenkontrolle der op. Kosten zum Erhalt der Anlage
- Günstigere Substratpreise. Substrate mit hoher Kosten/€/kWh (Rüben!) sollten nicht verarbeitet werden!! Substrate mit Preisen über einem zu erwartenden oberen Grenzprein gar nicht beschafft werden.
Darüber hinaus für alle Anlagen interessant:
- Vergleich von Anlagen untereinander über Nutzungsgrade für BGA, BHKW el., BHKW th., mittlere Substratkosten/kWh, Einzelsubstratkosten, Grenzpreise für Substrate/kWh, Gewinn/kWh_Inputmaterial, und operative Kosten/kWh_Inputmaterial.           30.8.2016 Geert Closius</t>
  </si>
  <si>
    <r>
      <t>Dafür darf der Grenzpreis für Substrate nicht niedriger werden indem die für die bessere Nutzung aufzubringenden Kosten (Darlehensrückzahlung, Zinsen) mehr aufzuwenden ist als Einkünfte entstehen. Dem Grenzpreis kann also ein positives Δα</t>
    </r>
    <r>
      <rPr>
        <vertAlign val="subscript"/>
        <sz val="9"/>
        <rFont val="Arial"/>
        <family val="0"/>
      </rPr>
      <t>BGA_Grenz</t>
    </r>
    <r>
      <rPr>
        <sz val="9"/>
        <rFont val="Arial"/>
        <family val="0"/>
      </rPr>
      <t xml:space="preserve"> und dem Benutzungsgrad ein Δ</t>
    </r>
    <r>
      <rPr>
        <vertAlign val="subscript"/>
        <sz val="9"/>
        <rFont val="Arial"/>
        <family val="0"/>
      </rPr>
      <t>bth_BHKW</t>
    </r>
    <r>
      <rPr>
        <sz val="9"/>
        <rFont val="Arial"/>
        <family val="0"/>
      </rPr>
      <t xml:space="preserve"> den Kosten ein ΔK</t>
    </r>
    <r>
      <rPr>
        <vertAlign val="subscript"/>
        <sz val="9"/>
        <rFont val="Arial"/>
        <family val="0"/>
      </rPr>
      <t>BHKW</t>
    </r>
    <r>
      <rPr>
        <sz val="9"/>
        <rFont val="Arial"/>
        <family val="0"/>
      </rPr>
      <t>/E</t>
    </r>
    <r>
      <rPr>
        <vertAlign val="subscript"/>
        <sz val="9"/>
        <rFont val="Arial"/>
        <family val="0"/>
      </rPr>
      <t>0BGA</t>
    </r>
    <r>
      <rPr>
        <sz val="9"/>
        <rFont val="Arial"/>
        <family val="0"/>
      </rPr>
      <t xml:space="preserve">  hinzugefügt werden: </t>
    </r>
  </si>
  <si>
    <r>
      <t>Die Änderungen sind auf beiden Seiten gleich.  Δα</t>
    </r>
    <r>
      <rPr>
        <vertAlign val="subscript"/>
        <sz val="10"/>
        <rFont val="Arial"/>
        <family val="2"/>
      </rPr>
      <t>BGA_Grenz</t>
    </r>
    <r>
      <rPr>
        <sz val="10"/>
        <rFont val="Arial"/>
        <family val="0"/>
      </rPr>
      <t xml:space="preserve"> muß &gt; "0" sein damit die bessere Wärmenutzung sind macht:</t>
    </r>
  </si>
  <si>
    <t>Für die aufzubringenden Kosten gilt also</t>
  </si>
  <si>
    <t>Die Kosten (Dahrlehensrückzahlung, Zinsen, Erhaltung) müssen also immer kleiner sein als der Zugewinn durch die bessere Wärmenutzung. Dabei sollte ein Sicherheitsabschlag für die Kosten vorgesehen werden.</t>
  </si>
  <si>
    <t>Ergebnis</t>
  </si>
  <si>
    <t>Annahme: 3% Steigerung/Jahr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</si>
</sst>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
    <numFmt numFmtId="166" formatCode="&quot;Ja&quot;;&quot;Ja&quot;;&quot;Nein&quot;"/>
    <numFmt numFmtId="167" formatCode="&quot;Wahr&quot;;&quot;Wahr&quot;;&quot;Falsch&quot;"/>
    <numFmt numFmtId="168" formatCode="&quot;Ein&quot;;&quot;Ein&quot;;&quot;Aus&quot;"/>
    <numFmt numFmtId="169" formatCode="[$€-2]\ #,##0.00_);[Red]\([$€-2]\ #,##0.00\)"/>
    <numFmt numFmtId="170" formatCode="#,##0.000"/>
  </numFmts>
  <fonts count="48">
    <font>
      <sz val="10"/>
      <name val="Arial"/>
      <family val="0"/>
    </font>
    <font>
      <sz val="8"/>
      <name val="Arial"/>
      <family val="0"/>
    </font>
    <font>
      <u val="single"/>
      <sz val="10"/>
      <color indexed="12"/>
      <name val="Arial"/>
      <family val="0"/>
    </font>
    <font>
      <u val="single"/>
      <sz val="10"/>
      <color indexed="36"/>
      <name val="Arial"/>
      <family val="0"/>
    </font>
    <font>
      <b/>
      <sz val="11"/>
      <color indexed="8"/>
      <name val="Arial"/>
      <family val="2"/>
    </font>
    <font>
      <b/>
      <sz val="10"/>
      <name val="Arial"/>
      <family val="2"/>
    </font>
    <font>
      <sz val="10"/>
      <color indexed="8"/>
      <name val="Arial"/>
      <family val="0"/>
    </font>
    <font>
      <b/>
      <sz val="10"/>
      <color indexed="8"/>
      <name val="Arial"/>
      <family val="0"/>
    </font>
    <font>
      <sz val="9"/>
      <name val="Arial"/>
      <family val="0"/>
    </font>
    <font>
      <vertAlign val="superscript"/>
      <sz val="9"/>
      <name val="Arial"/>
      <family val="0"/>
    </font>
    <font>
      <sz val="11"/>
      <color indexed="8"/>
      <name val="Arial"/>
      <family val="2"/>
    </font>
    <font>
      <b/>
      <sz val="10"/>
      <name val="Arial Narrow"/>
      <family val="2"/>
    </font>
    <font>
      <b/>
      <sz val="9"/>
      <name val="Arial"/>
      <family val="2"/>
    </font>
    <font>
      <b/>
      <vertAlign val="subscript"/>
      <sz val="9"/>
      <name val="Arial"/>
      <family val="2"/>
    </font>
    <font>
      <sz val="9"/>
      <name val="Arial Narrow"/>
      <family val="2"/>
    </font>
    <font>
      <vertAlign val="subscript"/>
      <sz val="9"/>
      <name val="Arial"/>
      <family val="2"/>
    </font>
    <font>
      <sz val="9"/>
      <color indexed="8"/>
      <name val="ArialMT"/>
      <family val="0"/>
    </font>
    <font>
      <b/>
      <sz val="9"/>
      <color indexed="8"/>
      <name val="ArialMT"/>
      <family val="0"/>
    </font>
    <font>
      <b/>
      <vertAlign val="subscript"/>
      <sz val="9"/>
      <color indexed="8"/>
      <name val="Arial"/>
      <family val="2"/>
    </font>
    <font>
      <b/>
      <sz val="9"/>
      <color indexed="8"/>
      <name val="Arial"/>
      <family val="2"/>
    </font>
    <font>
      <sz val="9"/>
      <color indexed="8"/>
      <name val="Arial Narrow"/>
      <family val="2"/>
    </font>
    <font>
      <vertAlign val="subscript"/>
      <sz val="9"/>
      <color indexed="8"/>
      <name val="Arial Narrow"/>
      <family val="2"/>
    </font>
    <font>
      <b/>
      <sz val="9"/>
      <color indexed="8"/>
      <name val="Arial Narrow"/>
      <family val="2"/>
    </font>
    <font>
      <sz val="9"/>
      <color indexed="8"/>
      <name val="Arial"/>
      <family val="0"/>
    </font>
    <font>
      <vertAlign val="subscript"/>
      <sz val="9"/>
      <color indexed="8"/>
      <name val="ArialMT"/>
      <family val="0"/>
    </font>
    <font>
      <vertAlign val="subscript"/>
      <sz val="9"/>
      <name val="Arial Narrow"/>
      <family val="2"/>
    </font>
    <font>
      <b/>
      <sz val="8"/>
      <name val="Arial Narrow"/>
      <family val="2"/>
    </font>
    <font>
      <b/>
      <sz val="8.5"/>
      <name val="Arial"/>
      <family val="2"/>
    </font>
    <font>
      <b/>
      <sz val="9"/>
      <name val="Arial Narrow"/>
      <family val="2"/>
    </font>
    <font>
      <sz val="8"/>
      <name val="Tahoma"/>
      <family val="0"/>
    </font>
    <font>
      <b/>
      <sz val="8"/>
      <name val="Tahoma"/>
      <family val="0"/>
    </font>
    <font>
      <sz val="11.5"/>
      <name val="Arial"/>
      <family val="0"/>
    </font>
    <font>
      <b/>
      <sz val="8.25"/>
      <name val="Arial"/>
      <family val="2"/>
    </font>
    <font>
      <b/>
      <sz val="10"/>
      <color indexed="10"/>
      <name val="Arial"/>
      <family val="2"/>
    </font>
    <font>
      <b/>
      <sz val="9"/>
      <color indexed="10"/>
      <name val="Arial"/>
      <family val="2"/>
    </font>
    <font>
      <sz val="9"/>
      <color indexed="10"/>
      <name val="Arial"/>
      <family val="2"/>
    </font>
    <font>
      <b/>
      <sz val="11.25"/>
      <name val="Arial"/>
      <family val="0"/>
    </font>
    <font>
      <b/>
      <sz val="9.25"/>
      <name val="Arial"/>
      <family val="0"/>
    </font>
    <font>
      <b/>
      <sz val="8"/>
      <name val="Arial"/>
      <family val="2"/>
    </font>
    <font>
      <sz val="9.25"/>
      <name val="Arial"/>
      <family val="0"/>
    </font>
    <font>
      <b/>
      <sz val="10.5"/>
      <name val="Arial"/>
      <family val="0"/>
    </font>
    <font>
      <b/>
      <sz val="8.75"/>
      <name val="Arial"/>
      <family val="2"/>
    </font>
    <font>
      <sz val="11"/>
      <name val="Arial"/>
      <family val="0"/>
    </font>
    <font>
      <b/>
      <sz val="8.75"/>
      <name val="Arial Narrow"/>
      <family val="2"/>
    </font>
    <font>
      <sz val="8.5"/>
      <name val="Arial"/>
      <family val="2"/>
    </font>
    <font>
      <sz val="10"/>
      <color indexed="17"/>
      <name val="Arial"/>
      <family val="2"/>
    </font>
    <font>
      <b/>
      <sz val="11"/>
      <name val="Arial"/>
      <family val="2"/>
    </font>
    <font>
      <vertAlign val="subscript"/>
      <sz val="10"/>
      <name val="Arial"/>
      <family val="2"/>
    </font>
  </fonts>
  <fills count="4">
    <fill>
      <patternFill/>
    </fill>
    <fill>
      <patternFill patternType="gray125"/>
    </fill>
    <fill>
      <patternFill patternType="solid">
        <fgColor indexed="13"/>
        <bgColor indexed="64"/>
      </patternFill>
    </fill>
    <fill>
      <patternFill patternType="solid">
        <fgColor indexed="47"/>
        <bgColor indexed="64"/>
      </patternFill>
    </fill>
  </fills>
  <borders count="58">
    <border>
      <left/>
      <right/>
      <top/>
      <bottom/>
      <diagonal/>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style="thin"/>
      <top style="thin"/>
      <bottom style="medium"/>
    </border>
    <border>
      <left style="thin"/>
      <right style="medium"/>
      <top style="thin"/>
      <bottom>
        <color indexed="63"/>
      </bottom>
    </border>
    <border>
      <left style="thin"/>
      <right style="thin"/>
      <top style="medium"/>
      <bottom style="medium"/>
    </border>
    <border>
      <left style="medium"/>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color indexed="63"/>
      </right>
      <top>
        <color indexed="63"/>
      </top>
      <bottom style="mediu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8">
    <xf numFmtId="0" fontId="0" fillId="0" borderId="0" xfId="0" applyAlignment="1">
      <alignment/>
    </xf>
    <xf numFmtId="164" fontId="0" fillId="0" borderId="0" xfId="0" applyNumberFormat="1" applyAlignment="1">
      <alignment/>
    </xf>
    <xf numFmtId="0" fontId="5"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5"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4" xfId="0" applyBorder="1" applyAlignment="1">
      <alignment/>
    </xf>
    <xf numFmtId="0" fontId="5" fillId="0" borderId="7" xfId="0" applyFont="1" applyBorder="1" applyAlignment="1">
      <alignment/>
    </xf>
    <xf numFmtId="1" fontId="4" fillId="0" borderId="8" xfId="0" applyNumberFormat="1" applyFont="1" applyBorder="1" applyAlignment="1">
      <alignment/>
    </xf>
    <xf numFmtId="0" fontId="5" fillId="0" borderId="9" xfId="0" applyFont="1" applyBorder="1" applyAlignment="1">
      <alignment/>
    </xf>
    <xf numFmtId="0" fontId="5" fillId="0" borderId="0" xfId="0" applyFont="1" applyAlignment="1">
      <alignment/>
    </xf>
    <xf numFmtId="2" fontId="0" fillId="0" borderId="0" xfId="0" applyNumberFormat="1" applyAlignment="1">
      <alignment/>
    </xf>
    <xf numFmtId="2" fontId="0" fillId="0" borderId="1" xfId="0" applyNumberFormat="1" applyBorder="1" applyAlignment="1">
      <alignment/>
    </xf>
    <xf numFmtId="0" fontId="0" fillId="0" borderId="10" xfId="0" applyFont="1" applyBorder="1" applyAlignment="1">
      <alignment/>
    </xf>
    <xf numFmtId="2" fontId="8" fillId="0" borderId="10" xfId="0" applyNumberFormat="1" applyFont="1" applyBorder="1" applyAlignment="1">
      <alignment wrapText="1"/>
    </xf>
    <xf numFmtId="0" fontId="8" fillId="0" borderId="10" xfId="0" applyFont="1" applyBorder="1" applyAlignment="1">
      <alignment wrapText="1"/>
    </xf>
    <xf numFmtId="2" fontId="8" fillId="0" borderId="10" xfId="0" applyNumberFormat="1" applyFont="1" applyFill="1" applyBorder="1" applyAlignment="1">
      <alignment wrapText="1"/>
    </xf>
    <xf numFmtId="2" fontId="8" fillId="0" borderId="2" xfId="0" applyNumberFormat="1" applyFont="1" applyFill="1" applyBorder="1" applyAlignment="1">
      <alignment wrapText="1"/>
    </xf>
    <xf numFmtId="0" fontId="5" fillId="0" borderId="11" xfId="0" applyFont="1" applyBorder="1" applyAlignment="1">
      <alignment/>
    </xf>
    <xf numFmtId="0" fontId="5" fillId="0" borderId="12" xfId="0" applyFont="1" applyBorder="1" applyAlignment="1">
      <alignment/>
    </xf>
    <xf numFmtId="165" fontId="5" fillId="0" borderId="13" xfId="0" applyNumberFormat="1" applyFont="1" applyBorder="1" applyAlignment="1">
      <alignment/>
    </xf>
    <xf numFmtId="0" fontId="8" fillId="2" borderId="10" xfId="0" applyFont="1" applyFill="1" applyBorder="1" applyAlignment="1">
      <alignment wrapText="1"/>
    </xf>
    <xf numFmtId="0" fontId="0" fillId="0" borderId="0" xfId="0" applyFont="1" applyAlignment="1">
      <alignment/>
    </xf>
    <xf numFmtId="0" fontId="7" fillId="0" borderId="4" xfId="0" applyFont="1" applyBorder="1" applyAlignment="1">
      <alignment/>
    </xf>
    <xf numFmtId="0" fontId="0" fillId="0" borderId="2" xfId="0" applyFont="1" applyBorder="1" applyAlignment="1">
      <alignment/>
    </xf>
    <xf numFmtId="0" fontId="7" fillId="0" borderId="14" xfId="0" applyFont="1" applyBorder="1" applyAlignment="1">
      <alignment/>
    </xf>
    <xf numFmtId="0" fontId="0" fillId="0" borderId="1" xfId="0" applyFont="1" applyBorder="1" applyAlignment="1">
      <alignment/>
    </xf>
    <xf numFmtId="0" fontId="0" fillId="0" borderId="3" xfId="0" applyFont="1" applyBorder="1" applyAlignment="1">
      <alignment/>
    </xf>
    <xf numFmtId="0" fontId="6" fillId="0" borderId="14" xfId="0" applyFont="1" applyBorder="1" applyAlignment="1">
      <alignment/>
    </xf>
    <xf numFmtId="1" fontId="6" fillId="0" borderId="1" xfId="0" applyNumberFormat="1" applyFont="1" applyBorder="1" applyAlignment="1">
      <alignment/>
    </xf>
    <xf numFmtId="1" fontId="0" fillId="0" borderId="1" xfId="0" applyNumberFormat="1" applyFont="1" applyBorder="1" applyAlignment="1">
      <alignment/>
    </xf>
    <xf numFmtId="165" fontId="0" fillId="0" borderId="1" xfId="0" applyNumberFormat="1" applyFont="1" applyBorder="1" applyAlignment="1">
      <alignment/>
    </xf>
    <xf numFmtId="165" fontId="0" fillId="0" borderId="3" xfId="0" applyNumberFormat="1" applyFont="1" applyBorder="1" applyAlignment="1">
      <alignment/>
    </xf>
    <xf numFmtId="0" fontId="6" fillId="0" borderId="5" xfId="0" applyFont="1" applyBorder="1" applyAlignment="1">
      <alignment/>
    </xf>
    <xf numFmtId="1" fontId="6" fillId="0" borderId="6" xfId="0" applyNumberFormat="1" applyFont="1" applyBorder="1" applyAlignment="1">
      <alignment/>
    </xf>
    <xf numFmtId="0" fontId="7" fillId="0" borderId="15" xfId="0" applyFont="1" applyBorder="1" applyAlignment="1">
      <alignment/>
    </xf>
    <xf numFmtId="1" fontId="5" fillId="0" borderId="16" xfId="0" applyNumberFormat="1" applyFont="1" applyBorder="1" applyAlignment="1">
      <alignment/>
    </xf>
    <xf numFmtId="1" fontId="5" fillId="0" borderId="17" xfId="0" applyNumberFormat="1" applyFont="1" applyBorder="1" applyAlignment="1">
      <alignment/>
    </xf>
    <xf numFmtId="0" fontId="0" fillId="0" borderId="18" xfId="0" applyFont="1" applyBorder="1" applyAlignment="1">
      <alignment/>
    </xf>
    <xf numFmtId="0" fontId="0" fillId="0" borderId="8" xfId="0" applyFont="1" applyBorder="1" applyAlignment="1">
      <alignment/>
    </xf>
    <xf numFmtId="0" fontId="6" fillId="0" borderId="4" xfId="0" applyFont="1" applyBorder="1" applyAlignment="1">
      <alignment/>
    </xf>
    <xf numFmtId="164" fontId="0" fillId="0" borderId="2" xfId="0" applyNumberFormat="1" applyFont="1" applyBorder="1" applyAlignment="1">
      <alignment/>
    </xf>
    <xf numFmtId="0" fontId="7" fillId="0" borderId="7" xfId="0" applyFont="1" applyBorder="1" applyAlignment="1">
      <alignment/>
    </xf>
    <xf numFmtId="0" fontId="5" fillId="0" borderId="19" xfId="0" applyFont="1" applyBorder="1" applyAlignment="1">
      <alignment/>
    </xf>
    <xf numFmtId="165" fontId="5" fillId="0" borderId="8" xfId="0" applyNumberFormat="1"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20" xfId="0" applyFont="1" applyBorder="1" applyAlignment="1">
      <alignment/>
    </xf>
    <xf numFmtId="0" fontId="7" fillId="0" borderId="9" xfId="0" applyFont="1" applyBorder="1" applyAlignment="1">
      <alignment/>
    </xf>
    <xf numFmtId="1" fontId="7" fillId="0" borderId="21" xfId="0" applyNumberFormat="1" applyFont="1" applyBorder="1" applyAlignment="1">
      <alignment/>
    </xf>
    <xf numFmtId="1" fontId="5" fillId="0" borderId="21" xfId="0" applyNumberFormat="1" applyFont="1" applyBorder="1" applyAlignment="1">
      <alignment/>
    </xf>
    <xf numFmtId="1" fontId="5" fillId="0" borderId="13" xfId="0" applyNumberFormat="1" applyFont="1" applyBorder="1" applyAlignment="1">
      <alignment/>
    </xf>
    <xf numFmtId="0" fontId="4" fillId="0" borderId="0" xfId="0" applyFont="1" applyAlignment="1">
      <alignment/>
    </xf>
    <xf numFmtId="0" fontId="10" fillId="0" borderId="0" xfId="0" applyFont="1" applyAlignment="1">
      <alignment/>
    </xf>
    <xf numFmtId="3" fontId="0" fillId="0" borderId="0" xfId="0" applyNumberFormat="1" applyAlignment="1">
      <alignment/>
    </xf>
    <xf numFmtId="3" fontId="4" fillId="0" borderId="0" xfId="0" applyNumberFormat="1" applyFont="1" applyAlignment="1">
      <alignment/>
    </xf>
    <xf numFmtId="3" fontId="5" fillId="0" borderId="0" xfId="0" applyNumberFormat="1" applyFont="1" applyAlignment="1">
      <alignment/>
    </xf>
    <xf numFmtId="4" fontId="0" fillId="0" borderId="0" xfId="0" applyNumberFormat="1" applyAlignment="1">
      <alignment/>
    </xf>
    <xf numFmtId="4" fontId="6" fillId="0" borderId="0" xfId="0" applyNumberFormat="1" applyFont="1" applyAlignment="1">
      <alignment/>
    </xf>
    <xf numFmtId="0" fontId="11" fillId="0" borderId="0" xfId="0" applyFont="1" applyAlignment="1">
      <alignment/>
    </xf>
    <xf numFmtId="0" fontId="10" fillId="0" borderId="14" xfId="0" applyFont="1" applyBorder="1" applyAlignment="1">
      <alignment/>
    </xf>
    <xf numFmtId="3" fontId="0" fillId="0" borderId="3" xfId="0" applyNumberFormat="1" applyBorder="1" applyAlignment="1">
      <alignment/>
    </xf>
    <xf numFmtId="0" fontId="0" fillId="0" borderId="14" xfId="0" applyBorder="1" applyAlignment="1">
      <alignment/>
    </xf>
    <xf numFmtId="0" fontId="10" fillId="0" borderId="4" xfId="0" applyFont="1" applyBorder="1" applyAlignment="1">
      <alignment/>
    </xf>
    <xf numFmtId="3" fontId="0" fillId="0" borderId="2" xfId="0" applyNumberFormat="1" applyBorder="1" applyAlignment="1">
      <alignment/>
    </xf>
    <xf numFmtId="3" fontId="0" fillId="0" borderId="20" xfId="0" applyNumberFormat="1" applyBorder="1" applyAlignment="1">
      <alignment/>
    </xf>
    <xf numFmtId="0" fontId="4" fillId="0" borderId="9" xfId="0" applyFont="1" applyBorder="1" applyAlignment="1">
      <alignment/>
    </xf>
    <xf numFmtId="3" fontId="5" fillId="0" borderId="13" xfId="0" applyNumberFormat="1" applyFont="1" applyBorder="1" applyAlignment="1">
      <alignment/>
    </xf>
    <xf numFmtId="0" fontId="6" fillId="0" borderId="1" xfId="0" applyFont="1" applyBorder="1" applyAlignment="1">
      <alignment/>
    </xf>
    <xf numFmtId="0" fontId="6" fillId="0" borderId="4" xfId="0" applyFont="1" applyBorder="1" applyAlignment="1">
      <alignment/>
    </xf>
    <xf numFmtId="0" fontId="6" fillId="0" borderId="10" xfId="0" applyFont="1" applyBorder="1" applyAlignment="1">
      <alignment/>
    </xf>
    <xf numFmtId="4" fontId="6" fillId="0" borderId="2" xfId="0" applyNumberFormat="1" applyFont="1" applyBorder="1" applyAlignment="1">
      <alignment/>
    </xf>
    <xf numFmtId="0" fontId="6" fillId="0" borderId="14" xfId="0" applyFont="1" applyBorder="1" applyAlignment="1">
      <alignment/>
    </xf>
    <xf numFmtId="4" fontId="6" fillId="0" borderId="3" xfId="0" applyNumberFormat="1" applyFont="1" applyBorder="1" applyAlignment="1">
      <alignment/>
    </xf>
    <xf numFmtId="0" fontId="0" fillId="0" borderId="9" xfId="0" applyBorder="1" applyAlignment="1">
      <alignment/>
    </xf>
    <xf numFmtId="0" fontId="7" fillId="0" borderId="21" xfId="0" applyFont="1" applyBorder="1" applyAlignment="1">
      <alignment/>
    </xf>
    <xf numFmtId="4" fontId="5" fillId="0" borderId="13" xfId="0" applyNumberFormat="1" applyFont="1" applyBorder="1" applyAlignment="1">
      <alignment/>
    </xf>
    <xf numFmtId="0" fontId="5" fillId="0" borderId="22" xfId="0" applyFont="1" applyBorder="1" applyAlignment="1">
      <alignment/>
    </xf>
    <xf numFmtId="3" fontId="5" fillId="0" borderId="11" xfId="0" applyNumberFormat="1" applyFont="1" applyBorder="1" applyAlignment="1">
      <alignment/>
    </xf>
    <xf numFmtId="0" fontId="12" fillId="0" borderId="0" xfId="0" applyFont="1" applyAlignment="1">
      <alignment/>
    </xf>
    <xf numFmtId="0" fontId="8" fillId="0" borderId="0" xfId="0" applyFont="1" applyAlignment="1">
      <alignment/>
    </xf>
    <xf numFmtId="0" fontId="12" fillId="0" borderId="4" xfId="0" applyFont="1" applyBorder="1" applyAlignment="1">
      <alignment/>
    </xf>
    <xf numFmtId="0" fontId="8" fillId="0" borderId="10" xfId="0" applyFont="1" applyBorder="1" applyAlignment="1">
      <alignment/>
    </xf>
    <xf numFmtId="0" fontId="8" fillId="0" borderId="2" xfId="0" applyFont="1" applyBorder="1" applyAlignment="1">
      <alignment/>
    </xf>
    <xf numFmtId="0" fontId="16" fillId="0" borderId="14" xfId="0" applyFont="1" applyBorder="1" applyAlignment="1">
      <alignment/>
    </xf>
    <xf numFmtId="0" fontId="8" fillId="0" borderId="1" xfId="0" applyFont="1" applyBorder="1" applyAlignment="1">
      <alignment/>
    </xf>
    <xf numFmtId="0" fontId="8" fillId="0" borderId="3" xfId="0" applyFont="1" applyBorder="1" applyAlignment="1">
      <alignment/>
    </xf>
    <xf numFmtId="0" fontId="16" fillId="0" borderId="5" xfId="0" applyFont="1" applyBorder="1" applyAlignment="1">
      <alignment/>
    </xf>
    <xf numFmtId="0" fontId="8" fillId="0" borderId="6" xfId="0" applyFont="1" applyBorder="1" applyAlignment="1">
      <alignment/>
    </xf>
    <xf numFmtId="0" fontId="8" fillId="0" borderId="19" xfId="0" applyFont="1" applyBorder="1" applyAlignment="1">
      <alignment/>
    </xf>
    <xf numFmtId="0" fontId="8" fillId="0" borderId="8" xfId="0" applyFont="1" applyBorder="1" applyAlignment="1">
      <alignment/>
    </xf>
    <xf numFmtId="0" fontId="17" fillId="0" borderId="9" xfId="0" applyFont="1" applyBorder="1" applyAlignment="1">
      <alignment/>
    </xf>
    <xf numFmtId="0" fontId="12" fillId="0" borderId="21" xfId="0" applyFont="1" applyBorder="1" applyAlignment="1">
      <alignment/>
    </xf>
    <xf numFmtId="0" fontId="12" fillId="0" borderId="13" xfId="0" applyFont="1" applyBorder="1" applyAlignment="1">
      <alignment/>
    </xf>
    <xf numFmtId="0" fontId="17" fillId="0" borderId="0" xfId="0" applyFont="1" applyAlignment="1">
      <alignment/>
    </xf>
    <xf numFmtId="0" fontId="12" fillId="0" borderId="0" xfId="0" applyFont="1" applyAlignment="1">
      <alignment/>
    </xf>
    <xf numFmtId="0" fontId="16" fillId="0" borderId="4" xfId="0" applyFont="1" applyBorder="1" applyAlignment="1">
      <alignment/>
    </xf>
    <xf numFmtId="0" fontId="8" fillId="0" borderId="10" xfId="0" applyFont="1" applyBorder="1" applyAlignment="1">
      <alignment/>
    </xf>
    <xf numFmtId="1" fontId="8" fillId="0" borderId="1" xfId="0" applyNumberFormat="1" applyFont="1" applyBorder="1" applyAlignment="1">
      <alignment/>
    </xf>
    <xf numFmtId="0" fontId="20" fillId="0" borderId="14" xfId="0" applyFont="1" applyBorder="1" applyAlignment="1">
      <alignment/>
    </xf>
    <xf numFmtId="0" fontId="14" fillId="0" borderId="0" xfId="0" applyFont="1" applyAlignment="1">
      <alignment/>
    </xf>
    <xf numFmtId="0" fontId="20" fillId="0" borderId="5" xfId="0" applyFont="1" applyBorder="1" applyAlignment="1">
      <alignment/>
    </xf>
    <xf numFmtId="1" fontId="8" fillId="0" borderId="6" xfId="0" applyNumberFormat="1" applyFont="1" applyBorder="1" applyAlignment="1">
      <alignment/>
    </xf>
    <xf numFmtId="0" fontId="8" fillId="0" borderId="20" xfId="0" applyFont="1" applyBorder="1" applyAlignment="1">
      <alignment/>
    </xf>
    <xf numFmtId="0" fontId="12" fillId="0" borderId="9" xfId="0" applyFont="1" applyBorder="1" applyAlignment="1">
      <alignment/>
    </xf>
    <xf numFmtId="164" fontId="12" fillId="0" borderId="21" xfId="0" applyNumberFormat="1" applyFont="1" applyBorder="1" applyAlignment="1">
      <alignment/>
    </xf>
    <xf numFmtId="0" fontId="8" fillId="0" borderId="13" xfId="0" applyFont="1" applyBorder="1" applyAlignment="1">
      <alignment/>
    </xf>
    <xf numFmtId="0" fontId="16" fillId="0" borderId="23" xfId="0" applyFont="1" applyBorder="1" applyAlignment="1">
      <alignment/>
    </xf>
    <xf numFmtId="1" fontId="8" fillId="0" borderId="24" xfId="0" applyNumberFormat="1" applyFont="1" applyBorder="1" applyAlignment="1">
      <alignment/>
    </xf>
    <xf numFmtId="0" fontId="8" fillId="0" borderId="25" xfId="0" applyFont="1" applyBorder="1" applyAlignment="1">
      <alignment/>
    </xf>
    <xf numFmtId="0" fontId="8" fillId="0" borderId="5" xfId="0" applyFont="1" applyBorder="1" applyAlignment="1">
      <alignment/>
    </xf>
    <xf numFmtId="10" fontId="8" fillId="0" borderId="0" xfId="0" applyNumberFormat="1" applyFont="1" applyAlignment="1">
      <alignment horizontal="right" wrapText="1"/>
    </xf>
    <xf numFmtId="0" fontId="8" fillId="0" borderId="4" xfId="0" applyFont="1" applyBorder="1" applyAlignment="1">
      <alignment/>
    </xf>
    <xf numFmtId="2" fontId="8" fillId="0" borderId="14" xfId="0" applyNumberFormat="1" applyFont="1" applyBorder="1" applyAlignment="1">
      <alignment/>
    </xf>
    <xf numFmtId="2" fontId="8" fillId="0" borderId="1" xfId="0" applyNumberFormat="1" applyFont="1" applyBorder="1" applyAlignment="1">
      <alignment/>
    </xf>
    <xf numFmtId="1" fontId="8" fillId="2" borderId="1" xfId="0" applyNumberFormat="1" applyFont="1" applyFill="1" applyBorder="1" applyAlignment="1">
      <alignment/>
    </xf>
    <xf numFmtId="1" fontId="8" fillId="0" borderId="1" xfId="0" applyNumberFormat="1" applyFont="1" applyFill="1" applyBorder="1" applyAlignment="1">
      <alignment/>
    </xf>
    <xf numFmtId="165" fontId="8" fillId="0" borderId="3" xfId="0" applyNumberFormat="1" applyFont="1" applyBorder="1" applyAlignment="1">
      <alignment/>
    </xf>
    <xf numFmtId="2" fontId="8" fillId="0" borderId="5" xfId="0" applyNumberFormat="1" applyFont="1" applyBorder="1" applyAlignment="1">
      <alignment/>
    </xf>
    <xf numFmtId="2" fontId="8" fillId="0" borderId="6" xfId="0" applyNumberFormat="1" applyFont="1" applyBorder="1" applyAlignment="1">
      <alignment/>
    </xf>
    <xf numFmtId="1" fontId="8" fillId="2" borderId="6" xfId="0" applyNumberFormat="1" applyFont="1" applyFill="1" applyBorder="1" applyAlignment="1">
      <alignment/>
    </xf>
    <xf numFmtId="1" fontId="8" fillId="0" borderId="6" xfId="0" applyNumberFormat="1" applyFont="1" applyFill="1" applyBorder="1" applyAlignment="1">
      <alignment/>
    </xf>
    <xf numFmtId="165" fontId="8" fillId="0" borderId="20" xfId="0" applyNumberFormat="1" applyFont="1" applyBorder="1" applyAlignment="1">
      <alignment/>
    </xf>
    <xf numFmtId="2" fontId="12" fillId="0" borderId="15" xfId="0" applyNumberFormat="1" applyFont="1" applyFill="1" applyBorder="1" applyAlignment="1">
      <alignment/>
    </xf>
    <xf numFmtId="2" fontId="12" fillId="0" borderId="16" xfId="0" applyNumberFormat="1" applyFont="1" applyBorder="1" applyAlignment="1">
      <alignment/>
    </xf>
    <xf numFmtId="0" fontId="12" fillId="0" borderId="16" xfId="0" applyFont="1" applyBorder="1" applyAlignment="1">
      <alignment/>
    </xf>
    <xf numFmtId="1" fontId="12" fillId="0" borderId="26" xfId="0" applyNumberFormat="1" applyFont="1" applyBorder="1" applyAlignment="1">
      <alignment/>
    </xf>
    <xf numFmtId="0" fontId="12" fillId="0" borderId="26" xfId="0" applyFont="1" applyBorder="1" applyAlignment="1">
      <alignment/>
    </xf>
    <xf numFmtId="0" fontId="12" fillId="0" borderId="27" xfId="0" applyFont="1" applyBorder="1" applyAlignment="1">
      <alignment/>
    </xf>
    <xf numFmtId="0" fontId="12" fillId="0" borderId="28" xfId="0" applyFont="1" applyBorder="1" applyAlignment="1">
      <alignment/>
    </xf>
    <xf numFmtId="1" fontId="12" fillId="0" borderId="27" xfId="0" applyNumberFormat="1" applyFont="1" applyBorder="1" applyAlignment="1">
      <alignment/>
    </xf>
    <xf numFmtId="0" fontId="12" fillId="0" borderId="29" xfId="0" applyFont="1" applyBorder="1" applyAlignment="1">
      <alignment/>
    </xf>
    <xf numFmtId="2" fontId="12" fillId="0" borderId="22" xfId="0" applyNumberFormat="1" applyFont="1" applyFill="1" applyBorder="1" applyAlignment="1">
      <alignment/>
    </xf>
    <xf numFmtId="0" fontId="12" fillId="0" borderId="30" xfId="0" applyFont="1" applyBorder="1" applyAlignment="1">
      <alignment/>
    </xf>
    <xf numFmtId="2" fontId="12" fillId="0" borderId="21" xfId="0" applyNumberFormat="1" applyFont="1" applyBorder="1" applyAlignment="1">
      <alignment/>
    </xf>
    <xf numFmtId="0" fontId="12" fillId="0" borderId="11" xfId="0" applyFont="1" applyBorder="1" applyAlignment="1">
      <alignment/>
    </xf>
    <xf numFmtId="0" fontId="12" fillId="0" borderId="12" xfId="0" applyFont="1" applyBorder="1" applyAlignment="1">
      <alignment/>
    </xf>
    <xf numFmtId="2" fontId="12" fillId="0" borderId="9" xfId="0" applyNumberFormat="1" applyFont="1" applyFill="1" applyBorder="1" applyAlignment="1">
      <alignment/>
    </xf>
    <xf numFmtId="2" fontId="12" fillId="0" borderId="11" xfId="0" applyNumberFormat="1" applyFont="1" applyBorder="1" applyAlignment="1">
      <alignment/>
    </xf>
    <xf numFmtId="0" fontId="12" fillId="0" borderId="31" xfId="0" applyFont="1" applyBorder="1" applyAlignment="1">
      <alignment/>
    </xf>
    <xf numFmtId="165" fontId="12" fillId="0" borderId="13" xfId="0" applyNumberFormat="1" applyFont="1" applyBorder="1" applyAlignment="1">
      <alignment/>
    </xf>
    <xf numFmtId="2" fontId="12" fillId="0" borderId="32" xfId="0" applyNumberFormat="1" applyFont="1" applyFill="1" applyBorder="1" applyAlignment="1">
      <alignment/>
    </xf>
    <xf numFmtId="0" fontId="12" fillId="0" borderId="33" xfId="0" applyFont="1" applyBorder="1" applyAlignment="1">
      <alignment/>
    </xf>
    <xf numFmtId="0" fontId="12" fillId="0" borderId="34" xfId="0" applyFont="1" applyBorder="1" applyAlignment="1">
      <alignment/>
    </xf>
    <xf numFmtId="0" fontId="12" fillId="0" borderId="35" xfId="0" applyFont="1" applyBorder="1" applyAlignment="1">
      <alignment/>
    </xf>
    <xf numFmtId="164" fontId="12" fillId="0" borderId="34" xfId="0" applyNumberFormat="1" applyFont="1" applyBorder="1" applyAlignment="1">
      <alignment/>
    </xf>
    <xf numFmtId="0" fontId="12" fillId="0" borderId="36" xfId="0" applyFont="1" applyBorder="1" applyAlignment="1">
      <alignment/>
    </xf>
    <xf numFmtId="165" fontId="8" fillId="3" borderId="3" xfId="0" applyNumberFormat="1" applyFont="1" applyFill="1" applyBorder="1" applyAlignment="1">
      <alignment/>
    </xf>
    <xf numFmtId="165" fontId="8" fillId="0" borderId="1" xfId="0" applyNumberFormat="1" applyFont="1" applyBorder="1" applyAlignment="1">
      <alignment/>
    </xf>
    <xf numFmtId="165" fontId="8" fillId="0" borderId="10" xfId="0" applyNumberFormat="1" applyFont="1" applyBorder="1" applyAlignment="1">
      <alignment/>
    </xf>
    <xf numFmtId="0" fontId="8" fillId="0" borderId="14" xfId="0" applyFont="1" applyBorder="1" applyAlignment="1">
      <alignment/>
    </xf>
    <xf numFmtId="0" fontId="12" fillId="0" borderId="7" xfId="0" applyFont="1" applyBorder="1" applyAlignment="1">
      <alignment/>
    </xf>
    <xf numFmtId="0" fontId="8" fillId="3" borderId="0" xfId="0" applyFont="1" applyFill="1" applyAlignment="1">
      <alignment/>
    </xf>
    <xf numFmtId="0" fontId="5" fillId="0" borderId="0" xfId="0" applyFont="1" applyFill="1" applyBorder="1" applyAlignment="1">
      <alignment/>
    </xf>
    <xf numFmtId="0" fontId="8" fillId="0" borderId="37" xfId="0" applyFont="1" applyBorder="1" applyAlignment="1">
      <alignment/>
    </xf>
    <xf numFmtId="0" fontId="8" fillId="0" borderId="38" xfId="0" applyFont="1" applyBorder="1" applyAlignment="1">
      <alignment/>
    </xf>
    <xf numFmtId="165" fontId="8" fillId="0" borderId="39" xfId="0" applyNumberFormat="1" applyFont="1" applyBorder="1" applyAlignment="1">
      <alignment/>
    </xf>
    <xf numFmtId="165" fontId="8" fillId="0" borderId="40" xfId="0" applyNumberFormat="1" applyFont="1" applyBorder="1" applyAlignment="1">
      <alignment/>
    </xf>
    <xf numFmtId="0" fontId="8" fillId="0" borderId="40" xfId="0" applyFont="1" applyBorder="1" applyAlignment="1">
      <alignment/>
    </xf>
    <xf numFmtId="0" fontId="8" fillId="0" borderId="7" xfId="0" applyFont="1" applyBorder="1" applyAlignment="1">
      <alignment/>
    </xf>
    <xf numFmtId="0" fontId="28" fillId="0" borderId="0" xfId="0" applyFont="1" applyAlignment="1">
      <alignment/>
    </xf>
    <xf numFmtId="0" fontId="8" fillId="0" borderId="1" xfId="0" applyFont="1" applyFill="1" applyBorder="1" applyAlignment="1">
      <alignment/>
    </xf>
    <xf numFmtId="0" fontId="8" fillId="0" borderId="10" xfId="0" applyFont="1" applyFill="1" applyBorder="1" applyAlignment="1">
      <alignment/>
    </xf>
    <xf numFmtId="165" fontId="8" fillId="0" borderId="2" xfId="0" applyNumberFormat="1" applyFont="1" applyBorder="1" applyAlignment="1">
      <alignment/>
    </xf>
    <xf numFmtId="0" fontId="8" fillId="0" borderId="19" xfId="0" applyFont="1" applyFill="1" applyBorder="1" applyAlignment="1">
      <alignment/>
    </xf>
    <xf numFmtId="0" fontId="8" fillId="0" borderId="23" xfId="0" applyFont="1" applyBorder="1" applyAlignment="1">
      <alignment/>
    </xf>
    <xf numFmtId="0" fontId="8" fillId="0" borderId="24" xfId="0" applyFont="1" applyBorder="1" applyAlignment="1">
      <alignment/>
    </xf>
    <xf numFmtId="0" fontId="8" fillId="0" borderId="7" xfId="0" applyFont="1" applyBorder="1" applyAlignment="1">
      <alignment/>
    </xf>
    <xf numFmtId="165" fontId="8" fillId="0" borderId="19" xfId="0" applyNumberFormat="1" applyFont="1" applyBorder="1" applyAlignment="1">
      <alignment/>
    </xf>
    <xf numFmtId="165" fontId="8" fillId="0" borderId="8" xfId="0" applyNumberFormat="1" applyFont="1" applyBorder="1" applyAlignment="1">
      <alignment/>
    </xf>
    <xf numFmtId="0" fontId="14" fillId="0" borderId="14" xfId="0" applyFont="1" applyBorder="1" applyAlignment="1">
      <alignment/>
    </xf>
    <xf numFmtId="0" fontId="8" fillId="0" borderId="14" xfId="0" applyFont="1" applyBorder="1" applyAlignment="1">
      <alignment/>
    </xf>
    <xf numFmtId="0" fontId="14" fillId="0" borderId="23" xfId="0" applyFont="1" applyBorder="1" applyAlignment="1">
      <alignment/>
    </xf>
    <xf numFmtId="0" fontId="8" fillId="0" borderId="4" xfId="0" applyFont="1" applyBorder="1" applyAlignment="1">
      <alignment/>
    </xf>
    <xf numFmtId="0" fontId="8" fillId="0" borderId="41" xfId="0" applyFont="1" applyBorder="1" applyAlignment="1">
      <alignment/>
    </xf>
    <xf numFmtId="0" fontId="8" fillId="0" borderId="23" xfId="0" applyFont="1" applyBorder="1" applyAlignment="1">
      <alignment/>
    </xf>
    <xf numFmtId="165" fontId="8" fillId="3" borderId="1" xfId="0" applyNumberFormat="1" applyFont="1" applyFill="1" applyBorder="1" applyAlignment="1">
      <alignment/>
    </xf>
    <xf numFmtId="0" fontId="8" fillId="3" borderId="3" xfId="0" applyFont="1" applyFill="1" applyBorder="1" applyAlignment="1">
      <alignment/>
    </xf>
    <xf numFmtId="2" fontId="8" fillId="0" borderId="19" xfId="0" applyNumberFormat="1" applyFont="1" applyBorder="1" applyAlignment="1">
      <alignment/>
    </xf>
    <xf numFmtId="165" fontId="8" fillId="3" borderId="19" xfId="0" applyNumberFormat="1" applyFont="1" applyFill="1" applyBorder="1" applyAlignment="1">
      <alignment/>
    </xf>
    <xf numFmtId="0" fontId="8" fillId="3" borderId="8" xfId="0" applyFont="1" applyFill="1" applyBorder="1" applyAlignment="1">
      <alignment/>
    </xf>
    <xf numFmtId="2" fontId="8" fillId="0" borderId="24" xfId="0" applyNumberFormat="1" applyFont="1" applyBorder="1" applyAlignment="1">
      <alignment/>
    </xf>
    <xf numFmtId="165" fontId="8" fillId="0" borderId="24" xfId="0" applyNumberFormat="1" applyFont="1" applyBorder="1" applyAlignment="1">
      <alignment/>
    </xf>
    <xf numFmtId="2" fontId="8" fillId="0" borderId="21" xfId="0" applyNumberFormat="1" applyFont="1" applyBorder="1" applyAlignment="1">
      <alignment wrapText="1"/>
    </xf>
    <xf numFmtId="0" fontId="0" fillId="0" borderId="13" xfId="0" applyBorder="1" applyAlignment="1">
      <alignment/>
    </xf>
    <xf numFmtId="0" fontId="8" fillId="0" borderId="9" xfId="0" applyFont="1" applyBorder="1" applyAlignment="1">
      <alignment/>
    </xf>
    <xf numFmtId="164" fontId="8" fillId="0" borderId="21" xfId="0" applyNumberFormat="1" applyFont="1" applyBorder="1" applyAlignment="1">
      <alignment/>
    </xf>
    <xf numFmtId="165" fontId="12" fillId="0" borderId="19" xfId="0" applyNumberFormat="1" applyFont="1" applyBorder="1" applyAlignment="1">
      <alignment/>
    </xf>
    <xf numFmtId="0" fontId="12" fillId="0" borderId="42" xfId="0" applyFont="1" applyBorder="1" applyAlignment="1">
      <alignment/>
    </xf>
    <xf numFmtId="165" fontId="12" fillId="0" borderId="43" xfId="0" applyNumberFormat="1" applyFont="1" applyBorder="1" applyAlignment="1">
      <alignment/>
    </xf>
    <xf numFmtId="165" fontId="8" fillId="0" borderId="0" xfId="0" applyNumberFormat="1" applyFont="1" applyAlignment="1">
      <alignment/>
    </xf>
    <xf numFmtId="3" fontId="0" fillId="0" borderId="1" xfId="0" applyNumberFormat="1" applyBorder="1" applyAlignment="1">
      <alignment/>
    </xf>
    <xf numFmtId="3" fontId="0" fillId="0" borderId="10" xfId="0" applyNumberFormat="1" applyBorder="1" applyAlignment="1">
      <alignment/>
    </xf>
    <xf numFmtId="3" fontId="0" fillId="0" borderId="6" xfId="0" applyNumberFormat="1" applyBorder="1" applyAlignment="1">
      <alignment/>
    </xf>
    <xf numFmtId="0" fontId="0" fillId="0" borderId="20" xfId="0" applyBorder="1" applyAlignment="1">
      <alignment/>
    </xf>
    <xf numFmtId="3" fontId="0" fillId="0" borderId="21" xfId="0" applyNumberFormat="1" applyBorder="1" applyAlignment="1">
      <alignment/>
    </xf>
    <xf numFmtId="0" fontId="8" fillId="0" borderId="44" xfId="0" applyFont="1" applyBorder="1" applyAlignment="1">
      <alignment/>
    </xf>
    <xf numFmtId="165" fontId="8" fillId="0" borderId="45" xfId="0" applyNumberFormat="1" applyFont="1" applyBorder="1" applyAlignment="1">
      <alignment/>
    </xf>
    <xf numFmtId="3" fontId="8" fillId="0" borderId="40" xfId="0" applyNumberFormat="1" applyFont="1" applyBorder="1" applyAlignment="1">
      <alignment/>
    </xf>
    <xf numFmtId="165" fontId="8" fillId="0" borderId="6" xfId="0" applyNumberFormat="1" applyFont="1" applyBorder="1" applyAlignment="1">
      <alignment/>
    </xf>
    <xf numFmtId="0" fontId="12" fillId="0" borderId="0" xfId="0" applyFont="1" applyBorder="1" applyAlignment="1">
      <alignment/>
    </xf>
    <xf numFmtId="0" fontId="8" fillId="0" borderId="0" xfId="0" applyFont="1" applyBorder="1" applyAlignment="1">
      <alignment/>
    </xf>
    <xf numFmtId="1" fontId="8" fillId="0" borderId="0" xfId="0" applyNumberFormat="1" applyFont="1" applyBorder="1" applyAlignment="1">
      <alignment/>
    </xf>
    <xf numFmtId="1" fontId="8" fillId="0" borderId="44" xfId="0" applyNumberFormat="1" applyFont="1" applyBorder="1" applyAlignment="1">
      <alignment/>
    </xf>
    <xf numFmtId="2" fontId="12" fillId="0" borderId="0" xfId="0" applyNumberFormat="1" applyFont="1" applyFill="1" applyBorder="1" applyAlignment="1">
      <alignment/>
    </xf>
    <xf numFmtId="0" fontId="12" fillId="0" borderId="46" xfId="0" applyFont="1" applyFill="1" applyBorder="1" applyAlignment="1">
      <alignment/>
    </xf>
    <xf numFmtId="0" fontId="0" fillId="0" borderId="0" xfId="0" applyAlignment="1">
      <alignment vertical="top" wrapText="1"/>
    </xf>
    <xf numFmtId="170" fontId="0" fillId="0" borderId="0" xfId="0" applyNumberFormat="1" applyFont="1" applyAlignment="1">
      <alignment/>
    </xf>
    <xf numFmtId="165" fontId="8" fillId="0" borderId="1" xfId="0" applyNumberFormat="1" applyFont="1" applyBorder="1" applyAlignment="1">
      <alignment/>
    </xf>
    <xf numFmtId="0" fontId="8" fillId="0" borderId="1" xfId="0" applyFont="1" applyBorder="1" applyAlignment="1">
      <alignment/>
    </xf>
    <xf numFmtId="165" fontId="8" fillId="0" borderId="3" xfId="0" applyNumberFormat="1" applyFont="1" applyBorder="1" applyAlignment="1">
      <alignment/>
    </xf>
    <xf numFmtId="165" fontId="35" fillId="0" borderId="1" xfId="0" applyNumberFormat="1" applyFont="1" applyBorder="1" applyAlignment="1">
      <alignment/>
    </xf>
    <xf numFmtId="1" fontId="8" fillId="0" borderId="1" xfId="0" applyNumberFormat="1" applyFont="1" applyBorder="1" applyAlignment="1">
      <alignment/>
    </xf>
    <xf numFmtId="1" fontId="8" fillId="0" borderId="3" xfId="0" applyNumberFormat="1" applyFont="1" applyBorder="1" applyAlignment="1">
      <alignment/>
    </xf>
    <xf numFmtId="165" fontId="34" fillId="0" borderId="1" xfId="0" applyNumberFormat="1" applyFont="1" applyBorder="1" applyAlignment="1">
      <alignment/>
    </xf>
    <xf numFmtId="0" fontId="12" fillId="0" borderId="1" xfId="0" applyFont="1" applyBorder="1" applyAlignment="1">
      <alignment/>
    </xf>
    <xf numFmtId="165" fontId="12" fillId="0" borderId="3" xfId="0" applyNumberFormat="1" applyFont="1" applyBorder="1" applyAlignment="1">
      <alignment/>
    </xf>
    <xf numFmtId="165" fontId="34" fillId="0" borderId="19" xfId="0" applyNumberFormat="1" applyFont="1" applyBorder="1" applyAlignment="1">
      <alignment/>
    </xf>
    <xf numFmtId="0" fontId="12" fillId="0" borderId="19" xfId="0" applyFont="1" applyBorder="1" applyAlignment="1">
      <alignment/>
    </xf>
    <xf numFmtId="165" fontId="12" fillId="0" borderId="8" xfId="0" applyNumberFormat="1" applyFont="1" applyBorder="1" applyAlignment="1">
      <alignment/>
    </xf>
    <xf numFmtId="0" fontId="12" fillId="0" borderId="47" xfId="0" applyFont="1" applyBorder="1" applyAlignment="1">
      <alignment/>
    </xf>
    <xf numFmtId="0" fontId="8" fillId="0" borderId="36" xfId="0" applyFont="1" applyBorder="1" applyAlignment="1">
      <alignment/>
    </xf>
    <xf numFmtId="0" fontId="0" fillId="0" borderId="0" xfId="0" applyFont="1" applyAlignment="1">
      <alignment/>
    </xf>
    <xf numFmtId="0" fontId="12" fillId="0" borderId="0" xfId="0" applyFont="1" applyBorder="1" applyAlignment="1">
      <alignment vertical="top" wrapText="1"/>
    </xf>
    <xf numFmtId="0" fontId="8" fillId="0" borderId="0" xfId="0" applyFont="1" applyAlignment="1">
      <alignment wrapText="1"/>
    </xf>
    <xf numFmtId="0" fontId="38" fillId="0" borderId="0" xfId="0" applyNumberFormat="1" applyFont="1" applyAlignment="1">
      <alignment horizontal="left" vertical="center" wrapText="1"/>
    </xf>
    <xf numFmtId="0" fontId="0" fillId="0" borderId="0" xfId="0" applyAlignment="1">
      <alignment horizontal="left" vertical="center" wrapText="1"/>
    </xf>
    <xf numFmtId="0" fontId="14" fillId="0" borderId="14" xfId="0" applyFont="1" applyBorder="1" applyAlignment="1">
      <alignment/>
    </xf>
    <xf numFmtId="0" fontId="8" fillId="0" borderId="1" xfId="0" applyFont="1" applyBorder="1" applyAlignment="1">
      <alignment/>
    </xf>
    <xf numFmtId="0" fontId="12" fillId="0" borderId="7" xfId="0" applyFont="1" applyBorder="1" applyAlignment="1">
      <alignment/>
    </xf>
    <xf numFmtId="0" fontId="8" fillId="0" borderId="19" xfId="0" applyFont="1" applyBorder="1" applyAlignment="1">
      <alignment/>
    </xf>
    <xf numFmtId="2" fontId="12" fillId="0" borderId="22" xfId="0" applyNumberFormat="1" applyFont="1" applyFill="1" applyBorder="1" applyAlignment="1">
      <alignment/>
    </xf>
    <xf numFmtId="0" fontId="8" fillId="0" borderId="11" xfId="0" applyFont="1" applyBorder="1" applyAlignment="1">
      <alignment/>
    </xf>
    <xf numFmtId="0" fontId="8" fillId="0" borderId="31" xfId="0" applyFont="1" applyBorder="1" applyAlignment="1">
      <alignment/>
    </xf>
    <xf numFmtId="2" fontId="33" fillId="0" borderId="27" xfId="0" applyNumberFormat="1" applyFont="1" applyFill="1" applyBorder="1" applyAlignment="1">
      <alignment vertical="top" wrapText="1"/>
    </xf>
    <xf numFmtId="0" fontId="0" fillId="0" borderId="27" xfId="0" applyFont="1" applyBorder="1" applyAlignment="1">
      <alignment vertical="top" wrapText="1"/>
    </xf>
    <xf numFmtId="0" fontId="0" fillId="0" borderId="0" xfId="0" applyFont="1" applyAlignment="1">
      <alignment vertical="top" wrapText="1"/>
    </xf>
    <xf numFmtId="2" fontId="8" fillId="0" borderId="48" xfId="0" applyNumberFormat="1" applyFont="1" applyBorder="1" applyAlignment="1">
      <alignment/>
    </xf>
    <xf numFmtId="0" fontId="0" fillId="0" borderId="49" xfId="0" applyBorder="1" applyAlignment="1">
      <alignment/>
    </xf>
    <xf numFmtId="0" fontId="8" fillId="0" borderId="22" xfId="0" applyFont="1" applyBorder="1" applyAlignment="1">
      <alignment horizontal="center"/>
    </xf>
    <xf numFmtId="0" fontId="0" fillId="0" borderId="31" xfId="0" applyBorder="1" applyAlignment="1">
      <alignment horizontal="center"/>
    </xf>
    <xf numFmtId="2" fontId="8" fillId="0" borderId="50" xfId="0" applyNumberFormat="1" applyFont="1" applyBorder="1" applyAlignment="1">
      <alignment/>
    </xf>
    <xf numFmtId="0" fontId="0" fillId="0" borderId="51" xfId="0" applyBorder="1" applyAlignment="1">
      <alignment/>
    </xf>
    <xf numFmtId="0" fontId="12" fillId="0" borderId="14" xfId="0" applyFont="1" applyBorder="1" applyAlignment="1">
      <alignment/>
    </xf>
    <xf numFmtId="0" fontId="34" fillId="0" borderId="52" xfId="0" applyFont="1" applyBorder="1" applyAlignment="1">
      <alignment horizontal="left" vertical="center" wrapText="1"/>
    </xf>
    <xf numFmtId="0" fontId="34" fillId="0" borderId="29" xfId="0" applyFont="1" applyBorder="1" applyAlignment="1">
      <alignment horizontal="left" vertical="center" wrapText="1"/>
    </xf>
    <xf numFmtId="0" fontId="34" fillId="0" borderId="53" xfId="0" applyFont="1" applyBorder="1" applyAlignment="1">
      <alignment horizontal="left" vertical="center" wrapText="1"/>
    </xf>
    <xf numFmtId="0" fontId="34" fillId="0" borderId="54" xfId="0" applyFont="1" applyBorder="1" applyAlignment="1">
      <alignment horizontal="left" vertical="center" wrapText="1"/>
    </xf>
    <xf numFmtId="0" fontId="34" fillId="0" borderId="41" xfId="0" applyFont="1" applyBorder="1" applyAlignment="1">
      <alignment horizontal="left" vertical="center" wrapText="1"/>
    </xf>
    <xf numFmtId="0" fontId="34" fillId="0" borderId="36" xfId="0" applyFont="1" applyBorder="1" applyAlignment="1">
      <alignment horizontal="left" vertical="center" wrapText="1"/>
    </xf>
    <xf numFmtId="2" fontId="8" fillId="0" borderId="21" xfId="0" applyNumberFormat="1" applyFont="1" applyFill="1" applyBorder="1" applyAlignment="1">
      <alignment wrapText="1"/>
    </xf>
    <xf numFmtId="0" fontId="0" fillId="0" borderId="13" xfId="0" applyBorder="1" applyAlignment="1">
      <alignment wrapText="1"/>
    </xf>
    <xf numFmtId="2" fontId="8" fillId="0" borderId="55" xfId="0" applyNumberFormat="1" applyFont="1" applyBorder="1" applyAlignment="1">
      <alignment/>
    </xf>
    <xf numFmtId="0" fontId="0" fillId="0" borderId="56" xfId="0" applyBorder="1" applyAlignment="1">
      <alignment/>
    </xf>
    <xf numFmtId="0" fontId="5" fillId="0" borderId="0" xfId="0" applyFont="1" applyAlignment="1">
      <alignment vertical="top" wrapText="1"/>
    </xf>
    <xf numFmtId="0" fontId="0" fillId="0" borderId="0" xfId="0" applyAlignment="1">
      <alignment vertical="top" wrapText="1"/>
    </xf>
    <xf numFmtId="0" fontId="27" fillId="0" borderId="48" xfId="0" applyFont="1" applyBorder="1" applyAlignment="1">
      <alignment/>
    </xf>
    <xf numFmtId="0" fontId="44" fillId="0" borderId="57" xfId="0" applyFont="1" applyBorder="1" applyAlignment="1">
      <alignment/>
    </xf>
    <xf numFmtId="0" fontId="44" fillId="0" borderId="49" xfId="0" applyFont="1" applyBorder="1" applyAlignment="1">
      <alignment/>
    </xf>
    <xf numFmtId="0" fontId="5" fillId="0" borderId="0" xfId="0" applyFont="1" applyAlignment="1">
      <alignment wrapText="1"/>
    </xf>
    <xf numFmtId="0" fontId="0" fillId="0" borderId="0" xfId="0" applyAlignment="1">
      <alignment wrapText="1"/>
    </xf>
    <xf numFmtId="0" fontId="8" fillId="0" borderId="0" xfId="0" applyFont="1" applyAlignment="1">
      <alignment wrapText="1"/>
    </xf>
    <xf numFmtId="0" fontId="0" fillId="0" borderId="0" xfId="0" applyFont="1" applyAlignment="1">
      <alignment wrapText="1"/>
    </xf>
    <xf numFmtId="0" fontId="8" fillId="0" borderId="10" xfId="0" applyFont="1" applyBorder="1" applyAlignment="1">
      <alignment horizontal="center"/>
    </xf>
    <xf numFmtId="0" fontId="8" fillId="0" borderId="2"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WH: Oberer Grenzpreis für Substrate in €/kWh</a:t>
            </a:r>
          </a:p>
        </c:rich>
      </c:tx>
      <c:layout>
        <c:manualLayout>
          <c:xMode val="factor"/>
          <c:yMode val="factor"/>
          <c:x val="-0.00825"/>
          <c:y val="-0.01975"/>
        </c:manualLayout>
      </c:layout>
      <c:spPr>
        <a:noFill/>
        <a:ln>
          <a:noFill/>
        </a:ln>
      </c:spPr>
    </c:title>
    <c:plotArea>
      <c:layout>
        <c:manualLayout>
          <c:xMode val="edge"/>
          <c:yMode val="edge"/>
          <c:x val="0"/>
          <c:y val="0.03075"/>
          <c:w val="0.6875"/>
          <c:h val="0.8865"/>
        </c:manualLayout>
      </c:layout>
      <c:scatterChart>
        <c:scatterStyle val="smoothMarker"/>
        <c:varyColors val="0"/>
        <c:ser>
          <c:idx val="0"/>
          <c:order val="0"/>
          <c:tx>
            <c:v>Normierte Kosten=0,02 €/kWh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Grafikaufbau!$C$29:$C$30</c:f>
              <c:numCache>
                <c:ptCount val="2"/>
                <c:pt idx="0">
                  <c:v>0</c:v>
                </c:pt>
                <c:pt idx="1">
                  <c:v>0.12</c:v>
                </c:pt>
              </c:numCache>
            </c:numRef>
          </c:xVal>
          <c:yVal>
            <c:numRef>
              <c:f>Grafikaufbau!$C$31:$C$32</c:f>
              <c:numCache>
                <c:ptCount val="2"/>
                <c:pt idx="0">
                  <c:v>-0.02</c:v>
                </c:pt>
                <c:pt idx="1">
                  <c:v>0.09999999999999999</c:v>
                </c:pt>
              </c:numCache>
            </c:numRef>
          </c:yVal>
          <c:smooth val="1"/>
        </c:ser>
        <c:ser>
          <c:idx val="1"/>
          <c:order val="1"/>
          <c:tx>
            <c:v>Normierte Kosten=0,04 €/kWh</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Grafikaufbau!$D$29:$D$30</c:f>
              <c:numCache>
                <c:ptCount val="2"/>
                <c:pt idx="0">
                  <c:v>0</c:v>
                </c:pt>
                <c:pt idx="1">
                  <c:v>0.12</c:v>
                </c:pt>
              </c:numCache>
            </c:numRef>
          </c:xVal>
          <c:yVal>
            <c:numRef>
              <c:f>Grafikaufbau!$D$31:$D$32</c:f>
              <c:numCache>
                <c:ptCount val="2"/>
                <c:pt idx="0">
                  <c:v>-0.04</c:v>
                </c:pt>
                <c:pt idx="1">
                  <c:v>0.07999999999999999</c:v>
                </c:pt>
              </c:numCache>
            </c:numRef>
          </c:yVal>
          <c:smooth val="1"/>
        </c:ser>
        <c:ser>
          <c:idx val="2"/>
          <c:order val="2"/>
          <c:tx>
            <c:v>Normierte Kosten=0,06 €/kWh</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Grafikaufbau!$E$29:$E$30</c:f>
              <c:numCache>
                <c:ptCount val="2"/>
                <c:pt idx="0">
                  <c:v>0</c:v>
                </c:pt>
                <c:pt idx="1">
                  <c:v>0.12</c:v>
                </c:pt>
              </c:numCache>
            </c:numRef>
          </c:xVal>
          <c:yVal>
            <c:numRef>
              <c:f>Grafikaufbau!$E$31:$E$32</c:f>
              <c:numCache>
                <c:ptCount val="2"/>
                <c:pt idx="0">
                  <c:v>-0.06</c:v>
                </c:pt>
                <c:pt idx="1">
                  <c:v>0.06</c:v>
                </c:pt>
              </c:numCache>
            </c:numRef>
          </c:yVal>
          <c:smooth val="1"/>
        </c:ser>
        <c:ser>
          <c:idx val="3"/>
          <c:order val="3"/>
          <c:tx>
            <c:v>Normierte Kosten=0,08 €/kWh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Grafikaufbau!$F$29:$F$30</c:f>
              <c:numCache>
                <c:ptCount val="2"/>
                <c:pt idx="0">
                  <c:v>0</c:v>
                </c:pt>
                <c:pt idx="1">
                  <c:v>0.12</c:v>
                </c:pt>
              </c:numCache>
            </c:numRef>
          </c:xVal>
          <c:yVal>
            <c:numRef>
              <c:f>Grafikaufbau!$F$31:$F$32</c:f>
              <c:numCache>
                <c:ptCount val="2"/>
                <c:pt idx="0">
                  <c:v>-0.08</c:v>
                </c:pt>
                <c:pt idx="1">
                  <c:v>0.039999999999999994</c:v>
                </c:pt>
              </c:numCache>
            </c:numRef>
          </c:yVal>
          <c:smooth val="1"/>
        </c:ser>
        <c:ser>
          <c:idx val="4"/>
          <c:order val="4"/>
          <c:tx>
            <c:v>Normierte Kosten=0,10 €/kWh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Grafikaufbau!$G$29:$G$30</c:f>
              <c:numCache>
                <c:ptCount val="2"/>
                <c:pt idx="0">
                  <c:v>0</c:v>
                </c:pt>
                <c:pt idx="1">
                  <c:v>0.12</c:v>
                </c:pt>
              </c:numCache>
            </c:numRef>
          </c:xVal>
          <c:yVal>
            <c:numRef>
              <c:f>Grafikaufbau!$G$31:$G$32</c:f>
              <c:numCache>
                <c:ptCount val="2"/>
                <c:pt idx="0">
                  <c:v>-0.1</c:v>
                </c:pt>
                <c:pt idx="1">
                  <c:v>0.01999999999999999</c:v>
                </c:pt>
              </c:numCache>
            </c:numRef>
          </c:yVal>
          <c:smooth val="1"/>
        </c:ser>
        <c:ser>
          <c:idx val="5"/>
          <c:order val="5"/>
          <c:tx>
            <c:v>Normierte Kosten=0,12 €/kWh</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Grafikaufbau!$H$29:$H$30</c:f>
              <c:numCache>
                <c:ptCount val="2"/>
                <c:pt idx="0">
                  <c:v>0</c:v>
                </c:pt>
                <c:pt idx="1">
                  <c:v>0.12</c:v>
                </c:pt>
              </c:numCache>
            </c:numRef>
          </c:xVal>
          <c:yVal>
            <c:numRef>
              <c:f>Grafikaufbau!$H$31:$H$32</c:f>
              <c:numCache>
                <c:ptCount val="2"/>
                <c:pt idx="0">
                  <c:v>-0.12</c:v>
                </c:pt>
                <c:pt idx="1">
                  <c:v>0</c:v>
                </c:pt>
              </c:numCache>
            </c:numRef>
          </c:yVal>
          <c:smooth val="1"/>
        </c:ser>
        <c:ser>
          <c:idx val="6"/>
          <c:order val="6"/>
          <c:tx>
            <c:v>Normierte Kosten=0,14 €/kWh</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Grafikaufbau!$I$29:$I$30</c:f>
              <c:numCache>
                <c:ptCount val="2"/>
                <c:pt idx="0">
                  <c:v>0</c:v>
                </c:pt>
                <c:pt idx="1">
                  <c:v>0.12</c:v>
                </c:pt>
              </c:numCache>
            </c:numRef>
          </c:xVal>
          <c:yVal>
            <c:numRef>
              <c:f>Grafikaufbau!$I$31:$I$32</c:f>
              <c:numCache>
                <c:ptCount val="2"/>
                <c:pt idx="0">
                  <c:v>-0.14</c:v>
                </c:pt>
                <c:pt idx="1">
                  <c:v>-0.020000000000000018</c:v>
                </c:pt>
              </c:numCache>
            </c:numRef>
          </c:yVal>
          <c:smooth val="1"/>
        </c:ser>
        <c:ser>
          <c:idx val="7"/>
          <c:order val="7"/>
          <c:tx>
            <c:v>Wendlinghausen '14=&gt;'16</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800" b="1" i="0" u="none" baseline="0"/>
                </a:pPr>
              </a:p>
            </c:txPr>
            <c:showLegendKey val="0"/>
            <c:showVal val="0"/>
            <c:showBubbleSize val="0"/>
            <c:showCatName val="0"/>
            <c:showSerName val="1"/>
            <c:showPercent val="0"/>
          </c:dLbls>
          <c:xVal>
            <c:numRef>
              <c:f>Grafikaufbau!$B$36:$C$36</c:f>
              <c:numCache>
                <c:ptCount val="2"/>
                <c:pt idx="0">
                  <c:v>0.06304469257639804</c:v>
                </c:pt>
                <c:pt idx="1">
                  <c:v>0.09562963859854161</c:v>
                </c:pt>
              </c:numCache>
            </c:numRef>
          </c:xVal>
          <c:yVal>
            <c:numRef>
              <c:f>Grafikaufbau!$B$37:$C$37</c:f>
              <c:numCache>
                <c:ptCount val="2"/>
                <c:pt idx="0">
                  <c:v>-0.03871033811039286</c:v>
                </c:pt>
                <c:pt idx="1">
                  <c:v>0.05859797259660876</c:v>
                </c:pt>
              </c:numCache>
            </c:numRef>
          </c:yVal>
          <c:smooth val="1"/>
        </c:ser>
        <c:axId val="42351574"/>
        <c:axId val="45619847"/>
      </c:scatterChart>
      <c:valAx>
        <c:axId val="42351574"/>
        <c:scaling>
          <c:orientation val="minMax"/>
        </c:scaling>
        <c:axPos val="b"/>
        <c:title>
          <c:tx>
            <c:rich>
              <a:bodyPr vert="horz" rot="0" anchor="ctr"/>
              <a:lstStyle/>
              <a:p>
                <a:pPr algn="ctr">
                  <a:defRPr/>
                </a:pPr>
                <a:r>
                  <a:rPr lang="en-US" cap="none" sz="925" b="1" i="0" u="none" baseline="0">
                    <a:latin typeface="Arial"/>
                    <a:ea typeface="Arial"/>
                    <a:cs typeface="Arial"/>
                  </a:rPr>
                  <a:t>mit Benutzungsgraden gewichteter Energiepreis im Verkauf [€/kWh]</a:t>
                </a:r>
              </a:p>
            </c:rich>
          </c:tx>
          <c:layout>
            <c:manualLayout>
              <c:xMode val="factor"/>
              <c:yMode val="factor"/>
              <c:x val="0.00425"/>
              <c:y val="0.042"/>
            </c:manualLayout>
          </c:layout>
          <c:overlay val="0"/>
          <c:spPr>
            <a:noFill/>
            <a:ln>
              <a:noFill/>
            </a:ln>
          </c:spPr>
        </c:title>
        <c:majorGridlines/>
        <c:delete val="0"/>
        <c:numFmt formatCode="General" sourceLinked="1"/>
        <c:majorTickMark val="out"/>
        <c:minorTickMark val="none"/>
        <c:tickLblPos val="nextTo"/>
        <c:crossAx val="45619847"/>
        <c:crosses val="autoZero"/>
        <c:crossBetween val="midCat"/>
        <c:dispUnits/>
      </c:valAx>
      <c:valAx>
        <c:axId val="45619847"/>
        <c:scaling>
          <c:orientation val="minMax"/>
        </c:scaling>
        <c:axPos val="l"/>
        <c:title>
          <c:tx>
            <c:rich>
              <a:bodyPr vert="horz" rot="-5400000" anchor="ctr"/>
              <a:lstStyle/>
              <a:p>
                <a:pPr algn="ctr">
                  <a:defRPr/>
                </a:pPr>
                <a:r>
                  <a:rPr lang="en-US" cap="none" sz="800" b="1" i="0" u="none" baseline="0">
                    <a:latin typeface="Arial"/>
                    <a:ea typeface="Arial"/>
                    <a:cs typeface="Arial"/>
                  </a:rPr>
                  <a:t>oberer Grenzpreis für Substrate [€/kWh]</a:t>
                </a:r>
              </a:p>
            </c:rich>
          </c:tx>
          <c:layout>
            <c:manualLayout>
              <c:xMode val="factor"/>
              <c:yMode val="factor"/>
              <c:x val="0.04325"/>
              <c:y val="0.02875"/>
            </c:manualLayout>
          </c:layout>
          <c:overlay val="0"/>
          <c:spPr>
            <a:noFill/>
            <a:ln>
              <a:noFill/>
            </a:ln>
          </c:spPr>
        </c:title>
        <c:majorGridlines/>
        <c:delete val="0"/>
        <c:numFmt formatCode="0.00" sourceLinked="0"/>
        <c:majorTickMark val="out"/>
        <c:minorTickMark val="none"/>
        <c:tickLblPos val="nextTo"/>
        <c:crossAx val="42351574"/>
        <c:crosses val="autoZero"/>
        <c:crossBetween val="midCat"/>
        <c:dispUnits/>
      </c:valAx>
      <c:spPr>
        <a:solidFill>
          <a:srgbClr val="C0C0C0"/>
        </a:solidFill>
        <a:ln w="12700">
          <a:solidFill>
            <a:srgbClr val="808080"/>
          </a:solidFill>
        </a:ln>
      </c:spPr>
    </c:plotArea>
    <c:legend>
      <c:legendPos val="r"/>
      <c:layout>
        <c:manualLayout>
          <c:xMode val="edge"/>
          <c:yMode val="edge"/>
          <c:x val="0.677"/>
          <c:y val="0.060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WH: Auf eingebrachte Energiemenge normierter Gewinn in €/kWh</a:t>
            </a:r>
          </a:p>
        </c:rich>
      </c:tx>
      <c:layout>
        <c:manualLayout>
          <c:xMode val="factor"/>
          <c:yMode val="factor"/>
          <c:x val="-0.00325"/>
          <c:y val="-0.02125"/>
        </c:manualLayout>
      </c:layout>
      <c:spPr>
        <a:noFill/>
        <a:ln>
          <a:noFill/>
        </a:ln>
      </c:spPr>
    </c:title>
    <c:plotArea>
      <c:layout>
        <c:manualLayout>
          <c:xMode val="edge"/>
          <c:yMode val="edge"/>
          <c:x val="0"/>
          <c:y val="0.0345"/>
          <c:w val="0.68725"/>
          <c:h val="0.906"/>
        </c:manualLayout>
      </c:layout>
      <c:scatterChart>
        <c:scatterStyle val="smoothMarker"/>
        <c:varyColors val="0"/>
        <c:ser>
          <c:idx val="0"/>
          <c:order val="0"/>
          <c:tx>
            <c:v>Normierte Kosten=0,02 €/kWh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Grafikaufbau!$C$50:$C$51</c:f>
              <c:numCache>
                <c:ptCount val="2"/>
                <c:pt idx="0">
                  <c:v>-0.04</c:v>
                </c:pt>
                <c:pt idx="1">
                  <c:v>0.08</c:v>
                </c:pt>
              </c:numCache>
            </c:numRef>
          </c:xVal>
          <c:yVal>
            <c:numRef>
              <c:f>Grafikaufbau!$C$52:$C$53</c:f>
              <c:numCache>
                <c:ptCount val="2"/>
                <c:pt idx="0">
                  <c:v>-0.06</c:v>
                </c:pt>
                <c:pt idx="1">
                  <c:v>0.06</c:v>
                </c:pt>
              </c:numCache>
            </c:numRef>
          </c:yVal>
          <c:smooth val="1"/>
        </c:ser>
        <c:ser>
          <c:idx val="1"/>
          <c:order val="1"/>
          <c:tx>
            <c:v>Normierte Kosten=0,04 €/kWh</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Grafikaufbau!$D$50:$D$51</c:f>
              <c:numCache>
                <c:ptCount val="2"/>
                <c:pt idx="0">
                  <c:v>-0.04</c:v>
                </c:pt>
                <c:pt idx="1">
                  <c:v>0.08</c:v>
                </c:pt>
              </c:numCache>
            </c:numRef>
          </c:xVal>
          <c:yVal>
            <c:numRef>
              <c:f>Grafikaufbau!$D$52:$D$53</c:f>
              <c:numCache>
                <c:ptCount val="2"/>
                <c:pt idx="0">
                  <c:v>-0.08</c:v>
                </c:pt>
                <c:pt idx="1">
                  <c:v>0.04</c:v>
                </c:pt>
              </c:numCache>
            </c:numRef>
          </c:yVal>
          <c:smooth val="1"/>
        </c:ser>
        <c:ser>
          <c:idx val="2"/>
          <c:order val="2"/>
          <c:tx>
            <c:v>Normierte Kosten=0,06 €/kWh</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Grafikaufbau!$E$50:$E$51</c:f>
              <c:numCache>
                <c:ptCount val="2"/>
                <c:pt idx="0">
                  <c:v>-0.04</c:v>
                </c:pt>
                <c:pt idx="1">
                  <c:v>0.08</c:v>
                </c:pt>
              </c:numCache>
            </c:numRef>
          </c:xVal>
          <c:yVal>
            <c:numRef>
              <c:f>Grafikaufbau!$E$52:$E$53</c:f>
              <c:numCache>
                <c:ptCount val="2"/>
                <c:pt idx="0">
                  <c:v>-0.1</c:v>
                </c:pt>
                <c:pt idx="1">
                  <c:v>0.020000000000000004</c:v>
                </c:pt>
              </c:numCache>
            </c:numRef>
          </c:yVal>
          <c:smooth val="1"/>
        </c:ser>
        <c:ser>
          <c:idx val="3"/>
          <c:order val="3"/>
          <c:tx>
            <c:v>Normierte Kosten=0,08 €/kWh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Grafikaufbau!$F$50:$F$51</c:f>
              <c:numCache>
                <c:ptCount val="2"/>
                <c:pt idx="0">
                  <c:v>-0.04</c:v>
                </c:pt>
                <c:pt idx="1">
                  <c:v>0.08</c:v>
                </c:pt>
              </c:numCache>
            </c:numRef>
          </c:xVal>
          <c:yVal>
            <c:numRef>
              <c:f>Grafikaufbau!$F$52:$F$53</c:f>
              <c:numCache>
                <c:ptCount val="2"/>
                <c:pt idx="0">
                  <c:v>-0.12</c:v>
                </c:pt>
                <c:pt idx="1">
                  <c:v>0</c:v>
                </c:pt>
              </c:numCache>
            </c:numRef>
          </c:yVal>
          <c:smooth val="1"/>
        </c:ser>
        <c:ser>
          <c:idx val="4"/>
          <c:order val="4"/>
          <c:tx>
            <c:v>Normierte Kosten=0,10 €/kWh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Grafikaufbau!$G$50:$G$51</c:f>
              <c:numCache>
                <c:ptCount val="2"/>
                <c:pt idx="0">
                  <c:v>-0.04</c:v>
                </c:pt>
                <c:pt idx="1">
                  <c:v>0.08</c:v>
                </c:pt>
              </c:numCache>
            </c:numRef>
          </c:xVal>
          <c:yVal>
            <c:numRef>
              <c:f>Grafikaufbau!$G$52:$G$53</c:f>
              <c:numCache>
                <c:ptCount val="2"/>
                <c:pt idx="0">
                  <c:v>-0.14</c:v>
                </c:pt>
                <c:pt idx="1">
                  <c:v>-0.020000000000000004</c:v>
                </c:pt>
              </c:numCache>
            </c:numRef>
          </c:yVal>
          <c:smooth val="1"/>
        </c:ser>
        <c:ser>
          <c:idx val="5"/>
          <c:order val="5"/>
          <c:tx>
            <c:v>Normierte Kosten=0,12 €/kWh</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Grafikaufbau!$H$50:$H$51</c:f>
              <c:numCache>
                <c:ptCount val="2"/>
                <c:pt idx="0">
                  <c:v>-0.04</c:v>
                </c:pt>
                <c:pt idx="1">
                  <c:v>0.08</c:v>
                </c:pt>
              </c:numCache>
            </c:numRef>
          </c:xVal>
          <c:yVal>
            <c:numRef>
              <c:f>Grafikaufbau!$H$52:$H$53</c:f>
              <c:numCache>
                <c:ptCount val="2"/>
                <c:pt idx="0">
                  <c:v>-0.16</c:v>
                </c:pt>
                <c:pt idx="1">
                  <c:v>-0.039999999999999994</c:v>
                </c:pt>
              </c:numCache>
            </c:numRef>
          </c:yVal>
          <c:smooth val="1"/>
        </c:ser>
        <c:ser>
          <c:idx val="6"/>
          <c:order val="6"/>
          <c:tx>
            <c:v>Normierte Kosten=0,14 €/kWh</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Grafikaufbau!$I$50:$I$51</c:f>
              <c:numCache>
                <c:ptCount val="2"/>
                <c:pt idx="0">
                  <c:v>-0.04</c:v>
                </c:pt>
                <c:pt idx="1">
                  <c:v>0.08</c:v>
                </c:pt>
              </c:numCache>
            </c:numRef>
          </c:xVal>
          <c:yVal>
            <c:numRef>
              <c:f>Grafikaufbau!$I$52:$I$53</c:f>
              <c:numCache>
                <c:ptCount val="2"/>
                <c:pt idx="0">
                  <c:v>-0.18000000000000002</c:v>
                </c:pt>
                <c:pt idx="1">
                  <c:v>-0.06000000000000001</c:v>
                </c:pt>
              </c:numCache>
            </c:numRef>
          </c:yVal>
          <c:smooth val="1"/>
        </c:ser>
        <c:ser>
          <c:idx val="7"/>
          <c:order val="7"/>
          <c:tx>
            <c:v>Wendlinghausen '14=&gt;'16</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1" i="0" u="none" baseline="0"/>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875" b="1" i="0" u="none" baseline="0"/>
                </a:pPr>
              </a:p>
            </c:txPr>
            <c:showLegendKey val="0"/>
            <c:showVal val="0"/>
            <c:showBubbleSize val="0"/>
            <c:showCatName val="0"/>
            <c:showSerName val="1"/>
            <c:showPercent val="0"/>
          </c:dLbls>
          <c:xVal>
            <c:numRef>
              <c:f>Grafikaufbau!$B$58:$C$58</c:f>
              <c:numCache>
                <c:ptCount val="2"/>
                <c:pt idx="0">
                  <c:v>0.02544469257639804</c:v>
                </c:pt>
                <c:pt idx="1">
                  <c:v>0.047376197500806766</c:v>
                </c:pt>
              </c:numCache>
            </c:numRef>
          </c:xVal>
          <c:yVal>
            <c:numRef>
              <c:f>Grafikaufbau!$B$59:$C$59</c:f>
              <c:numCache>
                <c:ptCount val="2"/>
                <c:pt idx="0">
                  <c:v>-0.07631033811039287</c:v>
                </c:pt>
                <c:pt idx="1">
                  <c:v>0.010344531498873918</c:v>
                </c:pt>
              </c:numCache>
            </c:numRef>
          </c:yVal>
          <c:smooth val="1"/>
        </c:ser>
        <c:axId val="7925440"/>
        <c:axId val="4220097"/>
      </c:scatterChart>
      <c:valAx>
        <c:axId val="7925440"/>
        <c:scaling>
          <c:orientation val="minMax"/>
        </c:scaling>
        <c:axPos val="b"/>
        <c:title>
          <c:tx>
            <c:rich>
              <a:bodyPr vert="horz" rot="0" anchor="ctr"/>
              <a:lstStyle/>
              <a:p>
                <a:pPr algn="ctr">
                  <a:defRPr/>
                </a:pPr>
                <a:r>
                  <a:rPr lang="en-US" cap="none" sz="875" b="1" i="0" u="none" baseline="0">
                    <a:latin typeface="Arial"/>
                    <a:ea typeface="Arial"/>
                    <a:cs typeface="Arial"/>
                  </a:rPr>
                  <a:t>mit Benutzungsgraden gewichteter Energiepreis im Verkauf - Substratpreis [€/kWh]</a:t>
                </a:r>
              </a:p>
            </c:rich>
          </c:tx>
          <c:layout>
            <c:manualLayout>
              <c:xMode val="factor"/>
              <c:yMode val="factor"/>
              <c:x val="0.00875"/>
              <c:y val="0.02875"/>
            </c:manualLayout>
          </c:layout>
          <c:overlay val="0"/>
          <c:spPr>
            <a:noFill/>
            <a:ln>
              <a:noFill/>
            </a:ln>
          </c:spPr>
        </c:title>
        <c:majorGridlines/>
        <c:delete val="0"/>
        <c:numFmt formatCode="General" sourceLinked="1"/>
        <c:majorTickMark val="out"/>
        <c:minorTickMark val="none"/>
        <c:tickLblPos val="nextTo"/>
        <c:crossAx val="4220097"/>
        <c:crosses val="autoZero"/>
        <c:crossBetween val="midCat"/>
        <c:dispUnits/>
      </c:valAx>
      <c:valAx>
        <c:axId val="4220097"/>
        <c:scaling>
          <c:orientation val="minMax"/>
        </c:scaling>
        <c:axPos val="l"/>
        <c:title>
          <c:tx>
            <c:rich>
              <a:bodyPr vert="horz" rot="-5400000" anchor="ctr"/>
              <a:lstStyle/>
              <a:p>
                <a:pPr algn="ctr">
                  <a:defRPr/>
                </a:pPr>
                <a:r>
                  <a:rPr lang="en-US" cap="none" sz="800" b="1" i="0" u="none" baseline="0">
                    <a:latin typeface="Arial"/>
                    <a:ea typeface="Arial"/>
                    <a:cs typeface="Arial"/>
                  </a:rPr>
                  <a:t>Auf eingebrachte Energiemenge normierter Gewinn [€/kWh]</a:t>
                </a:r>
              </a:p>
            </c:rich>
          </c:tx>
          <c:layout>
            <c:manualLayout>
              <c:xMode val="factor"/>
              <c:yMode val="factor"/>
              <c:x val="0.04"/>
              <c:y val="0.0345"/>
            </c:manualLayout>
          </c:layout>
          <c:overlay val="0"/>
          <c:spPr>
            <a:noFill/>
            <a:ln>
              <a:noFill/>
            </a:ln>
          </c:spPr>
        </c:title>
        <c:majorGridlines/>
        <c:delete val="0"/>
        <c:numFmt formatCode="0.00" sourceLinked="0"/>
        <c:majorTickMark val="out"/>
        <c:minorTickMark val="none"/>
        <c:tickLblPos val="nextTo"/>
        <c:crossAx val="7925440"/>
        <c:crosses val="autoZero"/>
        <c:crossBetween val="midCat"/>
        <c:dispUnits/>
      </c:valAx>
      <c:spPr>
        <a:solidFill>
          <a:srgbClr val="C0C0C0"/>
        </a:solidFill>
        <a:ln w="12700">
          <a:solidFill>
            <a:srgbClr val="808080"/>
          </a:solidFill>
        </a:ln>
      </c:spPr>
    </c:plotArea>
    <c:legend>
      <c:legendPos val="r"/>
      <c:layout>
        <c:manualLayout>
          <c:xMode val="edge"/>
          <c:yMode val="edge"/>
          <c:x val="0.68075"/>
          <c:y val="0.05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WH:Oberer Grenzpreis für Substrate in €/kWh</a:t>
            </a:r>
          </a:p>
        </c:rich>
      </c:tx>
      <c:layout>
        <c:manualLayout>
          <c:xMode val="factor"/>
          <c:yMode val="factor"/>
          <c:x val="-0.00825"/>
          <c:y val="-0.01975"/>
        </c:manualLayout>
      </c:layout>
      <c:spPr>
        <a:noFill/>
        <a:ln>
          <a:noFill/>
        </a:ln>
      </c:spPr>
    </c:title>
    <c:plotArea>
      <c:layout>
        <c:manualLayout>
          <c:xMode val="edge"/>
          <c:yMode val="edge"/>
          <c:x val="0"/>
          <c:y val="0.028"/>
          <c:w val="0.6875"/>
          <c:h val="0.89625"/>
        </c:manualLayout>
      </c:layout>
      <c:scatterChart>
        <c:scatterStyle val="smoothMarker"/>
        <c:varyColors val="0"/>
        <c:ser>
          <c:idx val="0"/>
          <c:order val="0"/>
          <c:tx>
            <c:v>Normierte Kosten=0,02 €/kWh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Grafikaufbau!$C$29:$C$30</c:f>
              <c:numCache>
                <c:ptCount val="2"/>
                <c:pt idx="0">
                  <c:v>0</c:v>
                </c:pt>
                <c:pt idx="1">
                  <c:v>0</c:v>
                </c:pt>
              </c:numCache>
            </c:numRef>
          </c:xVal>
          <c:yVal>
            <c:numRef>
              <c:f>Grafikaufbau!$C$31:$C$32</c:f>
              <c:numCache>
                <c:ptCount val="2"/>
                <c:pt idx="0">
                  <c:v>0</c:v>
                </c:pt>
                <c:pt idx="1">
                  <c:v>0</c:v>
                </c:pt>
              </c:numCache>
            </c:numRef>
          </c:yVal>
          <c:smooth val="1"/>
        </c:ser>
        <c:ser>
          <c:idx val="1"/>
          <c:order val="1"/>
          <c:tx>
            <c:v>Normierte Kosten=0,04 €/kWh</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Grafikaufbau!$D$29:$D$30</c:f>
              <c:numCache>
                <c:ptCount val="2"/>
                <c:pt idx="0">
                  <c:v>0</c:v>
                </c:pt>
                <c:pt idx="1">
                  <c:v>0</c:v>
                </c:pt>
              </c:numCache>
            </c:numRef>
          </c:xVal>
          <c:yVal>
            <c:numRef>
              <c:f>Grafikaufbau!$D$31:$D$32</c:f>
              <c:numCache>
                <c:ptCount val="2"/>
                <c:pt idx="0">
                  <c:v>0</c:v>
                </c:pt>
                <c:pt idx="1">
                  <c:v>0</c:v>
                </c:pt>
              </c:numCache>
            </c:numRef>
          </c:yVal>
          <c:smooth val="1"/>
        </c:ser>
        <c:ser>
          <c:idx val="2"/>
          <c:order val="2"/>
          <c:tx>
            <c:v>Normierte Kosten=0,06 €/kWh</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Grafikaufbau!$E$29:$E$30</c:f>
              <c:numCache>
                <c:ptCount val="2"/>
                <c:pt idx="0">
                  <c:v>0</c:v>
                </c:pt>
                <c:pt idx="1">
                  <c:v>0</c:v>
                </c:pt>
              </c:numCache>
            </c:numRef>
          </c:xVal>
          <c:yVal>
            <c:numRef>
              <c:f>Grafikaufbau!$E$31:$E$32</c:f>
              <c:numCache>
                <c:ptCount val="2"/>
                <c:pt idx="0">
                  <c:v>0</c:v>
                </c:pt>
                <c:pt idx="1">
                  <c:v>0</c:v>
                </c:pt>
              </c:numCache>
            </c:numRef>
          </c:yVal>
          <c:smooth val="1"/>
        </c:ser>
        <c:ser>
          <c:idx val="3"/>
          <c:order val="3"/>
          <c:tx>
            <c:v>Normierte Kosten=0,08 €/kWh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Grafikaufbau!$F$29:$F$30</c:f>
              <c:numCache>
                <c:ptCount val="2"/>
                <c:pt idx="0">
                  <c:v>0</c:v>
                </c:pt>
                <c:pt idx="1">
                  <c:v>0</c:v>
                </c:pt>
              </c:numCache>
            </c:numRef>
          </c:xVal>
          <c:yVal>
            <c:numRef>
              <c:f>Grafikaufbau!$F$31:$F$32</c:f>
              <c:numCache>
                <c:ptCount val="2"/>
                <c:pt idx="0">
                  <c:v>0</c:v>
                </c:pt>
                <c:pt idx="1">
                  <c:v>0</c:v>
                </c:pt>
              </c:numCache>
            </c:numRef>
          </c:yVal>
          <c:smooth val="1"/>
        </c:ser>
        <c:ser>
          <c:idx val="4"/>
          <c:order val="4"/>
          <c:tx>
            <c:v>Normierte Kosten=0,10 €/kWh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Grafikaufbau!$G$29:$G$30</c:f>
              <c:numCache>
                <c:ptCount val="2"/>
                <c:pt idx="0">
                  <c:v>0</c:v>
                </c:pt>
                <c:pt idx="1">
                  <c:v>0</c:v>
                </c:pt>
              </c:numCache>
            </c:numRef>
          </c:xVal>
          <c:yVal>
            <c:numRef>
              <c:f>Grafikaufbau!$G$31:$G$32</c:f>
              <c:numCache>
                <c:ptCount val="2"/>
                <c:pt idx="0">
                  <c:v>0</c:v>
                </c:pt>
                <c:pt idx="1">
                  <c:v>0</c:v>
                </c:pt>
              </c:numCache>
            </c:numRef>
          </c:yVal>
          <c:smooth val="1"/>
        </c:ser>
        <c:ser>
          <c:idx val="5"/>
          <c:order val="5"/>
          <c:tx>
            <c:v>Normierte Kosten=0,12 €/kWh</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Grafikaufbau!$H$29:$H$30</c:f>
              <c:numCache>
                <c:ptCount val="2"/>
                <c:pt idx="0">
                  <c:v>0</c:v>
                </c:pt>
                <c:pt idx="1">
                  <c:v>0</c:v>
                </c:pt>
              </c:numCache>
            </c:numRef>
          </c:xVal>
          <c:yVal>
            <c:numRef>
              <c:f>Grafikaufbau!$H$31:$H$32</c:f>
              <c:numCache>
                <c:ptCount val="2"/>
                <c:pt idx="0">
                  <c:v>0</c:v>
                </c:pt>
                <c:pt idx="1">
                  <c:v>0</c:v>
                </c:pt>
              </c:numCache>
            </c:numRef>
          </c:yVal>
          <c:smooth val="1"/>
        </c:ser>
        <c:ser>
          <c:idx val="6"/>
          <c:order val="6"/>
          <c:tx>
            <c:v>Normierte Kosten=0,14 €/kWh</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Grafikaufbau!$I$29:$I$30</c:f>
              <c:numCache>
                <c:ptCount val="2"/>
                <c:pt idx="0">
                  <c:v>0</c:v>
                </c:pt>
                <c:pt idx="1">
                  <c:v>0</c:v>
                </c:pt>
              </c:numCache>
            </c:numRef>
          </c:xVal>
          <c:yVal>
            <c:numRef>
              <c:f>Grafikaufbau!$I$31:$I$32</c:f>
              <c:numCache>
                <c:ptCount val="2"/>
                <c:pt idx="0">
                  <c:v>0</c:v>
                </c:pt>
                <c:pt idx="1">
                  <c:v>0</c:v>
                </c:pt>
              </c:numCache>
            </c:numRef>
          </c:yVal>
          <c:smooth val="1"/>
        </c:ser>
        <c:ser>
          <c:idx val="7"/>
          <c:order val="7"/>
          <c:tx>
            <c:v>Wendlinghausen '14=&gt;'16</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800" b="1" i="0" u="none" baseline="0"/>
                </a:pPr>
              </a:p>
            </c:txPr>
            <c:showLegendKey val="0"/>
            <c:showVal val="0"/>
            <c:showBubbleSize val="0"/>
            <c:showCatName val="0"/>
            <c:showSerName val="1"/>
            <c:showPercent val="0"/>
          </c:dLbls>
          <c:xVal>
            <c:numRef>
              <c:f>Grafikaufbau!$B$36:$C$36</c:f>
              <c:numCache>
                <c:ptCount val="2"/>
                <c:pt idx="0">
                  <c:v>0</c:v>
                </c:pt>
                <c:pt idx="1">
                  <c:v>0</c:v>
                </c:pt>
              </c:numCache>
            </c:numRef>
          </c:xVal>
          <c:yVal>
            <c:numRef>
              <c:f>Grafikaufbau!$B$37:$C$37</c:f>
              <c:numCache>
                <c:ptCount val="2"/>
                <c:pt idx="0">
                  <c:v>0</c:v>
                </c:pt>
                <c:pt idx="1">
                  <c:v>0</c:v>
                </c:pt>
              </c:numCache>
            </c:numRef>
          </c:yVal>
          <c:smooth val="1"/>
        </c:ser>
        <c:axId val="37980874"/>
        <c:axId val="6283547"/>
      </c:scatterChart>
      <c:valAx>
        <c:axId val="37980874"/>
        <c:scaling>
          <c:orientation val="minMax"/>
        </c:scaling>
        <c:axPos val="b"/>
        <c:title>
          <c:tx>
            <c:rich>
              <a:bodyPr vert="horz" rot="0" anchor="ctr"/>
              <a:lstStyle/>
              <a:p>
                <a:pPr algn="ctr">
                  <a:defRPr/>
                </a:pPr>
                <a:r>
                  <a:rPr lang="en-US" cap="none" sz="1000" b="1" i="0" u="none" baseline="0">
                    <a:latin typeface="Arial"/>
                    <a:ea typeface="Arial"/>
                    <a:cs typeface="Arial"/>
                  </a:rPr>
                  <a:t>mit Benutzungsgraden gewichteter Energiepreis im Verkauf [€/kWh]</a:t>
                </a:r>
              </a:p>
            </c:rich>
          </c:tx>
          <c:layout>
            <c:manualLayout>
              <c:xMode val="factor"/>
              <c:yMode val="factor"/>
              <c:x val="0.00425"/>
              <c:y val="0.042"/>
            </c:manualLayout>
          </c:layout>
          <c:overlay val="0"/>
          <c:spPr>
            <a:noFill/>
            <a:ln>
              <a:noFill/>
            </a:ln>
          </c:spPr>
        </c:title>
        <c:majorGridlines/>
        <c:delete val="0"/>
        <c:numFmt formatCode="General" sourceLinked="1"/>
        <c:majorTickMark val="out"/>
        <c:minorTickMark val="none"/>
        <c:tickLblPos val="nextTo"/>
        <c:crossAx val="6283547"/>
        <c:crosses val="autoZero"/>
        <c:crossBetween val="midCat"/>
        <c:dispUnits/>
      </c:valAx>
      <c:valAx>
        <c:axId val="6283547"/>
        <c:scaling>
          <c:orientation val="minMax"/>
        </c:scaling>
        <c:axPos val="l"/>
        <c:title>
          <c:tx>
            <c:rich>
              <a:bodyPr vert="horz" rot="-5400000" anchor="ctr"/>
              <a:lstStyle/>
              <a:p>
                <a:pPr algn="ctr">
                  <a:defRPr/>
                </a:pPr>
                <a:r>
                  <a:rPr lang="en-US" cap="none" sz="850" b="1" i="0" u="none" baseline="0">
                    <a:latin typeface="Arial"/>
                    <a:ea typeface="Arial"/>
                    <a:cs typeface="Arial"/>
                  </a:rPr>
                  <a:t>oberer Grenzpreis für Substrate [€/kWh]</a:t>
                </a:r>
              </a:p>
            </c:rich>
          </c:tx>
          <c:layout>
            <c:manualLayout>
              <c:xMode val="factor"/>
              <c:yMode val="factor"/>
              <c:x val="0.04325"/>
              <c:y val="0.02875"/>
            </c:manualLayout>
          </c:layout>
          <c:overlay val="0"/>
          <c:spPr>
            <a:noFill/>
            <a:ln>
              <a:noFill/>
            </a:ln>
          </c:spPr>
        </c:title>
        <c:majorGridlines/>
        <c:delete val="0"/>
        <c:numFmt formatCode="0.00" sourceLinked="0"/>
        <c:majorTickMark val="out"/>
        <c:minorTickMark val="none"/>
        <c:tickLblPos val="nextTo"/>
        <c:crossAx val="37980874"/>
        <c:crosses val="autoZero"/>
        <c:crossBetween val="midCat"/>
        <c:dispUnits/>
      </c:valAx>
      <c:spPr>
        <a:solidFill>
          <a:srgbClr val="C0C0C0"/>
        </a:solidFill>
        <a:ln w="12700">
          <a:solidFill>
            <a:srgbClr val="808080"/>
          </a:solidFill>
        </a:ln>
      </c:spPr>
    </c:plotArea>
    <c:legend>
      <c:legendPos val="r"/>
      <c:layout>
        <c:manualLayout>
          <c:xMode val="edge"/>
          <c:yMode val="edge"/>
          <c:x val="0.664"/>
          <c:y val="0.047"/>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WH: Auf eingebrachte Energiemenge normierter Gewinn in €/kWh</a:t>
            </a:r>
          </a:p>
        </c:rich>
      </c:tx>
      <c:layout>
        <c:manualLayout>
          <c:xMode val="factor"/>
          <c:yMode val="factor"/>
          <c:x val="-0.00325"/>
          <c:y val="-0.02125"/>
        </c:manualLayout>
      </c:layout>
      <c:spPr>
        <a:noFill/>
        <a:ln>
          <a:noFill/>
        </a:ln>
      </c:spPr>
    </c:title>
    <c:plotArea>
      <c:layout>
        <c:manualLayout>
          <c:xMode val="edge"/>
          <c:yMode val="edge"/>
          <c:x val="0"/>
          <c:y val="0.02525"/>
          <c:w val="0.68725"/>
          <c:h val="0.89275"/>
        </c:manualLayout>
      </c:layout>
      <c:scatterChart>
        <c:scatterStyle val="smoothMarker"/>
        <c:varyColors val="0"/>
        <c:ser>
          <c:idx val="0"/>
          <c:order val="0"/>
          <c:tx>
            <c:v>Normierte Kosten=0,02 €/kWh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Grafikaufbau!$C$50:$C$51</c:f>
              <c:numCache>
                <c:ptCount val="2"/>
                <c:pt idx="0">
                  <c:v>0</c:v>
                </c:pt>
                <c:pt idx="1">
                  <c:v>0</c:v>
                </c:pt>
              </c:numCache>
            </c:numRef>
          </c:xVal>
          <c:yVal>
            <c:numRef>
              <c:f>Grafikaufbau!$C$52:$C$53</c:f>
              <c:numCache>
                <c:ptCount val="2"/>
                <c:pt idx="0">
                  <c:v>0</c:v>
                </c:pt>
                <c:pt idx="1">
                  <c:v>0</c:v>
                </c:pt>
              </c:numCache>
            </c:numRef>
          </c:yVal>
          <c:smooth val="1"/>
        </c:ser>
        <c:ser>
          <c:idx val="1"/>
          <c:order val="1"/>
          <c:tx>
            <c:v>Normierte Kosten=0,04 €/kWh</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Grafikaufbau!$D$50:$D$51</c:f>
              <c:numCache>
                <c:ptCount val="2"/>
                <c:pt idx="0">
                  <c:v>0</c:v>
                </c:pt>
                <c:pt idx="1">
                  <c:v>0</c:v>
                </c:pt>
              </c:numCache>
            </c:numRef>
          </c:xVal>
          <c:yVal>
            <c:numRef>
              <c:f>Grafikaufbau!$D$52:$D$53</c:f>
              <c:numCache>
                <c:ptCount val="2"/>
                <c:pt idx="0">
                  <c:v>0</c:v>
                </c:pt>
                <c:pt idx="1">
                  <c:v>0</c:v>
                </c:pt>
              </c:numCache>
            </c:numRef>
          </c:yVal>
          <c:smooth val="1"/>
        </c:ser>
        <c:ser>
          <c:idx val="2"/>
          <c:order val="2"/>
          <c:tx>
            <c:v>Normierte Kosten=0,06 €/kWh</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Grafikaufbau!$E$50:$E$51</c:f>
              <c:numCache>
                <c:ptCount val="2"/>
                <c:pt idx="0">
                  <c:v>0</c:v>
                </c:pt>
                <c:pt idx="1">
                  <c:v>0</c:v>
                </c:pt>
              </c:numCache>
            </c:numRef>
          </c:xVal>
          <c:yVal>
            <c:numRef>
              <c:f>Grafikaufbau!$E$52:$E$53</c:f>
              <c:numCache>
                <c:ptCount val="2"/>
                <c:pt idx="0">
                  <c:v>0</c:v>
                </c:pt>
                <c:pt idx="1">
                  <c:v>0</c:v>
                </c:pt>
              </c:numCache>
            </c:numRef>
          </c:yVal>
          <c:smooth val="1"/>
        </c:ser>
        <c:ser>
          <c:idx val="3"/>
          <c:order val="3"/>
          <c:tx>
            <c:v>Normierte Kosten=0,08 €/kWh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Grafikaufbau!$F$50:$F$51</c:f>
              <c:numCache>
                <c:ptCount val="2"/>
                <c:pt idx="0">
                  <c:v>0</c:v>
                </c:pt>
                <c:pt idx="1">
                  <c:v>0</c:v>
                </c:pt>
              </c:numCache>
            </c:numRef>
          </c:xVal>
          <c:yVal>
            <c:numRef>
              <c:f>Grafikaufbau!$F$52:$F$53</c:f>
              <c:numCache>
                <c:ptCount val="2"/>
                <c:pt idx="0">
                  <c:v>0</c:v>
                </c:pt>
                <c:pt idx="1">
                  <c:v>0</c:v>
                </c:pt>
              </c:numCache>
            </c:numRef>
          </c:yVal>
          <c:smooth val="1"/>
        </c:ser>
        <c:ser>
          <c:idx val="4"/>
          <c:order val="4"/>
          <c:tx>
            <c:v>Normierte Kosten=0,10 €/kWh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Grafikaufbau!$G$50:$G$51</c:f>
              <c:numCache>
                <c:ptCount val="2"/>
                <c:pt idx="0">
                  <c:v>0</c:v>
                </c:pt>
                <c:pt idx="1">
                  <c:v>0</c:v>
                </c:pt>
              </c:numCache>
            </c:numRef>
          </c:xVal>
          <c:yVal>
            <c:numRef>
              <c:f>Grafikaufbau!$G$52:$G$53</c:f>
              <c:numCache>
                <c:ptCount val="2"/>
                <c:pt idx="0">
                  <c:v>0</c:v>
                </c:pt>
                <c:pt idx="1">
                  <c:v>0</c:v>
                </c:pt>
              </c:numCache>
            </c:numRef>
          </c:yVal>
          <c:smooth val="1"/>
        </c:ser>
        <c:ser>
          <c:idx val="5"/>
          <c:order val="5"/>
          <c:tx>
            <c:v>Normierte Kosten=0,12 €/kWh</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Grafikaufbau!$H$50:$H$51</c:f>
              <c:numCache>
                <c:ptCount val="2"/>
                <c:pt idx="0">
                  <c:v>0</c:v>
                </c:pt>
                <c:pt idx="1">
                  <c:v>0</c:v>
                </c:pt>
              </c:numCache>
            </c:numRef>
          </c:xVal>
          <c:yVal>
            <c:numRef>
              <c:f>Grafikaufbau!$H$52:$H$53</c:f>
              <c:numCache>
                <c:ptCount val="2"/>
                <c:pt idx="0">
                  <c:v>0</c:v>
                </c:pt>
                <c:pt idx="1">
                  <c:v>0</c:v>
                </c:pt>
              </c:numCache>
            </c:numRef>
          </c:yVal>
          <c:smooth val="1"/>
        </c:ser>
        <c:ser>
          <c:idx val="6"/>
          <c:order val="6"/>
          <c:tx>
            <c:v>Normierte Kosten=0,14 €/kWh</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Grafikaufbau!$I$50:$I$51</c:f>
              <c:numCache>
                <c:ptCount val="2"/>
                <c:pt idx="0">
                  <c:v>0</c:v>
                </c:pt>
                <c:pt idx="1">
                  <c:v>0</c:v>
                </c:pt>
              </c:numCache>
            </c:numRef>
          </c:xVal>
          <c:yVal>
            <c:numRef>
              <c:f>Grafikaufbau!$I$52:$I$53</c:f>
              <c:numCache>
                <c:ptCount val="2"/>
                <c:pt idx="0">
                  <c:v>0</c:v>
                </c:pt>
                <c:pt idx="1">
                  <c:v>0</c:v>
                </c:pt>
              </c:numCache>
            </c:numRef>
          </c:yVal>
          <c:smooth val="1"/>
        </c:ser>
        <c:ser>
          <c:idx val="7"/>
          <c:order val="7"/>
          <c:tx>
            <c:v>Wendlinghausen '14=&gt;'16</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1" i="0" u="none" baseline="0"/>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900" b="1" i="0" u="none" baseline="0"/>
                </a:pPr>
              </a:p>
            </c:txPr>
            <c:showLegendKey val="0"/>
            <c:showVal val="0"/>
            <c:showBubbleSize val="0"/>
            <c:showCatName val="0"/>
            <c:showSerName val="1"/>
            <c:showPercent val="0"/>
          </c:dLbls>
          <c:xVal>
            <c:numRef>
              <c:f>Grafikaufbau!$B$58:$C$58</c:f>
              <c:numCache>
                <c:ptCount val="2"/>
                <c:pt idx="0">
                  <c:v>0</c:v>
                </c:pt>
                <c:pt idx="1">
                  <c:v>0</c:v>
                </c:pt>
              </c:numCache>
            </c:numRef>
          </c:xVal>
          <c:yVal>
            <c:numRef>
              <c:f>Grafikaufbau!$B$59:$C$59</c:f>
              <c:numCache>
                <c:ptCount val="2"/>
                <c:pt idx="0">
                  <c:v>0</c:v>
                </c:pt>
                <c:pt idx="1">
                  <c:v>0</c:v>
                </c:pt>
              </c:numCache>
            </c:numRef>
          </c:yVal>
          <c:smooth val="1"/>
        </c:ser>
        <c:axId val="56551924"/>
        <c:axId val="39205269"/>
      </c:scatterChart>
      <c:valAx>
        <c:axId val="56551924"/>
        <c:scaling>
          <c:orientation val="minMax"/>
        </c:scaling>
        <c:axPos val="b"/>
        <c:title>
          <c:tx>
            <c:rich>
              <a:bodyPr vert="horz" rot="0" anchor="ctr"/>
              <a:lstStyle/>
              <a:p>
                <a:pPr algn="ctr">
                  <a:defRPr/>
                </a:pPr>
                <a:r>
                  <a:rPr lang="en-US" cap="none" sz="1000" b="1" i="0" u="none" baseline="0">
                    <a:latin typeface="Arial"/>
                    <a:ea typeface="Arial"/>
                    <a:cs typeface="Arial"/>
                  </a:rPr>
                  <a:t>mit Benutzungsgraden gewichteter Energiepreis im Verkauf - Substratpreis [€/kWh]</a:t>
                </a:r>
              </a:p>
            </c:rich>
          </c:tx>
          <c:layout>
            <c:manualLayout>
              <c:xMode val="factor"/>
              <c:yMode val="factor"/>
              <c:x val="0.00875"/>
              <c:y val="0.02875"/>
            </c:manualLayout>
          </c:layout>
          <c:overlay val="0"/>
          <c:spPr>
            <a:noFill/>
            <a:ln>
              <a:noFill/>
            </a:ln>
          </c:spPr>
        </c:title>
        <c:majorGridlines/>
        <c:delete val="0"/>
        <c:numFmt formatCode="General" sourceLinked="1"/>
        <c:majorTickMark val="out"/>
        <c:minorTickMark val="none"/>
        <c:tickLblPos val="nextTo"/>
        <c:crossAx val="39205269"/>
        <c:crosses val="autoZero"/>
        <c:crossBetween val="midCat"/>
        <c:dispUnits/>
      </c:valAx>
      <c:valAx>
        <c:axId val="39205269"/>
        <c:scaling>
          <c:orientation val="minMax"/>
        </c:scaling>
        <c:axPos val="l"/>
        <c:title>
          <c:tx>
            <c:rich>
              <a:bodyPr vert="horz" rot="-5400000" anchor="ctr"/>
              <a:lstStyle/>
              <a:p>
                <a:pPr algn="ctr">
                  <a:defRPr/>
                </a:pPr>
                <a:r>
                  <a:rPr lang="en-US" cap="none" sz="825" b="1" i="0" u="none" baseline="0">
                    <a:latin typeface="Arial"/>
                    <a:ea typeface="Arial"/>
                    <a:cs typeface="Arial"/>
                  </a:rPr>
                  <a:t>Auf eingebrachte Energiemenge normierter Gewinn [€/kWh]</a:t>
                </a:r>
              </a:p>
            </c:rich>
          </c:tx>
          <c:layout>
            <c:manualLayout>
              <c:xMode val="factor"/>
              <c:yMode val="factor"/>
              <c:x val="0.0495"/>
              <c:y val="0.03475"/>
            </c:manualLayout>
          </c:layout>
          <c:overlay val="0"/>
          <c:spPr>
            <a:noFill/>
            <a:ln>
              <a:noFill/>
            </a:ln>
          </c:spPr>
        </c:title>
        <c:majorGridlines/>
        <c:delete val="0"/>
        <c:numFmt formatCode="0.00" sourceLinked="0"/>
        <c:majorTickMark val="out"/>
        <c:minorTickMark val="none"/>
        <c:tickLblPos val="nextTo"/>
        <c:crossAx val="56551924"/>
        <c:crosses val="autoZero"/>
        <c:crossBetween val="midCat"/>
        <c:dispUnits/>
      </c:valAx>
      <c:spPr>
        <a:solidFill>
          <a:srgbClr val="C0C0C0"/>
        </a:solidFill>
        <a:ln w="12700">
          <a:solidFill>
            <a:srgbClr val="808080"/>
          </a:solidFill>
        </a:ln>
      </c:spPr>
    </c:plotArea>
    <c:legend>
      <c:legendPos val="r"/>
      <c:layout>
        <c:manualLayout>
          <c:xMode val="edge"/>
          <c:yMode val="edge"/>
          <c:x val="0.6645"/>
          <c:y val="0.044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8</xdr:row>
      <xdr:rowOff>19050</xdr:rowOff>
    </xdr:from>
    <xdr:to>
      <xdr:col>15</xdr:col>
      <xdr:colOff>666750</xdr:colOff>
      <xdr:row>30</xdr:row>
      <xdr:rowOff>142875</xdr:rowOff>
    </xdr:to>
    <xdr:graphicFrame>
      <xdr:nvGraphicFramePr>
        <xdr:cNvPr id="1" name="Chart 2"/>
        <xdr:cNvGraphicFramePr/>
      </xdr:nvGraphicFramePr>
      <xdr:xfrm>
        <a:off x="6362700" y="1314450"/>
        <a:ext cx="5895975" cy="36861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30</xdr:row>
      <xdr:rowOff>152400</xdr:rowOff>
    </xdr:from>
    <xdr:to>
      <xdr:col>15</xdr:col>
      <xdr:colOff>666750</xdr:colOff>
      <xdr:row>51</xdr:row>
      <xdr:rowOff>161925</xdr:rowOff>
    </xdr:to>
    <xdr:graphicFrame>
      <xdr:nvGraphicFramePr>
        <xdr:cNvPr id="2" name="Chart 3"/>
        <xdr:cNvGraphicFramePr/>
      </xdr:nvGraphicFramePr>
      <xdr:xfrm>
        <a:off x="6353175" y="5010150"/>
        <a:ext cx="5905500" cy="3676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314325</xdr:colOff>
      <xdr:row>11</xdr:row>
      <xdr:rowOff>57150</xdr:rowOff>
    </xdr:from>
    <xdr:to>
      <xdr:col>19</xdr:col>
      <xdr:colOff>114300</xdr:colOff>
      <xdr:row>36</xdr:row>
      <xdr:rowOff>0</xdr:rowOff>
    </xdr:to>
    <xdr:graphicFrame>
      <xdr:nvGraphicFramePr>
        <xdr:cNvPr id="1" name="Chart 5"/>
        <xdr:cNvGraphicFramePr/>
      </xdr:nvGraphicFramePr>
      <xdr:xfrm>
        <a:off x="10934700" y="1771650"/>
        <a:ext cx="5895975" cy="4133850"/>
      </xdr:xfrm>
      <a:graphic>
        <a:graphicData uri="http://schemas.openxmlformats.org/drawingml/2006/chart">
          <c:chart xmlns:c="http://schemas.openxmlformats.org/drawingml/2006/chart" r:id="rId1"/>
        </a:graphicData>
      </a:graphic>
    </xdr:graphicFrame>
    <xdr:clientData/>
  </xdr:twoCellAnchor>
  <xdr:twoCellAnchor>
    <xdr:from>
      <xdr:col>11</xdr:col>
      <xdr:colOff>314325</xdr:colOff>
      <xdr:row>37</xdr:row>
      <xdr:rowOff>9525</xdr:rowOff>
    </xdr:from>
    <xdr:to>
      <xdr:col>19</xdr:col>
      <xdr:colOff>123825</xdr:colOff>
      <xdr:row>61</xdr:row>
      <xdr:rowOff>104775</xdr:rowOff>
    </xdr:to>
    <xdr:graphicFrame>
      <xdr:nvGraphicFramePr>
        <xdr:cNvPr id="2" name="Chart 7"/>
        <xdr:cNvGraphicFramePr/>
      </xdr:nvGraphicFramePr>
      <xdr:xfrm>
        <a:off x="10934700" y="6096000"/>
        <a:ext cx="5905500" cy="4171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89"/>
  <sheetViews>
    <sheetView tabSelected="1" workbookViewId="0" topLeftCell="A1">
      <selection activeCell="C67" sqref="C67"/>
    </sheetView>
  </sheetViews>
  <sheetFormatPr defaultColWidth="11.421875" defaultRowHeight="12.75"/>
  <cols>
    <col min="6" max="6" width="13.57421875" style="0" bestFit="1" customWidth="1"/>
    <col min="8" max="8" width="11.7109375" style="0" bestFit="1" customWidth="1"/>
  </cols>
  <sheetData>
    <row r="1" spans="1:16" ht="12.75">
      <c r="A1" s="262" t="s">
        <v>208</v>
      </c>
      <c r="B1" s="263"/>
      <c r="C1" s="263"/>
      <c r="D1" s="263"/>
      <c r="E1" s="263"/>
      <c r="F1" s="263"/>
      <c r="G1" s="263"/>
      <c r="H1" s="263"/>
      <c r="I1" s="257" t="s">
        <v>205</v>
      </c>
      <c r="J1" s="257"/>
      <c r="K1" s="257"/>
      <c r="L1" s="257"/>
      <c r="M1" s="257"/>
      <c r="N1" s="257"/>
      <c r="O1" s="257"/>
      <c r="P1" s="257"/>
    </row>
    <row r="2" spans="1:16" ht="12.75">
      <c r="A2" s="263"/>
      <c r="B2" s="263"/>
      <c r="C2" s="263"/>
      <c r="D2" s="263"/>
      <c r="E2" s="263"/>
      <c r="F2" s="263"/>
      <c r="G2" s="263"/>
      <c r="H2" s="263"/>
      <c r="I2" s="257"/>
      <c r="J2" s="257"/>
      <c r="K2" s="257"/>
      <c r="L2" s="257"/>
      <c r="M2" s="257"/>
      <c r="N2" s="257"/>
      <c r="O2" s="257"/>
      <c r="P2" s="257"/>
    </row>
    <row r="3" spans="1:16" ht="12.75">
      <c r="A3" s="263"/>
      <c r="B3" s="263"/>
      <c r="C3" s="263"/>
      <c r="D3" s="263"/>
      <c r="E3" s="263"/>
      <c r="F3" s="263"/>
      <c r="G3" s="263"/>
      <c r="H3" s="263"/>
      <c r="I3" s="257"/>
      <c r="J3" s="257"/>
      <c r="K3" s="257"/>
      <c r="L3" s="257"/>
      <c r="M3" s="257"/>
      <c r="N3" s="257"/>
      <c r="O3" s="257"/>
      <c r="P3" s="257"/>
    </row>
    <row r="4" spans="1:8" ht="12.75">
      <c r="A4" s="263"/>
      <c r="B4" s="263"/>
      <c r="C4" s="263"/>
      <c r="D4" s="263"/>
      <c r="E4" s="263"/>
      <c r="F4" s="263"/>
      <c r="G4" s="263"/>
      <c r="H4" s="263"/>
    </row>
    <row r="5" spans="9:16" ht="12.75">
      <c r="I5" s="258" t="s">
        <v>209</v>
      </c>
      <c r="J5" s="258"/>
      <c r="K5" s="258"/>
      <c r="L5" s="258"/>
      <c r="M5" s="258"/>
      <c r="N5" s="258"/>
      <c r="O5" s="258"/>
      <c r="P5" s="258"/>
    </row>
    <row r="6" spans="1:16" ht="12.75">
      <c r="A6" t="s">
        <v>206</v>
      </c>
      <c r="I6" s="258"/>
      <c r="J6" s="258"/>
      <c r="K6" s="258"/>
      <c r="L6" s="258"/>
      <c r="M6" s="258"/>
      <c r="N6" s="258"/>
      <c r="O6" s="258"/>
      <c r="P6" s="258"/>
    </row>
    <row r="7" spans="9:16" ht="12.75">
      <c r="I7" s="258"/>
      <c r="J7" s="258"/>
      <c r="K7" s="258"/>
      <c r="L7" s="258"/>
      <c r="M7" s="258"/>
      <c r="N7" s="258"/>
      <c r="O7" s="258"/>
      <c r="P7" s="258"/>
    </row>
    <row r="8" spans="9:16" ht="12.75">
      <c r="I8" s="258"/>
      <c r="J8" s="258"/>
      <c r="K8" s="258"/>
      <c r="L8" s="258"/>
      <c r="M8" s="258"/>
      <c r="N8" s="258"/>
      <c r="O8" s="258"/>
      <c r="P8" s="258"/>
    </row>
    <row r="9" spans="9:16" ht="12.75">
      <c r="I9" s="209"/>
      <c r="J9" s="209"/>
      <c r="K9" s="209"/>
      <c r="L9" s="209"/>
      <c r="M9" s="209"/>
      <c r="N9" s="209"/>
      <c r="O9" s="209"/>
      <c r="P9" s="209"/>
    </row>
    <row r="27" spans="1:8" ht="12.75">
      <c r="A27" s="228" t="s">
        <v>211</v>
      </c>
      <c r="B27" s="229"/>
      <c r="C27" s="229"/>
      <c r="D27" s="229"/>
      <c r="E27" s="229"/>
      <c r="F27" s="229"/>
      <c r="G27" s="229"/>
      <c r="H27" s="229"/>
    </row>
    <row r="28" spans="1:8" ht="12.75" customHeight="1">
      <c r="A28" s="229"/>
      <c r="B28" s="229"/>
      <c r="C28" s="229"/>
      <c r="D28" s="229"/>
      <c r="E28" s="229"/>
      <c r="F28" s="229"/>
      <c r="G28" s="229"/>
      <c r="H28" s="229"/>
    </row>
    <row r="29" spans="1:8" ht="12.75">
      <c r="A29" s="229"/>
      <c r="B29" s="229"/>
      <c r="C29" s="229"/>
      <c r="D29" s="229"/>
      <c r="E29" s="229"/>
      <c r="F29" s="229"/>
      <c r="G29" s="229"/>
      <c r="H29" s="229"/>
    </row>
    <row r="30" spans="1:8" ht="12.75">
      <c r="A30" s="229"/>
      <c r="B30" s="229"/>
      <c r="C30" s="229"/>
      <c r="D30" s="229"/>
      <c r="E30" s="229"/>
      <c r="F30" s="229"/>
      <c r="G30" s="229"/>
      <c r="H30" s="229"/>
    </row>
    <row r="31" spans="1:8" ht="12.75">
      <c r="A31" s="229"/>
      <c r="B31" s="229"/>
      <c r="C31" s="229"/>
      <c r="D31" s="229"/>
      <c r="E31" s="229"/>
      <c r="F31" s="229"/>
      <c r="G31" s="229"/>
      <c r="H31" s="229"/>
    </row>
    <row r="32" spans="1:8" ht="12.75">
      <c r="A32" s="229"/>
      <c r="B32" s="229"/>
      <c r="C32" s="229"/>
      <c r="D32" s="229"/>
      <c r="E32" s="229"/>
      <c r="F32" s="229"/>
      <c r="G32" s="229"/>
      <c r="H32" s="229"/>
    </row>
    <row r="33" spans="1:8" ht="12.75">
      <c r="A33" s="229"/>
      <c r="B33" s="229"/>
      <c r="C33" s="229"/>
      <c r="D33" s="229"/>
      <c r="E33" s="229"/>
      <c r="F33" s="229"/>
      <c r="G33" s="229"/>
      <c r="H33" s="229"/>
    </row>
    <row r="34" spans="1:8" ht="12.75">
      <c r="A34" s="229"/>
      <c r="B34" s="229"/>
      <c r="C34" s="229"/>
      <c r="D34" s="229"/>
      <c r="E34" s="229"/>
      <c r="F34" s="229"/>
      <c r="G34" s="229"/>
      <c r="H34" s="229"/>
    </row>
    <row r="35" spans="1:8" ht="12.75">
      <c r="A35" s="229"/>
      <c r="B35" s="229"/>
      <c r="C35" s="229"/>
      <c r="D35" s="229"/>
      <c r="E35" s="229"/>
      <c r="F35" s="229"/>
      <c r="G35" s="229"/>
      <c r="H35" s="229"/>
    </row>
    <row r="36" spans="1:8" ht="12.75">
      <c r="A36" s="229"/>
      <c r="B36" s="229"/>
      <c r="C36" s="229"/>
      <c r="D36" s="229"/>
      <c r="E36" s="229"/>
      <c r="F36" s="229"/>
      <c r="G36" s="229"/>
      <c r="H36" s="229"/>
    </row>
    <row r="37" spans="1:8" ht="12.75">
      <c r="A37" s="229"/>
      <c r="B37" s="229"/>
      <c r="C37" s="229"/>
      <c r="D37" s="229"/>
      <c r="E37" s="229"/>
      <c r="F37" s="229"/>
      <c r="G37" s="229"/>
      <c r="H37" s="229"/>
    </row>
    <row r="38" spans="1:8" ht="12.75">
      <c r="A38" s="229"/>
      <c r="B38" s="229"/>
      <c r="C38" s="229"/>
      <c r="D38" s="229"/>
      <c r="E38" s="229"/>
      <c r="F38" s="229"/>
      <c r="G38" s="229"/>
      <c r="H38" s="229"/>
    </row>
    <row r="39" spans="1:8" ht="12.75">
      <c r="A39" s="229"/>
      <c r="B39" s="229"/>
      <c r="C39" s="229"/>
      <c r="D39" s="229"/>
      <c r="E39" s="229"/>
      <c r="F39" s="229"/>
      <c r="G39" s="229"/>
      <c r="H39" s="229"/>
    </row>
    <row r="40" ht="13.5" thickBot="1">
      <c r="A40" s="2" t="s">
        <v>223</v>
      </c>
    </row>
    <row r="41" spans="1:8" ht="12.75">
      <c r="A41" s="259" t="s">
        <v>207</v>
      </c>
      <c r="B41" s="260"/>
      <c r="C41" s="260"/>
      <c r="D41" s="260"/>
      <c r="E41" s="261"/>
      <c r="F41" s="100">
        <v>2014</v>
      </c>
      <c r="G41" s="100"/>
      <c r="H41" s="86" t="s">
        <v>134</v>
      </c>
    </row>
    <row r="42" spans="1:8" ht="15">
      <c r="A42" s="230" t="s">
        <v>200</v>
      </c>
      <c r="B42" s="231"/>
      <c r="C42" s="231"/>
      <c r="D42" s="231"/>
      <c r="E42" s="231"/>
      <c r="F42" s="211">
        <v>0.23726967904476204</v>
      </c>
      <c r="G42" s="212" t="s">
        <v>120</v>
      </c>
      <c r="H42" s="213">
        <v>0.23726967904476204</v>
      </c>
    </row>
    <row r="43" spans="1:8" ht="15">
      <c r="A43" s="230" t="s">
        <v>199</v>
      </c>
      <c r="B43" s="231"/>
      <c r="C43" s="231"/>
      <c r="D43" s="231"/>
      <c r="E43" s="231"/>
      <c r="F43" s="211">
        <v>0.05598294065156559</v>
      </c>
      <c r="G43" s="212" t="s">
        <v>120</v>
      </c>
      <c r="H43" s="213">
        <v>0.05598294065156559</v>
      </c>
    </row>
    <row r="44" spans="1:8" ht="15">
      <c r="A44" s="230" t="s">
        <v>198</v>
      </c>
      <c r="B44" s="231"/>
      <c r="C44" s="231"/>
      <c r="D44" s="231"/>
      <c r="E44" s="231"/>
      <c r="F44" s="214">
        <v>0.8917730723613781</v>
      </c>
      <c r="G44" s="212"/>
      <c r="H44" s="213">
        <v>1</v>
      </c>
    </row>
    <row r="45" spans="1:8" ht="15">
      <c r="A45" s="230" t="s">
        <v>197</v>
      </c>
      <c r="B45" s="231"/>
      <c r="C45" s="231"/>
      <c r="D45" s="231"/>
      <c r="E45" s="231"/>
      <c r="F45" s="214">
        <v>0.2725218068493151</v>
      </c>
      <c r="G45" s="212"/>
      <c r="H45" s="213">
        <v>0.36765000000000003</v>
      </c>
    </row>
    <row r="46" spans="1:8" ht="15">
      <c r="A46" s="230" t="s">
        <v>196</v>
      </c>
      <c r="B46" s="231"/>
      <c r="C46" s="231"/>
      <c r="D46" s="231"/>
      <c r="E46" s="231"/>
      <c r="F46" s="214">
        <v>0.10779587534246576</v>
      </c>
      <c r="G46" s="212"/>
      <c r="H46" s="213">
        <v>0.15</v>
      </c>
    </row>
    <row r="47" spans="1:8" ht="15">
      <c r="A47" s="230" t="s">
        <v>195</v>
      </c>
      <c r="B47" s="231"/>
      <c r="C47" s="231"/>
      <c r="D47" s="231"/>
      <c r="E47" s="231"/>
      <c r="F47" s="214">
        <v>0.3391570679215226</v>
      </c>
      <c r="G47" s="212"/>
      <c r="H47" s="213">
        <v>0.51765</v>
      </c>
    </row>
    <row r="48" spans="1:8" ht="15">
      <c r="A48" s="230" t="s">
        <v>194</v>
      </c>
      <c r="B48" s="231"/>
      <c r="C48" s="231"/>
      <c r="D48" s="231"/>
      <c r="E48" s="231"/>
      <c r="F48" s="215">
        <v>1364100.08</v>
      </c>
      <c r="G48" s="212" t="s">
        <v>122</v>
      </c>
      <c r="H48" s="216">
        <v>760333</v>
      </c>
    </row>
    <row r="49" spans="1:8" ht="15">
      <c r="A49" s="230" t="s">
        <v>201</v>
      </c>
      <c r="B49" s="231"/>
      <c r="C49" s="231"/>
      <c r="D49" s="231"/>
      <c r="E49" s="231"/>
      <c r="F49" s="215">
        <v>13405726.191551114</v>
      </c>
      <c r="G49" s="212" t="s">
        <v>123</v>
      </c>
      <c r="H49" s="216">
        <v>20531968.503937006</v>
      </c>
    </row>
    <row r="50" spans="1:8" ht="13.5">
      <c r="A50" s="246" t="s">
        <v>202</v>
      </c>
      <c r="B50" s="231"/>
      <c r="C50" s="231"/>
      <c r="D50" s="231"/>
      <c r="E50" s="231"/>
      <c r="F50" s="217">
        <v>0.1017550306867909</v>
      </c>
      <c r="G50" s="218" t="s">
        <v>120</v>
      </c>
      <c r="H50" s="219">
        <v>0.03703166600193285</v>
      </c>
    </row>
    <row r="51" spans="1:8" ht="14.25" thickBot="1">
      <c r="A51" s="232" t="s">
        <v>213</v>
      </c>
      <c r="B51" s="233"/>
      <c r="C51" s="233"/>
      <c r="D51" s="233"/>
      <c r="E51" s="233"/>
      <c r="F51" s="220">
        <v>-0.0387103381103929</v>
      </c>
      <c r="G51" s="221" t="s">
        <v>120</v>
      </c>
      <c r="H51" s="222">
        <v>0.05859797259660876</v>
      </c>
    </row>
    <row r="52" spans="1:8" ht="13.5" thickBot="1">
      <c r="A52" s="234" t="s">
        <v>203</v>
      </c>
      <c r="B52" s="235"/>
      <c r="C52" s="235"/>
      <c r="D52" s="235"/>
      <c r="E52" s="236"/>
      <c r="F52" s="223">
        <v>0.0376</v>
      </c>
      <c r="G52" s="208" t="s">
        <v>120</v>
      </c>
      <c r="H52" s="224"/>
    </row>
    <row r="53" spans="1:8" ht="12.75">
      <c r="A53" s="237" t="s">
        <v>204</v>
      </c>
      <c r="B53" s="238"/>
      <c r="C53" s="238"/>
      <c r="D53" s="238"/>
      <c r="E53" s="238"/>
      <c r="F53" s="238"/>
      <c r="G53" s="238"/>
      <c r="H53" s="238"/>
    </row>
    <row r="54" spans="1:16" ht="12.75">
      <c r="A54" s="239"/>
      <c r="B54" s="239"/>
      <c r="C54" s="239"/>
      <c r="D54" s="239"/>
      <c r="E54" s="239"/>
      <c r="F54" s="239"/>
      <c r="G54" s="239"/>
      <c r="H54" s="239"/>
      <c r="I54" s="226" t="s">
        <v>218</v>
      </c>
      <c r="J54" s="227"/>
      <c r="K54" s="227"/>
      <c r="L54" s="227"/>
      <c r="M54" s="227"/>
      <c r="N54" s="227"/>
      <c r="O54" s="227"/>
      <c r="P54" s="227"/>
    </row>
    <row r="55" spans="1:16" ht="12.75" customHeight="1">
      <c r="A55" s="239"/>
      <c r="B55" s="239"/>
      <c r="C55" s="239"/>
      <c r="D55" s="239"/>
      <c r="E55" s="239"/>
      <c r="F55" s="239"/>
      <c r="G55" s="239"/>
      <c r="H55" s="239"/>
      <c r="I55" s="227"/>
      <c r="J55" s="227"/>
      <c r="K55" s="227"/>
      <c r="L55" s="227"/>
      <c r="M55" s="227"/>
      <c r="N55" s="227"/>
      <c r="O55" s="227"/>
      <c r="P55" s="227"/>
    </row>
    <row r="56" spans="1:16" ht="13.5" customHeight="1" thickBot="1">
      <c r="A56" s="207"/>
      <c r="I56" s="227"/>
      <c r="J56" s="227"/>
      <c r="K56" s="227"/>
      <c r="L56" s="227"/>
      <c r="M56" s="227"/>
      <c r="N56" s="227"/>
      <c r="O56" s="227"/>
      <c r="P56" s="227"/>
    </row>
    <row r="57" spans="1:16" ht="24.75" customHeight="1" thickBot="1">
      <c r="A57" s="242" t="s">
        <v>215</v>
      </c>
      <c r="B57" s="243"/>
      <c r="C57" s="186" t="s">
        <v>57</v>
      </c>
      <c r="D57" s="186" t="s">
        <v>58</v>
      </c>
      <c r="E57" s="253" t="s">
        <v>166</v>
      </c>
      <c r="F57" s="254"/>
      <c r="G57" s="247" t="s">
        <v>210</v>
      </c>
      <c r="H57" s="248"/>
      <c r="I57" s="227"/>
      <c r="J57" s="227"/>
      <c r="K57" s="227"/>
      <c r="L57" s="227"/>
      <c r="M57" s="227"/>
      <c r="N57" s="227"/>
      <c r="O57" s="227"/>
      <c r="P57" s="227"/>
    </row>
    <row r="58" spans="1:16" ht="12.75" customHeight="1">
      <c r="A58" s="240" t="s">
        <v>31</v>
      </c>
      <c r="B58" s="241"/>
      <c r="C58" s="184">
        <v>5391</v>
      </c>
      <c r="D58" s="184">
        <v>38.08541256955467</v>
      </c>
      <c r="E58" s="185">
        <v>0.03511444957205049</v>
      </c>
      <c r="F58" s="112"/>
      <c r="G58" s="249"/>
      <c r="H58" s="250"/>
      <c r="I58" s="227"/>
      <c r="J58" s="227"/>
      <c r="K58" s="227"/>
      <c r="L58" s="227"/>
      <c r="M58" s="227"/>
      <c r="N58" s="227"/>
      <c r="O58" s="227"/>
      <c r="P58" s="227"/>
    </row>
    <row r="59" spans="1:16" ht="12.75">
      <c r="A59" s="244" t="s">
        <v>32</v>
      </c>
      <c r="B59" s="245"/>
      <c r="C59" s="117">
        <v>1832</v>
      </c>
      <c r="D59" s="117">
        <v>29.183816964285725</v>
      </c>
      <c r="E59" s="151">
        <v>0.031102047970227274</v>
      </c>
      <c r="F59" s="89"/>
      <c r="G59" s="249"/>
      <c r="H59" s="250"/>
      <c r="I59" s="227"/>
      <c r="J59" s="227"/>
      <c r="K59" s="227"/>
      <c r="L59" s="227"/>
      <c r="M59" s="227"/>
      <c r="N59" s="227"/>
      <c r="O59" s="227"/>
      <c r="P59" s="227"/>
    </row>
    <row r="60" spans="1:16" ht="12.75">
      <c r="A60" s="244" t="s">
        <v>33</v>
      </c>
      <c r="B60" s="245"/>
      <c r="C60" s="117">
        <v>231.3</v>
      </c>
      <c r="D60" s="117">
        <v>200</v>
      </c>
      <c r="E60" s="179">
        <v>0.06443305412377577</v>
      </c>
      <c r="F60" s="180" t="s">
        <v>132</v>
      </c>
      <c r="G60" s="249"/>
      <c r="H60" s="250"/>
      <c r="I60" s="227"/>
      <c r="J60" s="227"/>
      <c r="K60" s="227"/>
      <c r="L60" s="227"/>
      <c r="M60" s="227"/>
      <c r="N60" s="227"/>
      <c r="O60" s="227"/>
      <c r="P60" s="227"/>
    </row>
    <row r="61" spans="1:16" ht="12.75">
      <c r="A61" s="244" t="s">
        <v>34</v>
      </c>
      <c r="B61" s="245"/>
      <c r="C61" s="117">
        <v>2509.84</v>
      </c>
      <c r="D61" s="117">
        <v>39</v>
      </c>
      <c r="E61" s="179">
        <v>0.053284653981821126</v>
      </c>
      <c r="F61" s="180" t="s">
        <v>132</v>
      </c>
      <c r="G61" s="249"/>
      <c r="H61" s="250"/>
      <c r="I61" s="227"/>
      <c r="J61" s="227"/>
      <c r="K61" s="227"/>
      <c r="L61" s="227"/>
      <c r="M61" s="227"/>
      <c r="N61" s="227"/>
      <c r="O61" s="227"/>
      <c r="P61" s="227"/>
    </row>
    <row r="62" spans="1:16" ht="12.75">
      <c r="A62" s="244" t="s">
        <v>51</v>
      </c>
      <c r="B62" s="245"/>
      <c r="C62" s="117">
        <v>6113</v>
      </c>
      <c r="D62" s="117">
        <v>15</v>
      </c>
      <c r="E62" s="151">
        <v>0.029439705064084994</v>
      </c>
      <c r="F62" s="89"/>
      <c r="G62" s="249"/>
      <c r="H62" s="250"/>
      <c r="I62" s="227"/>
      <c r="J62" s="227"/>
      <c r="K62" s="227"/>
      <c r="L62" s="227"/>
      <c r="M62" s="227"/>
      <c r="N62" s="227"/>
      <c r="O62" s="227"/>
      <c r="P62" s="227"/>
    </row>
    <row r="63" spans="1:16" ht="13.5" thickBot="1">
      <c r="A63" s="255" t="s">
        <v>52</v>
      </c>
      <c r="B63" s="256"/>
      <c r="C63" s="181">
        <v>47.2</v>
      </c>
      <c r="D63" s="181">
        <v>187.64</v>
      </c>
      <c r="E63" s="182">
        <v>0.06045109137892643</v>
      </c>
      <c r="F63" s="183" t="s">
        <v>132</v>
      </c>
      <c r="G63" s="251"/>
      <c r="H63" s="252"/>
      <c r="I63" s="227"/>
      <c r="J63" s="227"/>
      <c r="K63" s="227"/>
      <c r="L63" s="227"/>
      <c r="M63" s="227"/>
      <c r="N63" s="227"/>
      <c r="O63" s="227"/>
      <c r="P63" s="227"/>
    </row>
    <row r="65" spans="9:16" ht="12.75">
      <c r="I65" s="262" t="s">
        <v>217</v>
      </c>
      <c r="J65" s="263"/>
      <c r="K65" s="263"/>
      <c r="L65" s="263"/>
      <c r="M65" s="263"/>
      <c r="N65" s="263"/>
      <c r="O65" s="263"/>
      <c r="P65" s="263"/>
    </row>
    <row r="66" spans="9:16" ht="12.75">
      <c r="I66" s="263" t="s">
        <v>216</v>
      </c>
      <c r="J66" s="263"/>
      <c r="K66" s="263"/>
      <c r="L66" s="263"/>
      <c r="M66" s="263"/>
      <c r="N66" s="263"/>
      <c r="O66" s="263"/>
      <c r="P66" s="263"/>
    </row>
    <row r="67" spans="9:16" ht="12.75">
      <c r="I67" s="263"/>
      <c r="J67" s="263"/>
      <c r="K67" s="263"/>
      <c r="L67" s="263"/>
      <c r="M67" s="263"/>
      <c r="N67" s="263"/>
      <c r="O67" s="263"/>
      <c r="P67" s="263"/>
    </row>
    <row r="68" spans="9:16" ht="12.75">
      <c r="I68" s="263"/>
      <c r="J68" s="263"/>
      <c r="K68" s="263"/>
      <c r="L68" s="263"/>
      <c r="M68" s="263"/>
      <c r="N68" s="263"/>
      <c r="O68" s="263"/>
      <c r="P68" s="263"/>
    </row>
    <row r="72" spans="9:16" ht="12.75">
      <c r="I72" s="264" t="s">
        <v>219</v>
      </c>
      <c r="J72" s="264"/>
      <c r="K72" s="264"/>
      <c r="L72" s="264"/>
      <c r="M72" s="264"/>
      <c r="N72" s="264"/>
      <c r="O72" s="264"/>
      <c r="P72" s="264"/>
    </row>
    <row r="73" spans="9:16" ht="12.75">
      <c r="I73" s="264"/>
      <c r="J73" s="264"/>
      <c r="K73" s="264"/>
      <c r="L73" s="264"/>
      <c r="M73" s="264"/>
      <c r="N73" s="264"/>
      <c r="O73" s="264"/>
      <c r="P73" s="264"/>
    </row>
    <row r="74" spans="9:16" ht="12.75">
      <c r="I74" s="264"/>
      <c r="J74" s="264"/>
      <c r="K74" s="264"/>
      <c r="L74" s="264"/>
      <c r="M74" s="264"/>
      <c r="N74" s="264"/>
      <c r="O74" s="264"/>
      <c r="P74" s="264"/>
    </row>
    <row r="75" spans="9:16" ht="12.75">
      <c r="I75" s="264"/>
      <c r="J75" s="264"/>
      <c r="K75" s="264"/>
      <c r="L75" s="264"/>
      <c r="M75" s="264"/>
      <c r="N75" s="264"/>
      <c r="O75" s="264"/>
      <c r="P75" s="264"/>
    </row>
    <row r="76" spans="9:16" ht="12.75">
      <c r="I76" s="225"/>
      <c r="J76" s="225"/>
      <c r="K76" s="225"/>
      <c r="L76" s="225"/>
      <c r="M76" s="225"/>
      <c r="N76" s="225"/>
      <c r="O76" s="225"/>
      <c r="P76" s="225"/>
    </row>
    <row r="79" spans="9:16" ht="12.75">
      <c r="I79" s="265" t="s">
        <v>220</v>
      </c>
      <c r="J79" s="265"/>
      <c r="K79" s="265"/>
      <c r="L79" s="265"/>
      <c r="M79" s="265"/>
      <c r="N79" s="265"/>
      <c r="O79" s="265"/>
      <c r="P79" s="265"/>
    </row>
    <row r="80" spans="9:16" ht="12.75">
      <c r="I80" s="263"/>
      <c r="J80" s="263"/>
      <c r="K80" s="263"/>
      <c r="L80" s="263"/>
      <c r="M80" s="263"/>
      <c r="N80" s="263"/>
      <c r="O80" s="263"/>
      <c r="P80" s="263"/>
    </row>
    <row r="84" spans="9:16" ht="12.75">
      <c r="I84" s="263" t="s">
        <v>221</v>
      </c>
      <c r="J84" s="263"/>
      <c r="K84" s="263"/>
      <c r="L84" s="263"/>
      <c r="M84" s="263"/>
      <c r="N84" s="263"/>
      <c r="O84" s="263"/>
      <c r="P84" s="263"/>
    </row>
    <row r="88" spans="9:16" ht="12.75">
      <c r="I88" s="263" t="s">
        <v>222</v>
      </c>
      <c r="J88" s="263"/>
      <c r="K88" s="263"/>
      <c r="L88" s="263"/>
      <c r="M88" s="263"/>
      <c r="N88" s="263"/>
      <c r="O88" s="263"/>
      <c r="P88" s="263"/>
    </row>
    <row r="89" spans="9:16" ht="12.75">
      <c r="I89" s="263"/>
      <c r="J89" s="263"/>
      <c r="K89" s="263"/>
      <c r="L89" s="263"/>
      <c r="M89" s="263"/>
      <c r="N89" s="263"/>
      <c r="O89" s="263"/>
      <c r="P89" s="263"/>
    </row>
  </sheetData>
  <mergeCells count="33">
    <mergeCell ref="I88:P89"/>
    <mergeCell ref="I65:P65"/>
    <mergeCell ref="I66:P68"/>
    <mergeCell ref="I72:P75"/>
    <mergeCell ref="I79:P80"/>
    <mergeCell ref="I84:P84"/>
    <mergeCell ref="I1:P3"/>
    <mergeCell ref="I5:P8"/>
    <mergeCell ref="A47:E47"/>
    <mergeCell ref="A46:E46"/>
    <mergeCell ref="A41:E41"/>
    <mergeCell ref="A1:H4"/>
    <mergeCell ref="A42:E42"/>
    <mergeCell ref="A43:E43"/>
    <mergeCell ref="A44:E44"/>
    <mergeCell ref="A45:E45"/>
    <mergeCell ref="A50:E50"/>
    <mergeCell ref="G57:H63"/>
    <mergeCell ref="E57:F57"/>
    <mergeCell ref="A60:B60"/>
    <mergeCell ref="A61:B61"/>
    <mergeCell ref="A62:B62"/>
    <mergeCell ref="A63:B63"/>
    <mergeCell ref="I54:P63"/>
    <mergeCell ref="A27:H39"/>
    <mergeCell ref="A48:E48"/>
    <mergeCell ref="A49:E49"/>
    <mergeCell ref="A51:E51"/>
    <mergeCell ref="A52:E52"/>
    <mergeCell ref="A53:H55"/>
    <mergeCell ref="A58:B58"/>
    <mergeCell ref="A57:B57"/>
    <mergeCell ref="A59:B59"/>
  </mergeCells>
  <printOptions/>
  <pageMargins left="0.3937007874015748" right="0" top="0" bottom="0" header="0.5118110236220472" footer="0.5118110236220472"/>
  <pageSetup orientation="portrait" paperSize="9" r:id="rId8"/>
  <drawing r:id="rId7"/>
  <legacyDrawing r:id="rId6"/>
  <oleObjects>
    <oleObject progId="Equation.DSMT4" shapeId="602015" r:id="rId1"/>
    <oleObject progId="Equation.DSMT4" shapeId="1665349" r:id="rId2"/>
    <oleObject progId="Equation.DSMT4" shapeId="1729000" r:id="rId3"/>
    <oleObject progId="Equation.DSMT4" shapeId="1739778" r:id="rId4"/>
    <oleObject progId="Equation.DSMT4" shapeId="1763995" r:id="rId5"/>
  </oleObjects>
</worksheet>
</file>

<file path=xl/worksheets/sheet2.xml><?xml version="1.0" encoding="utf-8"?>
<worksheet xmlns="http://schemas.openxmlformats.org/spreadsheetml/2006/main" xmlns:r="http://schemas.openxmlformats.org/officeDocument/2006/relationships">
  <dimension ref="A1:I59"/>
  <sheetViews>
    <sheetView workbookViewId="0" topLeftCell="A1">
      <selection activeCell="A61" sqref="A61"/>
    </sheetView>
  </sheetViews>
  <sheetFormatPr defaultColWidth="11.421875" defaultRowHeight="12.75"/>
  <cols>
    <col min="1" max="1" width="49.8515625" style="83" customWidth="1"/>
    <col min="2" max="3" width="9.00390625" style="83" customWidth="1"/>
    <col min="4" max="16384" width="11.421875" style="83" customWidth="1"/>
  </cols>
  <sheetData>
    <row r="1" ht="13.5">
      <c r="A1" s="163" t="s">
        <v>145</v>
      </c>
    </row>
    <row r="2" ht="12">
      <c r="A2" s="83" t="s">
        <v>187</v>
      </c>
    </row>
    <row r="3" spans="1:6" ht="12">
      <c r="A3" s="203"/>
      <c r="B3" s="204"/>
      <c r="C3" s="204"/>
      <c r="D3" s="204"/>
      <c r="E3" s="204"/>
      <c r="F3" s="204"/>
    </row>
    <row r="4" spans="1:6" ht="13.5" thickBot="1">
      <c r="A4" s="82" t="s">
        <v>137</v>
      </c>
      <c r="B4" s="83">
        <v>2014</v>
      </c>
      <c r="D4" t="s">
        <v>134</v>
      </c>
      <c r="F4" s="204"/>
    </row>
    <row r="5" spans="1:6" ht="12">
      <c r="A5" s="115" t="s">
        <v>128</v>
      </c>
      <c r="B5" s="152">
        <v>0.23726967904476204</v>
      </c>
      <c r="C5" s="157" t="s">
        <v>120</v>
      </c>
      <c r="D5" s="159">
        <v>0.23726967904476204</v>
      </c>
      <c r="F5" s="204"/>
    </row>
    <row r="6" spans="1:6" ht="12">
      <c r="A6" s="153" t="s">
        <v>188</v>
      </c>
      <c r="B6" s="151">
        <v>0.05598294065156559</v>
      </c>
      <c r="C6" s="158" t="s">
        <v>120</v>
      </c>
      <c r="D6" s="160">
        <v>0.05598294065156559</v>
      </c>
      <c r="F6" s="204"/>
    </row>
    <row r="7" spans="1:6" ht="12">
      <c r="A7" s="153" t="s">
        <v>124</v>
      </c>
      <c r="B7" s="151">
        <v>0.8917730723613781</v>
      </c>
      <c r="C7" s="158"/>
      <c r="D7" s="161">
        <v>1</v>
      </c>
      <c r="F7" s="204"/>
    </row>
    <row r="8" spans="1:6" ht="12">
      <c r="A8" s="153" t="s">
        <v>125</v>
      </c>
      <c r="B8" s="151">
        <v>0.2725218068493151</v>
      </c>
      <c r="C8" s="158"/>
      <c r="D8" s="161">
        <v>0.36765000000000003</v>
      </c>
      <c r="F8" s="204"/>
    </row>
    <row r="9" spans="1:6" ht="12">
      <c r="A9" s="153" t="s">
        <v>126</v>
      </c>
      <c r="B9" s="151">
        <v>0.10779587534246576</v>
      </c>
      <c r="C9" s="158"/>
      <c r="D9" s="161">
        <v>0.15</v>
      </c>
      <c r="F9" s="204"/>
    </row>
    <row r="10" spans="1:6" ht="12">
      <c r="A10" s="153" t="s">
        <v>168</v>
      </c>
      <c r="B10" s="151">
        <v>0.3391570679215226</v>
      </c>
      <c r="C10" s="158"/>
      <c r="D10" s="200">
        <v>0.51765</v>
      </c>
      <c r="F10" s="204"/>
    </row>
    <row r="11" spans="1:6" ht="12">
      <c r="A11" s="153" t="s">
        <v>189</v>
      </c>
      <c r="B11" s="101">
        <v>1364100.08</v>
      </c>
      <c r="C11" s="158" t="s">
        <v>122</v>
      </c>
      <c r="D11" s="201">
        <v>760333</v>
      </c>
      <c r="E11" s="83" t="s">
        <v>175</v>
      </c>
      <c r="F11" s="204"/>
    </row>
    <row r="12" spans="1:6" ht="12">
      <c r="A12" s="153" t="s">
        <v>127</v>
      </c>
      <c r="B12" s="101">
        <v>13405726.191551114</v>
      </c>
      <c r="C12" s="158" t="s">
        <v>123</v>
      </c>
      <c r="D12" s="206">
        <v>20531968.503937006</v>
      </c>
      <c r="F12" s="204"/>
    </row>
    <row r="13" spans="1:6" ht="12">
      <c r="A13" s="113" t="s">
        <v>190</v>
      </c>
      <c r="B13" s="202">
        <v>0.1017550306867909</v>
      </c>
      <c r="C13" s="158" t="s">
        <v>120</v>
      </c>
      <c r="D13" s="200">
        <v>0.03703166600193285</v>
      </c>
      <c r="F13" s="204"/>
    </row>
    <row r="14" spans="1:6" ht="12.75" thickBot="1">
      <c r="A14" s="154" t="s">
        <v>191</v>
      </c>
      <c r="B14" s="190">
        <v>-0.03871033811039286</v>
      </c>
      <c r="C14" s="191" t="s">
        <v>120</v>
      </c>
      <c r="D14" s="192">
        <v>0.05859797259660876</v>
      </c>
      <c r="F14" s="204"/>
    </row>
    <row r="15" spans="1:6" ht="13.5">
      <c r="A15" s="103" t="s">
        <v>192</v>
      </c>
      <c r="B15" s="83">
        <v>0</v>
      </c>
      <c r="C15" s="83" t="s">
        <v>120</v>
      </c>
      <c r="D15" s="83">
        <v>0</v>
      </c>
      <c r="F15" s="204"/>
    </row>
    <row r="16" spans="1:6" ht="13.5">
      <c r="A16" s="103" t="s">
        <v>193</v>
      </c>
      <c r="B16" s="83">
        <v>-0.07632870638035151</v>
      </c>
      <c r="C16" s="83" t="s">
        <v>120</v>
      </c>
      <c r="D16" s="83">
        <v>0.02097960432665011</v>
      </c>
      <c r="E16" s="83" t="s">
        <v>136</v>
      </c>
      <c r="F16" s="204"/>
    </row>
    <row r="17" spans="1:6" ht="12">
      <c r="A17" s="204"/>
      <c r="B17" s="205"/>
      <c r="C17" s="204"/>
      <c r="D17" s="205"/>
      <c r="E17" s="204"/>
      <c r="F17" s="204"/>
    </row>
    <row r="18" ht="12"/>
    <row r="19" spans="1:5" ht="12.75" thickBot="1">
      <c r="A19" s="82" t="s">
        <v>163</v>
      </c>
      <c r="D19" s="83" t="s">
        <v>130</v>
      </c>
      <c r="E19" s="83" t="s">
        <v>131</v>
      </c>
    </row>
    <row r="20" spans="1:5" ht="12">
      <c r="A20" s="115" t="s">
        <v>151</v>
      </c>
      <c r="B20" s="100" t="s">
        <v>146</v>
      </c>
      <c r="C20" s="165" t="s">
        <v>120</v>
      </c>
      <c r="D20" s="152">
        <f>0.1967*0.85*0.2725</f>
        <v>0.04556063750000001</v>
      </c>
      <c r="E20" s="166">
        <f>0.2373*1*0.367+0.056*1*0.4</f>
        <v>0.1094891</v>
      </c>
    </row>
    <row r="21" spans="1:5" ht="14.25" thickBot="1">
      <c r="A21" s="170" t="s">
        <v>144</v>
      </c>
      <c r="B21" s="92" t="s">
        <v>147</v>
      </c>
      <c r="C21" s="167" t="s">
        <v>120</v>
      </c>
      <c r="D21" s="171">
        <f>D11/D12</f>
        <v>0.03703166600193285</v>
      </c>
      <c r="E21" s="172">
        <f>B11/B12</f>
        <v>0.1017550306867909</v>
      </c>
    </row>
    <row r="22" spans="1:5" ht="12">
      <c r="A22" s="168"/>
      <c r="B22" s="169"/>
      <c r="C22" s="169"/>
      <c r="D22" s="169" t="s">
        <v>130</v>
      </c>
      <c r="E22" s="112" t="s">
        <v>131</v>
      </c>
    </row>
    <row r="23" spans="1:5" ht="13.5">
      <c r="A23" s="153" t="s">
        <v>141</v>
      </c>
      <c r="B23" s="88" t="s">
        <v>146</v>
      </c>
      <c r="C23" s="88" t="s">
        <v>120</v>
      </c>
      <c r="D23" s="88">
        <v>0</v>
      </c>
      <c r="E23" s="89">
        <v>0.12</v>
      </c>
    </row>
    <row r="24" spans="1:5" ht="13.5">
      <c r="A24" s="153" t="s">
        <v>144</v>
      </c>
      <c r="B24" s="88" t="s">
        <v>148</v>
      </c>
      <c r="C24" s="164" t="s">
        <v>120</v>
      </c>
      <c r="D24" s="88">
        <v>0.02</v>
      </c>
      <c r="E24" s="89">
        <v>0.14</v>
      </c>
    </row>
    <row r="25" spans="1:5" ht="14.25" thickBot="1">
      <c r="A25" s="162" t="s">
        <v>154</v>
      </c>
      <c r="B25" s="92" t="s">
        <v>147</v>
      </c>
      <c r="C25" s="167" t="s">
        <v>120</v>
      </c>
      <c r="D25" s="92">
        <f>D23-E24</f>
        <v>-0.14</v>
      </c>
      <c r="E25" s="93">
        <f>E23-D24</f>
        <v>0.09999999999999999</v>
      </c>
    </row>
    <row r="26" ht="12.75" thickBot="1"/>
    <row r="27" spans="1:9" ht="13.5">
      <c r="A27" s="84" t="s">
        <v>149</v>
      </c>
      <c r="B27" s="100"/>
      <c r="C27" s="266" t="s">
        <v>142</v>
      </c>
      <c r="D27" s="266"/>
      <c r="E27" s="266"/>
      <c r="F27" s="266"/>
      <c r="G27" s="266"/>
      <c r="H27" s="266"/>
      <c r="I27" s="267"/>
    </row>
    <row r="28" spans="1:9" ht="12.75" thickBot="1">
      <c r="A28" s="154" t="s">
        <v>164</v>
      </c>
      <c r="B28" s="92"/>
      <c r="C28" s="92">
        <v>0.02</v>
      </c>
      <c r="D28" s="92">
        <v>0.04</v>
      </c>
      <c r="E28" s="92">
        <v>0.06</v>
      </c>
      <c r="F28" s="92">
        <v>0.08</v>
      </c>
      <c r="G28" s="92">
        <v>0.1</v>
      </c>
      <c r="H28" s="92">
        <v>0.12</v>
      </c>
      <c r="I28" s="93">
        <v>0.14</v>
      </c>
    </row>
    <row r="29" spans="1:9" ht="15">
      <c r="A29" s="175" t="s">
        <v>143</v>
      </c>
      <c r="B29" s="169" t="s">
        <v>130</v>
      </c>
      <c r="C29" s="169">
        <v>0</v>
      </c>
      <c r="D29" s="169">
        <v>0</v>
      </c>
      <c r="E29" s="169">
        <v>0</v>
      </c>
      <c r="F29" s="169">
        <v>0</v>
      </c>
      <c r="G29" s="169">
        <v>0</v>
      </c>
      <c r="H29" s="169">
        <v>0</v>
      </c>
      <c r="I29" s="112">
        <v>0</v>
      </c>
    </row>
    <row r="30" spans="1:9" ht="15">
      <c r="A30" s="173" t="s">
        <v>156</v>
      </c>
      <c r="B30" s="88" t="s">
        <v>131</v>
      </c>
      <c r="C30" s="88">
        <v>0.12</v>
      </c>
      <c r="D30" s="88">
        <v>0.12</v>
      </c>
      <c r="E30" s="88">
        <v>0.12</v>
      </c>
      <c r="F30" s="88">
        <v>0.12</v>
      </c>
      <c r="G30" s="88">
        <v>0.12</v>
      </c>
      <c r="H30" s="88">
        <v>0.12</v>
      </c>
      <c r="I30" s="89">
        <v>0.12</v>
      </c>
    </row>
    <row r="31" spans="1:9" ht="13.5">
      <c r="A31" s="174" t="s">
        <v>165</v>
      </c>
      <c r="B31" s="88" t="s">
        <v>130</v>
      </c>
      <c r="C31" s="88">
        <f>C29-C28</f>
        <v>-0.02</v>
      </c>
      <c r="D31" s="88">
        <f aca="true" t="shared" si="0" ref="D31:I31">D29-D28</f>
        <v>-0.04</v>
      </c>
      <c r="E31" s="88">
        <f t="shared" si="0"/>
        <v>-0.06</v>
      </c>
      <c r="F31" s="88">
        <f t="shared" si="0"/>
        <v>-0.08</v>
      </c>
      <c r="G31" s="88">
        <f t="shared" si="0"/>
        <v>-0.1</v>
      </c>
      <c r="H31" s="88">
        <f t="shared" si="0"/>
        <v>-0.12</v>
      </c>
      <c r="I31" s="89">
        <f t="shared" si="0"/>
        <v>-0.14</v>
      </c>
    </row>
    <row r="32" spans="1:9" ht="14.25" thickBot="1">
      <c r="A32" s="162" t="s">
        <v>165</v>
      </c>
      <c r="B32" s="92" t="s">
        <v>131</v>
      </c>
      <c r="C32" s="92">
        <f>C30-C28</f>
        <v>0.09999999999999999</v>
      </c>
      <c r="D32" s="92">
        <f aca="true" t="shared" si="1" ref="D32:I32">D30-D28</f>
        <v>0.07999999999999999</v>
      </c>
      <c r="E32" s="92">
        <f t="shared" si="1"/>
        <v>0.06</v>
      </c>
      <c r="F32" s="92">
        <f t="shared" si="1"/>
        <v>0.039999999999999994</v>
      </c>
      <c r="G32" s="92">
        <f t="shared" si="1"/>
        <v>0.01999999999999999</v>
      </c>
      <c r="H32" s="92">
        <f t="shared" si="1"/>
        <v>0</v>
      </c>
      <c r="I32" s="93">
        <f t="shared" si="1"/>
        <v>-0.020000000000000018</v>
      </c>
    </row>
    <row r="33" ht="12.75" thickBot="1"/>
    <row r="34" spans="1:4" ht="12">
      <c r="A34" s="84" t="s">
        <v>159</v>
      </c>
      <c r="B34" s="100">
        <v>2014</v>
      </c>
      <c r="C34" s="100" t="s">
        <v>134</v>
      </c>
      <c r="D34" s="86"/>
    </row>
    <row r="35" spans="1:4" ht="13.5">
      <c r="A35" s="153" t="s">
        <v>142</v>
      </c>
      <c r="B35" s="88">
        <f>B11/B12</f>
        <v>0.1017550306867909</v>
      </c>
      <c r="C35" s="88">
        <f>D11/D12</f>
        <v>0.03703166600193285</v>
      </c>
      <c r="D35" s="89" t="s">
        <v>120</v>
      </c>
    </row>
    <row r="36" spans="1:4" ht="15">
      <c r="A36" s="173" t="s">
        <v>143</v>
      </c>
      <c r="B36" s="88">
        <f>B5*B7*B8+B6*B7*B9</f>
        <v>0.06304469257639804</v>
      </c>
      <c r="C36" s="88">
        <f>D5*D7*D8+D6*D7*D9</f>
        <v>0.09562963859854161</v>
      </c>
      <c r="D36" s="89" t="s">
        <v>120</v>
      </c>
    </row>
    <row r="37" spans="1:4" ht="14.25" thickBot="1">
      <c r="A37" s="162" t="s">
        <v>165</v>
      </c>
      <c r="B37" s="171">
        <f>B14</f>
        <v>-0.03871033811039286</v>
      </c>
      <c r="C37" s="171">
        <f>D14</f>
        <v>0.05859797259660876</v>
      </c>
      <c r="D37" s="93" t="s">
        <v>120</v>
      </c>
    </row>
    <row r="38" ht="12"/>
    <row r="39" spans="1:5" ht="12.75" thickBot="1">
      <c r="A39" s="82" t="s">
        <v>150</v>
      </c>
      <c r="D39" s="83" t="s">
        <v>130</v>
      </c>
      <c r="E39" s="83" t="s">
        <v>131</v>
      </c>
    </row>
    <row r="40" spans="1:5" ht="13.5">
      <c r="A40" s="176" t="s">
        <v>155</v>
      </c>
      <c r="B40" s="100"/>
      <c r="C40" s="100" t="s">
        <v>120</v>
      </c>
      <c r="D40" s="100">
        <v>0.0351</v>
      </c>
      <c r="E40" s="86">
        <v>0.0644</v>
      </c>
    </row>
    <row r="41" spans="1:5" ht="12">
      <c r="A41" s="153" t="s">
        <v>152</v>
      </c>
      <c r="B41" s="88" t="s">
        <v>146</v>
      </c>
      <c r="C41" s="164" t="s">
        <v>120</v>
      </c>
      <c r="D41" s="151">
        <f>0.1967*0.85*0.2725-E40</f>
        <v>-0.01883936249999999</v>
      </c>
      <c r="E41" s="120">
        <f>0.2373*1*0.367+0.056*1*0.4-D40</f>
        <v>0.07438910000000001</v>
      </c>
    </row>
    <row r="42" spans="1:5" ht="14.25" thickBot="1">
      <c r="A42" s="170" t="s">
        <v>144</v>
      </c>
      <c r="B42" s="92" t="s">
        <v>147</v>
      </c>
      <c r="C42" s="167" t="s">
        <v>120</v>
      </c>
      <c r="D42" s="171">
        <f>D11/D12</f>
        <v>0.03703166600193285</v>
      </c>
      <c r="E42" s="172">
        <f>B11/B12</f>
        <v>0.1017550306867909</v>
      </c>
    </row>
    <row r="43" spans="1:5" ht="12">
      <c r="A43" s="115"/>
      <c r="B43" s="100"/>
      <c r="C43" s="100"/>
      <c r="D43" s="100" t="s">
        <v>130</v>
      </c>
      <c r="E43" s="86" t="s">
        <v>131</v>
      </c>
    </row>
    <row r="44" spans="1:5" ht="13.5">
      <c r="A44" s="153" t="s">
        <v>153</v>
      </c>
      <c r="B44" s="88" t="s">
        <v>146</v>
      </c>
      <c r="C44" s="88" t="s">
        <v>120</v>
      </c>
      <c r="D44" s="88">
        <v>-0.04</v>
      </c>
      <c r="E44" s="89">
        <v>0.08</v>
      </c>
    </row>
    <row r="45" spans="1:5" ht="13.5">
      <c r="A45" s="153" t="s">
        <v>144</v>
      </c>
      <c r="B45" s="88" t="s">
        <v>148</v>
      </c>
      <c r="C45" s="164" t="s">
        <v>120</v>
      </c>
      <c r="D45" s="88">
        <v>0.02</v>
      </c>
      <c r="E45" s="89">
        <v>0.14</v>
      </c>
    </row>
    <row r="46" spans="1:5" ht="14.25" thickBot="1">
      <c r="A46" s="177" t="s">
        <v>160</v>
      </c>
      <c r="B46" s="92" t="s">
        <v>147</v>
      </c>
      <c r="C46" s="167" t="s">
        <v>120</v>
      </c>
      <c r="D46" s="92">
        <f>D44-E45</f>
        <v>-0.18000000000000002</v>
      </c>
      <c r="E46" s="93">
        <f>E44-D45</f>
        <v>0.06</v>
      </c>
    </row>
    <row r="47" ht="12.75" thickBot="1"/>
    <row r="48" spans="1:9" ht="13.5">
      <c r="A48" s="84" t="s">
        <v>149</v>
      </c>
      <c r="B48" s="100"/>
      <c r="C48" s="266" t="s">
        <v>142</v>
      </c>
      <c r="D48" s="266"/>
      <c r="E48" s="266"/>
      <c r="F48" s="266"/>
      <c r="G48" s="266"/>
      <c r="H48" s="266"/>
      <c r="I48" s="267"/>
    </row>
    <row r="49" spans="1:9" ht="12.75" thickBot="1">
      <c r="A49" s="154" t="s">
        <v>162</v>
      </c>
      <c r="B49" s="92"/>
      <c r="C49" s="92">
        <v>0.02</v>
      </c>
      <c r="D49" s="92">
        <v>0.04</v>
      </c>
      <c r="E49" s="92">
        <v>0.06</v>
      </c>
      <c r="F49" s="92">
        <v>0.08</v>
      </c>
      <c r="G49" s="92">
        <v>0.1</v>
      </c>
      <c r="H49" s="92">
        <v>0.12</v>
      </c>
      <c r="I49" s="93">
        <v>0.14</v>
      </c>
    </row>
    <row r="50" spans="1:9" ht="15">
      <c r="A50" s="175" t="s">
        <v>157</v>
      </c>
      <c r="B50" s="169" t="s">
        <v>130</v>
      </c>
      <c r="C50" s="169">
        <v>-0.04</v>
      </c>
      <c r="D50" s="169">
        <v>-0.04</v>
      </c>
      <c r="E50" s="169">
        <v>-0.04</v>
      </c>
      <c r="F50" s="169">
        <v>-0.04</v>
      </c>
      <c r="G50" s="169">
        <v>-0.04</v>
      </c>
      <c r="H50" s="169">
        <v>-0.04</v>
      </c>
      <c r="I50" s="112">
        <v>-0.04</v>
      </c>
    </row>
    <row r="51" spans="1:9" ht="15">
      <c r="A51" s="175" t="s">
        <v>157</v>
      </c>
      <c r="B51" s="88" t="s">
        <v>131</v>
      </c>
      <c r="C51" s="88">
        <v>0.08</v>
      </c>
      <c r="D51" s="88">
        <v>0.08</v>
      </c>
      <c r="E51" s="88">
        <v>0.08</v>
      </c>
      <c r="F51" s="88">
        <v>0.08</v>
      </c>
      <c r="G51" s="88">
        <v>0.08</v>
      </c>
      <c r="H51" s="88">
        <v>0.08</v>
      </c>
      <c r="I51" s="89">
        <v>0.08</v>
      </c>
    </row>
    <row r="52" spans="1:9" ht="13.5">
      <c r="A52" s="174" t="s">
        <v>158</v>
      </c>
      <c r="B52" s="88" t="s">
        <v>130</v>
      </c>
      <c r="C52" s="88">
        <f>C50-C49</f>
        <v>-0.06</v>
      </c>
      <c r="D52" s="88">
        <f aca="true" t="shared" si="2" ref="D52:I52">D50-D49</f>
        <v>-0.08</v>
      </c>
      <c r="E52" s="88">
        <f t="shared" si="2"/>
        <v>-0.1</v>
      </c>
      <c r="F52" s="88">
        <f t="shared" si="2"/>
        <v>-0.12</v>
      </c>
      <c r="G52" s="88">
        <f t="shared" si="2"/>
        <v>-0.14</v>
      </c>
      <c r="H52" s="88">
        <f t="shared" si="2"/>
        <v>-0.16</v>
      </c>
      <c r="I52" s="89">
        <f t="shared" si="2"/>
        <v>-0.18000000000000002</v>
      </c>
    </row>
    <row r="53" spans="1:9" ht="14.25" thickBot="1">
      <c r="A53" s="162" t="s">
        <v>158</v>
      </c>
      <c r="B53" s="92" t="s">
        <v>131</v>
      </c>
      <c r="C53" s="92">
        <f>C51-C49</f>
        <v>0.06</v>
      </c>
      <c r="D53" s="92">
        <f aca="true" t="shared" si="3" ref="D53:I53">D51-D49</f>
        <v>0.04</v>
      </c>
      <c r="E53" s="92">
        <f t="shared" si="3"/>
        <v>0.020000000000000004</v>
      </c>
      <c r="F53" s="92">
        <f t="shared" si="3"/>
        <v>0</v>
      </c>
      <c r="G53" s="92">
        <f t="shared" si="3"/>
        <v>-0.020000000000000004</v>
      </c>
      <c r="H53" s="92">
        <f t="shared" si="3"/>
        <v>-0.039999999999999994</v>
      </c>
      <c r="I53" s="93">
        <f t="shared" si="3"/>
        <v>-0.06000000000000001</v>
      </c>
    </row>
    <row r="54" ht="12.75" thickBot="1"/>
    <row r="55" spans="1:4" ht="12">
      <c r="A55" s="84" t="s">
        <v>159</v>
      </c>
      <c r="B55" s="100">
        <v>2014</v>
      </c>
      <c r="C55" s="100" t="s">
        <v>134</v>
      </c>
      <c r="D55" s="86"/>
    </row>
    <row r="56" spans="1:5" ht="13.5">
      <c r="A56" s="178" t="s">
        <v>161</v>
      </c>
      <c r="B56" s="169">
        <v>0.0376</v>
      </c>
      <c r="C56" s="169">
        <f>B56*1.06</f>
        <v>0.039856</v>
      </c>
      <c r="D56" s="112" t="s">
        <v>120</v>
      </c>
      <c r="E56" s="83" t="s">
        <v>224</v>
      </c>
    </row>
    <row r="57" spans="1:4" ht="13.5">
      <c r="A57" s="153" t="s">
        <v>142</v>
      </c>
      <c r="B57" s="88">
        <f>B11/B12</f>
        <v>0.1017550306867909</v>
      </c>
      <c r="C57" s="88">
        <f>D11/D12</f>
        <v>0.03703166600193285</v>
      </c>
      <c r="D57" s="89" t="s">
        <v>120</v>
      </c>
    </row>
    <row r="58" spans="1:4" ht="15">
      <c r="A58" s="173" t="s">
        <v>157</v>
      </c>
      <c r="B58" s="88">
        <f>B5*B7*B8+B6*B7*B9-B56</f>
        <v>0.02544469257639804</v>
      </c>
      <c r="C58" s="88">
        <f>D5*D7*D8+D6*D7*D95-C56</f>
        <v>0.047376197500806766</v>
      </c>
      <c r="D58" s="89" t="s">
        <v>120</v>
      </c>
    </row>
    <row r="59" spans="1:4" ht="14.25" thickBot="1">
      <c r="A59" s="162" t="s">
        <v>158</v>
      </c>
      <c r="B59" s="171">
        <f>B58-B57</f>
        <v>-0.07631033811039287</v>
      </c>
      <c r="C59" s="171">
        <f>C58-C57</f>
        <v>0.010344531498873918</v>
      </c>
      <c r="D59" s="93" t="s">
        <v>120</v>
      </c>
    </row>
  </sheetData>
  <mergeCells count="2">
    <mergeCell ref="C27:I27"/>
    <mergeCell ref="C48:I48"/>
  </mergeCells>
  <printOptions/>
  <pageMargins left="0.75" right="0.75" top="1" bottom="1" header="0.4921259845" footer="0.4921259845"/>
  <pageSetup orientation="portrait" paperSize="9" r:id="rId6"/>
  <drawing r:id="rId5"/>
  <legacyDrawing r:id="rId4"/>
  <oleObjects>
    <oleObject progId="Equation.DSMT4" shapeId="383574" r:id="rId2"/>
    <oleObject progId="Equation.DSMT4" shapeId="337346" r:id="rId3"/>
  </oleObjects>
</worksheet>
</file>

<file path=xl/worksheets/sheet3.xml><?xml version="1.0" encoding="utf-8"?>
<worksheet xmlns="http://schemas.openxmlformats.org/spreadsheetml/2006/main" xmlns:r="http://schemas.openxmlformats.org/officeDocument/2006/relationships">
  <dimension ref="A1:E23"/>
  <sheetViews>
    <sheetView workbookViewId="0" topLeftCell="A1">
      <selection activeCell="C23" sqref="C23"/>
    </sheetView>
  </sheetViews>
  <sheetFormatPr defaultColWidth="11.421875" defaultRowHeight="12.75"/>
  <cols>
    <col min="1" max="1" width="52.7109375" style="25" customWidth="1"/>
    <col min="2" max="4" width="11.421875" style="25" customWidth="1"/>
    <col min="5" max="5" width="13.140625" style="25" customWidth="1"/>
    <col min="6" max="16384" width="11.421875" style="25" customWidth="1"/>
  </cols>
  <sheetData>
    <row r="1" ht="13.5" thickBot="1">
      <c r="A1" s="2" t="s">
        <v>16</v>
      </c>
    </row>
    <row r="2" spans="1:5" ht="12.75">
      <c r="A2" s="26" t="s">
        <v>2</v>
      </c>
      <c r="B2" s="16" t="s">
        <v>3</v>
      </c>
      <c r="C2" s="16"/>
      <c r="D2" s="16" t="s">
        <v>12</v>
      </c>
      <c r="E2" s="27" t="s">
        <v>70</v>
      </c>
    </row>
    <row r="3" spans="1:5" ht="12.75">
      <c r="A3" s="28"/>
      <c r="B3" s="29" t="s">
        <v>9</v>
      </c>
      <c r="C3" s="29" t="s">
        <v>10</v>
      </c>
      <c r="D3" s="29" t="s">
        <v>13</v>
      </c>
      <c r="E3" s="30" t="s">
        <v>12</v>
      </c>
    </row>
    <row r="4" spans="1:5" ht="12.75">
      <c r="A4" s="31" t="s">
        <v>1</v>
      </c>
      <c r="B4" s="32">
        <v>409943</v>
      </c>
      <c r="C4" s="33">
        <v>18855</v>
      </c>
      <c r="D4" s="34">
        <f aca="true" t="shared" si="0" ref="D4:D9">C4/B4</f>
        <v>0.04599419919354642</v>
      </c>
      <c r="E4" s="35">
        <f aca="true" t="shared" si="1" ref="E4:E9">B4/B$10</f>
        <v>0.22400975288288727</v>
      </c>
    </row>
    <row r="5" spans="1:5" ht="12.75">
      <c r="A5" s="31" t="s">
        <v>4</v>
      </c>
      <c r="B5" s="32">
        <v>55255</v>
      </c>
      <c r="C5" s="32">
        <v>3039</v>
      </c>
      <c r="D5" s="34">
        <f t="shared" si="0"/>
        <v>0.054999547552257715</v>
      </c>
      <c r="E5" s="35">
        <f t="shared" si="1"/>
        <v>0.03019360958851337</v>
      </c>
    </row>
    <row r="6" spans="1:5" ht="12.75">
      <c r="A6" s="31" t="s">
        <v>5</v>
      </c>
      <c r="B6" s="32">
        <v>71034</v>
      </c>
      <c r="C6" s="32">
        <v>3907</v>
      </c>
      <c r="D6" s="34">
        <f t="shared" si="0"/>
        <v>0.055001830109525016</v>
      </c>
      <c r="E6" s="35">
        <f t="shared" si="1"/>
        <v>0.03881590559244338</v>
      </c>
    </row>
    <row r="7" spans="1:5" ht="12.75">
      <c r="A7" s="31" t="s">
        <v>6</v>
      </c>
      <c r="B7" s="32">
        <v>33018</v>
      </c>
      <c r="C7" s="32">
        <v>1816</v>
      </c>
      <c r="D7" s="34">
        <f t="shared" si="0"/>
        <v>0.055000302865103885</v>
      </c>
      <c r="E7" s="35">
        <f t="shared" si="1"/>
        <v>0.018042396188463206</v>
      </c>
    </row>
    <row r="8" spans="1:5" ht="12.75">
      <c r="A8" s="31" t="s">
        <v>7</v>
      </c>
      <c r="B8" s="32">
        <v>845940</v>
      </c>
      <c r="C8" s="32">
        <v>46527</v>
      </c>
      <c r="D8" s="34">
        <f t="shared" si="0"/>
        <v>0.0550003546350805</v>
      </c>
      <c r="E8" s="35">
        <f t="shared" si="1"/>
        <v>0.46225648530100444</v>
      </c>
    </row>
    <row r="9" spans="1:5" ht="13.5" thickBot="1">
      <c r="A9" s="36" t="s">
        <v>8</v>
      </c>
      <c r="B9" s="37">
        <v>414833</v>
      </c>
      <c r="C9" s="37">
        <v>22816</v>
      </c>
      <c r="D9" s="34">
        <f t="shared" si="0"/>
        <v>0.055000445962592175</v>
      </c>
      <c r="E9" s="35">
        <f t="shared" si="1"/>
        <v>0.22668185044668837</v>
      </c>
    </row>
    <row r="10" spans="1:5" ht="13.5" thickBot="1">
      <c r="A10" s="38" t="s">
        <v>11</v>
      </c>
      <c r="B10" s="39">
        <f>SUM(B4:B9)</f>
        <v>1830023</v>
      </c>
      <c r="C10" s="40">
        <f>SUM(C4:C9)</f>
        <v>96960</v>
      </c>
      <c r="D10" s="41"/>
      <c r="E10" s="42">
        <f>SUM(E4:E9)</f>
        <v>1</v>
      </c>
    </row>
    <row r="11" spans="1:4" ht="12.75">
      <c r="A11" s="43" t="s">
        <v>139</v>
      </c>
      <c r="B11" s="16"/>
      <c r="C11" s="16"/>
      <c r="D11" s="44">
        <f>D4*E4+D5*E5+D6*E6+D7*E7+D8*E8+D9*E9</f>
        <v>0.052982940651565585</v>
      </c>
    </row>
    <row r="12" spans="1:4" ht="12.75">
      <c r="A12" s="31" t="s">
        <v>14</v>
      </c>
      <c r="B12" s="29"/>
      <c r="C12" s="29"/>
      <c r="D12" s="30">
        <v>0.003</v>
      </c>
    </row>
    <row r="13" spans="1:4" ht="13.5" thickBot="1">
      <c r="A13" s="45" t="s">
        <v>15</v>
      </c>
      <c r="B13" s="46"/>
      <c r="C13" s="46"/>
      <c r="D13" s="47">
        <f>SUM(D11:D12)</f>
        <v>0.05598294065156559</v>
      </c>
    </row>
    <row r="16" ht="13.5" thickBot="1">
      <c r="A16" s="2" t="s">
        <v>17</v>
      </c>
    </row>
    <row r="17" spans="1:4" ht="12.75">
      <c r="A17" s="6"/>
      <c r="B17" s="16" t="s">
        <v>26</v>
      </c>
      <c r="C17" s="16"/>
      <c r="D17" s="27" t="s">
        <v>18</v>
      </c>
    </row>
    <row r="18" spans="1:4" ht="13.5" thickBot="1">
      <c r="A18" s="48"/>
      <c r="B18" s="49" t="s">
        <v>9</v>
      </c>
      <c r="C18" s="49" t="s">
        <v>10</v>
      </c>
      <c r="D18" s="50" t="s">
        <v>13</v>
      </c>
    </row>
    <row r="19" spans="1:4" ht="13.5" thickBot="1">
      <c r="A19" s="51" t="s">
        <v>22</v>
      </c>
      <c r="B19" s="52">
        <v>4626533</v>
      </c>
      <c r="C19" s="52">
        <v>1097736</v>
      </c>
      <c r="D19" s="23">
        <f>C19/B19</f>
        <v>0.23726967904476204</v>
      </c>
    </row>
    <row r="20" ht="13.5" thickBot="1"/>
    <row r="21" spans="1:3" ht="13.5" thickBot="1">
      <c r="A21" s="12" t="s">
        <v>21</v>
      </c>
      <c r="B21" s="53">
        <f>SUM(B10,B19)</f>
        <v>6456556</v>
      </c>
      <c r="C21" s="54">
        <f>SUM(C10,C19)</f>
        <v>1194696</v>
      </c>
    </row>
    <row r="23" ht="12.75">
      <c r="C23" s="210"/>
    </row>
  </sheetData>
  <printOptions/>
  <pageMargins left="0.75" right="0.75" top="1" bottom="1" header="0.4921259845" footer="0.4921259845"/>
  <pageSetup orientation="portrait" paperSize="9" r:id="rId1"/>
</worksheet>
</file>

<file path=xl/worksheets/sheet4.xml><?xml version="1.0" encoding="utf-8"?>
<worksheet xmlns="http://schemas.openxmlformats.org/spreadsheetml/2006/main" xmlns:r="http://schemas.openxmlformats.org/officeDocument/2006/relationships">
  <dimension ref="A1:M52"/>
  <sheetViews>
    <sheetView workbookViewId="0" topLeftCell="A7">
      <selection activeCell="A39" sqref="A39"/>
    </sheetView>
  </sheetViews>
  <sheetFormatPr defaultColWidth="11.421875" defaultRowHeight="12.75"/>
  <cols>
    <col min="1" max="1" width="66.57421875" style="83" customWidth="1"/>
    <col min="2" max="12" width="9.00390625" style="83" customWidth="1"/>
    <col min="13" max="13" width="7.00390625" style="83" customWidth="1"/>
    <col min="14" max="16384" width="11.421875" style="83" customWidth="1"/>
  </cols>
  <sheetData>
    <row r="1" ht="14.25" thickBot="1">
      <c r="A1" s="82" t="s">
        <v>105</v>
      </c>
    </row>
    <row r="2" spans="1:6" ht="13.5">
      <c r="A2" s="84" t="s">
        <v>106</v>
      </c>
      <c r="B2" s="266"/>
      <c r="C2" s="266"/>
      <c r="D2" s="85" t="s">
        <v>107</v>
      </c>
      <c r="E2" s="85" t="s">
        <v>108</v>
      </c>
      <c r="F2" s="86" t="s">
        <v>109</v>
      </c>
    </row>
    <row r="3" spans="1:6" ht="13.5">
      <c r="A3" s="87" t="s">
        <v>110</v>
      </c>
      <c r="B3" s="88">
        <v>370</v>
      </c>
      <c r="C3" s="88" t="s">
        <v>111</v>
      </c>
      <c r="D3" s="88">
        <v>38.8</v>
      </c>
      <c r="E3" s="88">
        <v>45.2</v>
      </c>
      <c r="F3" s="89">
        <f>SUM(D3:E3)</f>
        <v>84</v>
      </c>
    </row>
    <row r="4" spans="1:6" ht="13.5">
      <c r="A4" s="87" t="s">
        <v>112</v>
      </c>
      <c r="B4" s="88">
        <v>190</v>
      </c>
      <c r="C4" s="88" t="s">
        <v>111</v>
      </c>
      <c r="D4" s="88">
        <v>38.7</v>
      </c>
      <c r="E4" s="88">
        <v>44.4</v>
      </c>
      <c r="F4" s="89">
        <f>SUM(D4:E4)</f>
        <v>83.1</v>
      </c>
    </row>
    <row r="5" spans="1:6" ht="14.25" thickBot="1">
      <c r="A5" s="90" t="s">
        <v>113</v>
      </c>
      <c r="B5" s="91">
        <v>190</v>
      </c>
      <c r="C5" s="91" t="s">
        <v>111</v>
      </c>
      <c r="D5" s="92">
        <v>38.7</v>
      </c>
      <c r="E5" s="92">
        <v>44.4</v>
      </c>
      <c r="F5" s="93">
        <f>SUM(D5:E5)</f>
        <v>83.1</v>
      </c>
    </row>
    <row r="6" spans="1:3" ht="12.75" thickBot="1">
      <c r="A6" s="94" t="s">
        <v>0</v>
      </c>
      <c r="B6" s="95">
        <f>SUM(B3:B5)</f>
        <v>750</v>
      </c>
      <c r="C6" s="96" t="s">
        <v>23</v>
      </c>
    </row>
    <row r="7" spans="1:3" ht="12">
      <c r="A7" s="97"/>
      <c r="B7" s="98"/>
      <c r="C7" s="98"/>
    </row>
    <row r="8" spans="1:3" ht="14.25" thickBot="1">
      <c r="A8" s="97" t="s">
        <v>114</v>
      </c>
      <c r="B8" s="98"/>
      <c r="C8" s="98"/>
    </row>
    <row r="9" spans="1:3" ht="12">
      <c r="A9" s="99" t="s">
        <v>28</v>
      </c>
      <c r="B9" s="100">
        <f>24*365</f>
        <v>8760</v>
      </c>
      <c r="C9" s="86" t="s">
        <v>27</v>
      </c>
    </row>
    <row r="10" spans="1:3" ht="12">
      <c r="A10" s="87" t="s">
        <v>29</v>
      </c>
      <c r="B10" s="88">
        <f>B6*B9</f>
        <v>6570000</v>
      </c>
      <c r="C10" s="89" t="s">
        <v>25</v>
      </c>
    </row>
    <row r="11" spans="1:3" ht="12.75" thickBot="1">
      <c r="A11" s="87" t="s">
        <v>24</v>
      </c>
      <c r="B11" s="101">
        <f>'mittlerer erzielte Energiepreis'!B19</f>
        <v>4626533</v>
      </c>
      <c r="C11" s="89" t="s">
        <v>25</v>
      </c>
    </row>
    <row r="12" spans="1:3" ht="12.75" thickBot="1">
      <c r="A12" s="188" t="s">
        <v>212</v>
      </c>
      <c r="B12" s="189">
        <f>B11/B10</f>
        <v>0.7041907153729071</v>
      </c>
      <c r="C12" s="109"/>
    </row>
    <row r="13" spans="1:4" ht="15">
      <c r="A13" s="102" t="s">
        <v>169</v>
      </c>
      <c r="B13" s="101">
        <f>B11*100/D5</f>
        <v>11954865.633074934</v>
      </c>
      <c r="C13" s="89" t="s">
        <v>25</v>
      </c>
      <c r="D13" s="103" t="s">
        <v>71</v>
      </c>
    </row>
    <row r="14" spans="1:3" ht="15.75" thickBot="1">
      <c r="A14" s="104" t="s">
        <v>170</v>
      </c>
      <c r="B14" s="105">
        <f>B13/B12</f>
        <v>16976744.18604651</v>
      </c>
      <c r="C14" s="106" t="s">
        <v>25</v>
      </c>
    </row>
    <row r="15" spans="1:3" ht="14.25" thickBot="1">
      <c r="A15" s="107" t="s">
        <v>174</v>
      </c>
      <c r="B15" s="108">
        <f>B11/B14</f>
        <v>0.2725218068493151</v>
      </c>
      <c r="C15" s="109"/>
    </row>
    <row r="16" spans="1:3" ht="13.5">
      <c r="A16" s="110" t="s">
        <v>171</v>
      </c>
      <c r="B16" s="111">
        <f>B13*E5/100</f>
        <v>5307960.341085271</v>
      </c>
      <c r="C16" s="112" t="s">
        <v>25</v>
      </c>
    </row>
    <row r="17" spans="1:3" ht="13.5">
      <c r="A17" s="87" t="s">
        <v>172</v>
      </c>
      <c r="B17" s="101">
        <f>B16/B12</f>
        <v>7537674.4186046515</v>
      </c>
      <c r="C17" s="89" t="s">
        <v>25</v>
      </c>
    </row>
    <row r="18" spans="1:3" ht="12.75" thickBot="1">
      <c r="A18" s="113" t="s">
        <v>30</v>
      </c>
      <c r="B18" s="105">
        <f>'mittlerer erzielte Energiepreis'!B10</f>
        <v>1830023</v>
      </c>
      <c r="C18" s="106" t="s">
        <v>25</v>
      </c>
    </row>
    <row r="19" spans="1:3" ht="14.25" thickBot="1">
      <c r="A19" s="107" t="s">
        <v>173</v>
      </c>
      <c r="B19" s="108">
        <f>B18/B14</f>
        <v>0.10779587534246576</v>
      </c>
      <c r="C19" s="109"/>
    </row>
    <row r="20" spans="3:5" ht="12">
      <c r="C20" s="114"/>
      <c r="D20" s="114"/>
      <c r="E20" s="114"/>
    </row>
    <row r="21" ht="14.25" thickBot="1">
      <c r="A21" s="97" t="s">
        <v>115</v>
      </c>
    </row>
    <row r="22" spans="1:12" ht="50.25" customHeight="1">
      <c r="A22" s="115"/>
      <c r="B22" s="17" t="s">
        <v>57</v>
      </c>
      <c r="C22" s="17" t="s">
        <v>58</v>
      </c>
      <c r="D22" s="17" t="s">
        <v>59</v>
      </c>
      <c r="E22" s="24" t="s">
        <v>61</v>
      </c>
      <c r="F22" s="18" t="s">
        <v>62</v>
      </c>
      <c r="G22" s="19" t="s">
        <v>60</v>
      </c>
      <c r="H22" s="19" t="s">
        <v>63</v>
      </c>
      <c r="I22" s="18" t="s">
        <v>66</v>
      </c>
      <c r="J22" s="18" t="s">
        <v>67</v>
      </c>
      <c r="K22" s="18" t="s">
        <v>64</v>
      </c>
      <c r="L22" s="20" t="s">
        <v>65</v>
      </c>
    </row>
    <row r="23" spans="1:12" ht="12">
      <c r="A23" s="116" t="s">
        <v>31</v>
      </c>
      <c r="B23" s="117">
        <v>5391</v>
      </c>
      <c r="C23" s="117">
        <v>38.08541256955467</v>
      </c>
      <c r="D23" s="101">
        <v>206134.42680000002</v>
      </c>
      <c r="E23" s="118">
        <v>216.1</v>
      </c>
      <c r="F23" s="119">
        <v>52</v>
      </c>
      <c r="G23" s="101">
        <f>E23*F23/100</f>
        <v>112.37199999999999</v>
      </c>
      <c r="H23" s="101">
        <f>B23*G23</f>
        <v>605797.4519999999</v>
      </c>
      <c r="I23" s="88">
        <f>35.89*0.27</f>
        <v>9.6903</v>
      </c>
      <c r="J23" s="101">
        <f>H23*I23</f>
        <v>5870359.0491156</v>
      </c>
      <c r="K23" s="101">
        <f aca="true" t="shared" si="0" ref="K23:K28">J23/B23</f>
        <v>1088.9183916</v>
      </c>
      <c r="L23" s="120">
        <f aca="true" t="shared" si="1" ref="L23:L28">D23/J23</f>
        <v>0.03511444957205049</v>
      </c>
    </row>
    <row r="24" spans="1:12" ht="12">
      <c r="A24" s="116" t="s">
        <v>32</v>
      </c>
      <c r="B24" s="117">
        <v>1832</v>
      </c>
      <c r="C24" s="117">
        <v>29.183816964285725</v>
      </c>
      <c r="D24" s="101">
        <v>53471.75</v>
      </c>
      <c r="E24" s="118">
        <v>156.2</v>
      </c>
      <c r="F24" s="119">
        <v>62</v>
      </c>
      <c r="G24" s="101">
        <f aca="true" t="shared" si="2" ref="G24:G30">E24*F24/100</f>
        <v>96.844</v>
      </c>
      <c r="H24" s="101">
        <f aca="true" t="shared" si="3" ref="H24:H30">B24*G24</f>
        <v>177418.20799999998</v>
      </c>
      <c r="I24" s="88">
        <f aca="true" t="shared" si="4" ref="I24:I30">35.89*0.27</f>
        <v>9.6903</v>
      </c>
      <c r="J24" s="101">
        <f aca="true" t="shared" si="5" ref="J24:J30">H24*I24</f>
        <v>1719235.6609824</v>
      </c>
      <c r="K24" s="101">
        <f t="shared" si="0"/>
        <v>938.4474131999999</v>
      </c>
      <c r="L24" s="120">
        <f t="shared" si="1"/>
        <v>0.031102047970227274</v>
      </c>
    </row>
    <row r="25" spans="1:13" ht="12">
      <c r="A25" s="116" t="s">
        <v>33</v>
      </c>
      <c r="B25" s="117">
        <v>231.3</v>
      </c>
      <c r="C25" s="117">
        <v>200</v>
      </c>
      <c r="D25" s="101">
        <v>46260</v>
      </c>
      <c r="E25" s="118">
        <v>616</v>
      </c>
      <c r="F25" s="119">
        <v>52</v>
      </c>
      <c r="G25" s="101">
        <f t="shared" si="2"/>
        <v>320.32</v>
      </c>
      <c r="H25" s="101">
        <f t="shared" si="3"/>
        <v>74090.016</v>
      </c>
      <c r="I25" s="88">
        <f t="shared" si="4"/>
        <v>9.6903</v>
      </c>
      <c r="J25" s="101">
        <f t="shared" si="5"/>
        <v>717954.4820448001</v>
      </c>
      <c r="K25" s="101">
        <f t="shared" si="0"/>
        <v>3103.996896</v>
      </c>
      <c r="L25" s="150">
        <f t="shared" si="1"/>
        <v>0.06443305412377577</v>
      </c>
      <c r="M25" s="155" t="s">
        <v>132</v>
      </c>
    </row>
    <row r="26" spans="1:13" ht="12">
      <c r="A26" s="116" t="s">
        <v>34</v>
      </c>
      <c r="B26" s="117">
        <v>2509.84</v>
      </c>
      <c r="C26" s="117">
        <v>39</v>
      </c>
      <c r="D26" s="101">
        <v>97883.76</v>
      </c>
      <c r="E26" s="118">
        <v>148.1</v>
      </c>
      <c r="F26" s="119">
        <v>51</v>
      </c>
      <c r="G26" s="101">
        <f t="shared" si="2"/>
        <v>75.53099999999999</v>
      </c>
      <c r="H26" s="101">
        <f t="shared" si="3"/>
        <v>189570.72504</v>
      </c>
      <c r="I26" s="88">
        <f t="shared" si="4"/>
        <v>9.6903</v>
      </c>
      <c r="J26" s="101">
        <f t="shared" si="5"/>
        <v>1836997.196855112</v>
      </c>
      <c r="K26" s="101">
        <f t="shared" si="0"/>
        <v>731.9180492999999</v>
      </c>
      <c r="L26" s="150">
        <f t="shared" si="1"/>
        <v>0.053284653981821126</v>
      </c>
      <c r="M26" s="155" t="s">
        <v>132</v>
      </c>
    </row>
    <row r="27" spans="1:12" ht="12">
      <c r="A27" s="116" t="s">
        <v>51</v>
      </c>
      <c r="B27" s="117">
        <v>6113</v>
      </c>
      <c r="C27" s="117">
        <v>15</v>
      </c>
      <c r="D27" s="101">
        <v>91695</v>
      </c>
      <c r="E27" s="118">
        <v>95.6</v>
      </c>
      <c r="F27" s="119">
        <v>55</v>
      </c>
      <c r="G27" s="101">
        <f t="shared" si="2"/>
        <v>52.58</v>
      </c>
      <c r="H27" s="101">
        <f t="shared" si="3"/>
        <v>321421.54</v>
      </c>
      <c r="I27" s="88">
        <f t="shared" si="4"/>
        <v>9.6903</v>
      </c>
      <c r="J27" s="101">
        <f t="shared" si="5"/>
        <v>3114671.149062</v>
      </c>
      <c r="K27" s="101">
        <f t="shared" si="0"/>
        <v>509.515974</v>
      </c>
      <c r="L27" s="120">
        <f t="shared" si="1"/>
        <v>0.029439705064084994</v>
      </c>
    </row>
    <row r="28" spans="1:13" ht="12">
      <c r="A28" s="116" t="s">
        <v>52</v>
      </c>
      <c r="B28" s="117">
        <v>47.2</v>
      </c>
      <c r="C28" s="117">
        <v>187.64</v>
      </c>
      <c r="D28" s="101">
        <v>8856.608</v>
      </c>
      <c r="E28" s="118">
        <v>616</v>
      </c>
      <c r="F28" s="119">
        <v>52</v>
      </c>
      <c r="G28" s="101">
        <f t="shared" si="2"/>
        <v>320.32</v>
      </c>
      <c r="H28" s="101">
        <f t="shared" si="3"/>
        <v>15119.104000000001</v>
      </c>
      <c r="I28" s="88">
        <f t="shared" si="4"/>
        <v>9.6903</v>
      </c>
      <c r="J28" s="101">
        <f t="shared" si="5"/>
        <v>146508.6534912</v>
      </c>
      <c r="K28" s="101">
        <f t="shared" si="0"/>
        <v>3103.996896</v>
      </c>
      <c r="L28" s="150">
        <f t="shared" si="1"/>
        <v>0.06045109137892643</v>
      </c>
      <c r="M28" s="155" t="s">
        <v>132</v>
      </c>
    </row>
    <row r="29" spans="1:12" ht="12">
      <c r="A29" s="116" t="s">
        <v>53</v>
      </c>
      <c r="B29" s="117">
        <v>0</v>
      </c>
      <c r="C29" s="117">
        <v>0</v>
      </c>
      <c r="D29" s="101">
        <v>0</v>
      </c>
      <c r="E29" s="118">
        <v>150</v>
      </c>
      <c r="F29" s="119">
        <v>55</v>
      </c>
      <c r="G29" s="101">
        <f t="shared" si="2"/>
        <v>82.5</v>
      </c>
      <c r="H29" s="101">
        <f t="shared" si="3"/>
        <v>0</v>
      </c>
      <c r="I29" s="88">
        <f t="shared" si="4"/>
        <v>9.6903</v>
      </c>
      <c r="J29" s="101">
        <f t="shared" si="5"/>
        <v>0</v>
      </c>
      <c r="K29" s="101"/>
      <c r="L29" s="120"/>
    </row>
    <row r="30" spans="1:12" ht="12.75" thickBot="1">
      <c r="A30" s="121" t="s">
        <v>54</v>
      </c>
      <c r="B30" s="122">
        <v>0</v>
      </c>
      <c r="C30" s="122">
        <v>0</v>
      </c>
      <c r="D30" s="105">
        <v>0</v>
      </c>
      <c r="E30" s="123">
        <v>150</v>
      </c>
      <c r="F30" s="124">
        <v>55</v>
      </c>
      <c r="G30" s="105">
        <f t="shared" si="2"/>
        <v>82.5</v>
      </c>
      <c r="H30" s="105">
        <f t="shared" si="3"/>
        <v>0</v>
      </c>
      <c r="I30" s="91">
        <f t="shared" si="4"/>
        <v>9.6903</v>
      </c>
      <c r="J30" s="105">
        <f t="shared" si="5"/>
        <v>0</v>
      </c>
      <c r="K30" s="105"/>
      <c r="L30" s="125"/>
    </row>
    <row r="31" spans="1:12" ht="12.75" thickBot="1">
      <c r="A31" s="126" t="s">
        <v>0</v>
      </c>
      <c r="B31" s="127">
        <f>SUM(B23:B30)</f>
        <v>16124.34</v>
      </c>
      <c r="C31" s="128"/>
      <c r="D31" s="129">
        <f>SUM(D23:D30)</f>
        <v>504301.54480000003</v>
      </c>
      <c r="E31" s="130"/>
      <c r="F31" s="131"/>
      <c r="G31" s="131"/>
      <c r="H31" s="131"/>
      <c r="I31" s="132"/>
      <c r="J31" s="133">
        <f>SUM(J23:J30)</f>
        <v>13405726.191551114</v>
      </c>
      <c r="K31" s="130"/>
      <c r="L31" s="134"/>
    </row>
    <row r="32" spans="1:12" ht="12.75" thickBot="1">
      <c r="A32" s="135" t="s">
        <v>68</v>
      </c>
      <c r="B32" s="136"/>
      <c r="C32" s="137">
        <f>(C23*B23+C24*B24+C25*B25+C26*B26+C27*B27+C28*B28+C29*B29+C30*B30)/B31</f>
        <v>31.224755856118183</v>
      </c>
      <c r="D32" s="136"/>
      <c r="E32" s="138"/>
      <c r="F32" s="138"/>
      <c r="G32" s="138"/>
      <c r="H32" s="138"/>
      <c r="I32" s="138"/>
      <c r="J32" s="138"/>
      <c r="K32" s="138"/>
      <c r="L32" s="139"/>
    </row>
    <row r="33" spans="1:12" ht="12.75" thickBot="1">
      <c r="A33" s="140" t="s">
        <v>69</v>
      </c>
      <c r="B33" s="136"/>
      <c r="C33" s="141"/>
      <c r="D33" s="138"/>
      <c r="E33" s="138"/>
      <c r="F33" s="138"/>
      <c r="G33" s="138"/>
      <c r="H33" s="138"/>
      <c r="I33" s="138"/>
      <c r="J33" s="138"/>
      <c r="K33" s="142"/>
      <c r="L33" s="143">
        <f>(L23*J23+L24*J24+L25*J25+L26*J26+L27*J27+L28*J28)/J31</f>
        <v>0.03761836826995865</v>
      </c>
    </row>
    <row r="34" spans="1:12" ht="14.25" thickBot="1">
      <c r="A34" s="144" t="s">
        <v>116</v>
      </c>
      <c r="B34" s="145"/>
      <c r="C34" s="146"/>
      <c r="D34" s="146"/>
      <c r="E34" s="146"/>
      <c r="F34" s="146"/>
      <c r="G34" s="146"/>
      <c r="H34" s="146"/>
      <c r="I34" s="147"/>
      <c r="J34" s="148">
        <f>B13/J31</f>
        <v>0.8917730723613781</v>
      </c>
      <c r="K34" s="145"/>
      <c r="L34" s="149"/>
    </row>
    <row r="36" spans="1:4" ht="13.5" thickBot="1">
      <c r="A36" s="82" t="s">
        <v>137</v>
      </c>
      <c r="B36" s="83">
        <v>2014</v>
      </c>
      <c r="D36" t="s">
        <v>134</v>
      </c>
    </row>
    <row r="37" spans="1:4" ht="13.5">
      <c r="A37" s="115" t="s">
        <v>129</v>
      </c>
      <c r="B37" s="152">
        <f>'mittlerer erzielte Energiepreis'!D19</f>
        <v>0.23726967904476204</v>
      </c>
      <c r="C37" s="157" t="s">
        <v>120</v>
      </c>
      <c r="D37" s="159">
        <f>B37</f>
        <v>0.23726967904476204</v>
      </c>
    </row>
    <row r="38" spans="1:4" ht="13.5">
      <c r="A38" s="153" t="s">
        <v>138</v>
      </c>
      <c r="B38" s="151">
        <f>'mittlerer erzielte Energiepreis'!D13</f>
        <v>0.05598294065156559</v>
      </c>
      <c r="C38" s="158" t="s">
        <v>120</v>
      </c>
      <c r="D38" s="160">
        <f>B38</f>
        <v>0.05598294065156559</v>
      </c>
    </row>
    <row r="39" spans="1:4" ht="13.5">
      <c r="A39" s="153" t="s">
        <v>117</v>
      </c>
      <c r="B39" s="151">
        <f>J34</f>
        <v>0.8917730723613781</v>
      </c>
      <c r="C39" s="158"/>
      <c r="D39" s="161">
        <v>1</v>
      </c>
    </row>
    <row r="40" spans="1:4" ht="13.5">
      <c r="A40" s="153" t="s">
        <v>119</v>
      </c>
      <c r="B40" s="151">
        <f>B15</f>
        <v>0.2725218068493151</v>
      </c>
      <c r="C40" s="158"/>
      <c r="D40" s="161">
        <f>0.95*D5/100</f>
        <v>0.36765000000000003</v>
      </c>
    </row>
    <row r="41" spans="1:4" ht="13.5">
      <c r="A41" s="153" t="s">
        <v>118</v>
      </c>
      <c r="B41" s="151">
        <f>B19</f>
        <v>0.10779587534246576</v>
      </c>
      <c r="C41" s="158"/>
      <c r="D41" s="161">
        <v>0.15</v>
      </c>
    </row>
    <row r="42" spans="1:4" ht="13.5">
      <c r="A42" s="153" t="s">
        <v>167</v>
      </c>
      <c r="B42" s="151">
        <f>B39*(B40+B41)</f>
        <v>0.3391570679215226</v>
      </c>
      <c r="C42" s="158"/>
      <c r="D42" s="200">
        <f>D39*(D40+D41)</f>
        <v>0.51765</v>
      </c>
    </row>
    <row r="43" spans="1:5" ht="13.5">
      <c r="A43" s="153" t="s">
        <v>135</v>
      </c>
      <c r="B43" s="101">
        <f>'Kalkulation Kosten'!B20</f>
        <v>1364100.08</v>
      </c>
      <c r="C43" s="158" t="s">
        <v>122</v>
      </c>
      <c r="D43" s="201">
        <f>'Kalkulation Kosten'!B32</f>
        <v>760333</v>
      </c>
      <c r="E43" s="83" t="s">
        <v>175</v>
      </c>
    </row>
    <row r="44" spans="1:4" ht="13.5">
      <c r="A44" s="153" t="s">
        <v>121</v>
      </c>
      <c r="B44" s="101">
        <f>J31</f>
        <v>13405726.191551114</v>
      </c>
      <c r="C44" s="158" t="s">
        <v>123</v>
      </c>
      <c r="D44" s="199">
        <f>940*24*365*0.95/0.381</f>
        <v>20531968.503937006</v>
      </c>
    </row>
    <row r="45" spans="1:4" ht="13.5">
      <c r="A45" s="113" t="s">
        <v>186</v>
      </c>
      <c r="B45" s="202">
        <f>B43/B44</f>
        <v>0.1017550306867909</v>
      </c>
      <c r="C45" s="158" t="s">
        <v>120</v>
      </c>
      <c r="D45" s="200">
        <f>D43/D44</f>
        <v>0.03703166600193285</v>
      </c>
    </row>
    <row r="46" spans="1:4" ht="14.25" thickBot="1">
      <c r="A46" s="154" t="s">
        <v>214</v>
      </c>
      <c r="B46" s="190">
        <f>B37*B39*B40+B38*B39*B41-B43/B44</f>
        <v>-0.03871033811039286</v>
      </c>
      <c r="C46" s="191" t="s">
        <v>120</v>
      </c>
      <c r="D46" s="192">
        <f>D37*D39*D40+D38*D39*D41-D43/D44</f>
        <v>0.05859797259660876</v>
      </c>
    </row>
    <row r="47" spans="1:4" ht="15">
      <c r="A47" s="103" t="s">
        <v>185</v>
      </c>
      <c r="B47" s="83">
        <f>(B37*B39*B40+B38*B39*B41)-B46-B43/B44</f>
        <v>0</v>
      </c>
      <c r="C47" s="83" t="s">
        <v>120</v>
      </c>
      <c r="D47" s="83">
        <f>(D37*D39*D40+D38*D39*D41)-D46-D43/D44</f>
        <v>0</v>
      </c>
    </row>
    <row r="48" spans="1:5" ht="15">
      <c r="A48" s="103" t="s">
        <v>133</v>
      </c>
      <c r="B48" s="83">
        <f>(B37*B39*B40+B38*B39*B41)-L33-B43/B44</f>
        <v>-0.07632870638035151</v>
      </c>
      <c r="C48" s="83" t="s">
        <v>120</v>
      </c>
      <c r="D48" s="83">
        <f>(D37*D39*D40+D38*D39*D41)-L33-D43/D44</f>
        <v>0.02097960432665011</v>
      </c>
      <c r="E48" s="83" t="s">
        <v>136</v>
      </c>
    </row>
    <row r="50" spans="2:4" ht="12">
      <c r="B50" s="193"/>
      <c r="D50" s="193"/>
    </row>
    <row r="52" spans="2:4" ht="12">
      <c r="B52" s="193"/>
      <c r="D52" s="193"/>
    </row>
  </sheetData>
  <mergeCells count="1">
    <mergeCell ref="B2:C2"/>
  </mergeCells>
  <printOptions/>
  <pageMargins left="0.75" right="0.75" top="1" bottom="1" header="0.4921259845" footer="0.4921259845"/>
  <pageSetup orientation="portrait" paperSize="9" r:id="rId4"/>
  <legacyDrawing r:id="rId3"/>
  <oleObjects>
    <oleObject progId="Equation.DSMT4" shapeId="1035638" r:id="rId1"/>
    <oleObject progId="Equation.DSMT4" shapeId="616238" r:id="rId2"/>
  </oleObjects>
</worksheet>
</file>

<file path=xl/worksheets/sheet5.xml><?xml version="1.0" encoding="utf-8"?>
<worksheet xmlns="http://schemas.openxmlformats.org/spreadsheetml/2006/main" xmlns:r="http://schemas.openxmlformats.org/officeDocument/2006/relationships">
  <dimension ref="A1:G32"/>
  <sheetViews>
    <sheetView workbookViewId="0" topLeftCell="A1">
      <selection activeCell="B40" sqref="B40"/>
    </sheetView>
  </sheetViews>
  <sheetFormatPr defaultColWidth="11.421875" defaultRowHeight="12.75"/>
  <cols>
    <col min="1" max="1" width="48.28125" style="0" customWidth="1"/>
    <col min="3" max="3" width="5.57421875" style="0" customWidth="1"/>
    <col min="4" max="4" width="24.421875" style="0" customWidth="1"/>
    <col min="5" max="5" width="56.421875" style="0" customWidth="1"/>
    <col min="6" max="6" width="12.421875" style="0" customWidth="1"/>
    <col min="7" max="7" width="10.421875" style="0" customWidth="1"/>
  </cols>
  <sheetData>
    <row r="1" ht="12.75">
      <c r="A1" s="2" t="s">
        <v>176</v>
      </c>
    </row>
    <row r="2" ht="12.75">
      <c r="A2" t="s">
        <v>101</v>
      </c>
    </row>
    <row r="4" spans="1:7" ht="15">
      <c r="A4" s="55" t="s">
        <v>100</v>
      </c>
      <c r="B4" s="2" t="s">
        <v>84</v>
      </c>
      <c r="E4" s="55" t="s">
        <v>100</v>
      </c>
      <c r="F4" s="62" t="s">
        <v>85</v>
      </c>
      <c r="G4" s="61"/>
    </row>
    <row r="5" spans="1:6" ht="15.75" thickBot="1">
      <c r="A5" s="55" t="s">
        <v>177</v>
      </c>
      <c r="B5" s="59"/>
      <c r="E5" s="55" t="s">
        <v>177</v>
      </c>
      <c r="F5" s="13"/>
    </row>
    <row r="6" spans="1:6" ht="15" thickBot="1">
      <c r="A6" s="56"/>
      <c r="B6" s="57"/>
      <c r="C6" s="57"/>
      <c r="D6" s="72" t="s">
        <v>86</v>
      </c>
      <c r="E6" s="73" t="s">
        <v>87</v>
      </c>
      <c r="F6" s="74">
        <v>17120.9</v>
      </c>
    </row>
    <row r="7" spans="1:6" ht="14.25">
      <c r="A7" s="66" t="s">
        <v>72</v>
      </c>
      <c r="B7" s="67">
        <v>49475</v>
      </c>
      <c r="D7" s="75" t="s">
        <v>88</v>
      </c>
      <c r="E7" s="71" t="s">
        <v>89</v>
      </c>
      <c r="F7" s="76">
        <v>47562.9</v>
      </c>
    </row>
    <row r="8" spans="1:7" ht="14.25">
      <c r="A8" s="63" t="s">
        <v>73</v>
      </c>
      <c r="B8" s="64">
        <v>169703</v>
      </c>
      <c r="D8" s="65"/>
      <c r="E8" s="71" t="s">
        <v>90</v>
      </c>
      <c r="F8" s="76">
        <v>9570.57</v>
      </c>
      <c r="G8" s="60">
        <f>SUM(F7:F8)</f>
        <v>57133.47</v>
      </c>
    </row>
    <row r="9" spans="1:6" ht="14.25">
      <c r="A9" s="63" t="s">
        <v>74</v>
      </c>
      <c r="B9" s="64">
        <v>57132</v>
      </c>
      <c r="D9" s="75" t="s">
        <v>91</v>
      </c>
      <c r="E9" s="71" t="s">
        <v>92</v>
      </c>
      <c r="F9" s="5"/>
    </row>
    <row r="10" spans="1:6" ht="14.25">
      <c r="A10" s="63" t="s">
        <v>75</v>
      </c>
      <c r="B10" s="64">
        <v>12713</v>
      </c>
      <c r="D10" s="65"/>
      <c r="E10" s="71" t="s">
        <v>93</v>
      </c>
      <c r="F10" s="76">
        <v>131286.68</v>
      </c>
    </row>
    <row r="11" spans="1:6" ht="14.25">
      <c r="A11" s="63" t="s">
        <v>76</v>
      </c>
      <c r="B11" s="64">
        <v>127285</v>
      </c>
      <c r="D11" s="65"/>
      <c r="E11" s="71" t="s">
        <v>94</v>
      </c>
      <c r="F11" s="76">
        <v>26799.49</v>
      </c>
    </row>
    <row r="12" spans="1:6" ht="14.25">
      <c r="A12" s="63" t="s">
        <v>77</v>
      </c>
      <c r="B12" s="64">
        <v>92608</v>
      </c>
      <c r="D12" s="65"/>
      <c r="E12" s="71" t="s">
        <v>95</v>
      </c>
      <c r="F12" s="76">
        <v>219181.54</v>
      </c>
    </row>
    <row r="13" spans="1:6" ht="14.25">
      <c r="A13" s="63" t="s">
        <v>78</v>
      </c>
      <c r="B13" s="64">
        <v>60190</v>
      </c>
      <c r="D13" s="65"/>
      <c r="E13" s="71" t="s">
        <v>96</v>
      </c>
      <c r="F13" s="76">
        <v>122138.28</v>
      </c>
    </row>
    <row r="14" spans="1:7" ht="14.25">
      <c r="A14" s="63" t="s">
        <v>79</v>
      </c>
      <c r="B14" s="64">
        <v>26799</v>
      </c>
      <c r="D14" s="65"/>
      <c r="E14" s="71" t="s">
        <v>97</v>
      </c>
      <c r="F14" s="5">
        <v>0</v>
      </c>
      <c r="G14" s="60">
        <f>SUM(F10:F14)</f>
        <v>499405.99</v>
      </c>
    </row>
    <row r="15" spans="1:6" ht="14.25">
      <c r="A15" s="63" t="s">
        <v>80</v>
      </c>
      <c r="B15" s="64">
        <v>31600</v>
      </c>
      <c r="D15" s="75"/>
      <c r="E15" s="71" t="s">
        <v>98</v>
      </c>
      <c r="F15" s="5"/>
    </row>
    <row r="16" spans="1:6" ht="14.25">
      <c r="A16" s="63" t="s">
        <v>81</v>
      </c>
      <c r="B16" s="64">
        <v>306205</v>
      </c>
      <c r="D16" s="75" t="s">
        <v>99</v>
      </c>
      <c r="E16" s="3"/>
      <c r="F16" s="76">
        <v>306205.8</v>
      </c>
    </row>
    <row r="17" spans="1:6" ht="13.5" thickBot="1">
      <c r="A17" s="7" t="s">
        <v>83</v>
      </c>
      <c r="B17" s="68">
        <v>457312</v>
      </c>
      <c r="D17" s="7"/>
      <c r="E17" s="8" t="s">
        <v>83</v>
      </c>
      <c r="F17" s="68">
        <v>457312</v>
      </c>
    </row>
    <row r="18" spans="1:6" ht="15.75" thickBot="1">
      <c r="A18" s="69" t="s">
        <v>82</v>
      </c>
      <c r="B18" s="70">
        <f>SUM(B7:B17)</f>
        <v>1391022</v>
      </c>
      <c r="C18" s="57"/>
      <c r="D18" s="77"/>
      <c r="E18" s="78" t="s">
        <v>82</v>
      </c>
      <c r="F18" s="79">
        <f>SUM(F6:F17)</f>
        <v>1337178.16</v>
      </c>
    </row>
    <row r="19" spans="1:2" ht="15.75" thickBot="1">
      <c r="A19" s="55"/>
      <c r="B19" s="58"/>
    </row>
    <row r="20" spans="1:5" ht="13.5" thickBot="1">
      <c r="A20" s="80" t="s">
        <v>104</v>
      </c>
      <c r="B20" s="81">
        <f>AVERAGE(B18,F18)</f>
        <v>1364100.08</v>
      </c>
      <c r="C20" s="21" t="s">
        <v>102</v>
      </c>
      <c r="D20" s="22" t="s">
        <v>103</v>
      </c>
      <c r="E20" s="156" t="s">
        <v>140</v>
      </c>
    </row>
    <row r="24" ht="15">
      <c r="A24" s="55" t="s">
        <v>100</v>
      </c>
    </row>
    <row r="25" ht="15">
      <c r="A25" s="55" t="s">
        <v>177</v>
      </c>
    </row>
    <row r="26" spans="1:2" ht="13.5" thickBot="1">
      <c r="A26" t="s">
        <v>178</v>
      </c>
      <c r="B26">
        <v>2016</v>
      </c>
    </row>
    <row r="27" spans="1:3" ht="12.75">
      <c r="A27" s="9" t="s">
        <v>179</v>
      </c>
      <c r="B27" s="195">
        <v>1126502</v>
      </c>
      <c r="C27" s="4" t="s">
        <v>102</v>
      </c>
    </row>
    <row r="28" spans="1:3" ht="12.75">
      <c r="A28" s="65" t="s">
        <v>180</v>
      </c>
      <c r="B28" s="194">
        <v>668608</v>
      </c>
      <c r="C28" s="5" t="s">
        <v>102</v>
      </c>
    </row>
    <row r="29" spans="1:3" ht="12.75">
      <c r="A29" s="65" t="s">
        <v>182</v>
      </c>
      <c r="B29" s="194">
        <v>395000</v>
      </c>
      <c r="C29" s="5" t="s">
        <v>102</v>
      </c>
    </row>
    <row r="30" spans="1:3" ht="12.75">
      <c r="A30" s="65" t="s">
        <v>181</v>
      </c>
      <c r="B30" s="194">
        <v>290127</v>
      </c>
      <c r="C30" s="5" t="s">
        <v>102</v>
      </c>
    </row>
    <row r="31" spans="1:3" ht="13.5" thickBot="1">
      <c r="A31" s="7" t="s">
        <v>183</v>
      </c>
      <c r="B31" s="196">
        <v>407312</v>
      </c>
      <c r="C31" s="197" t="s">
        <v>102</v>
      </c>
    </row>
    <row r="32" spans="1:3" ht="13.5" thickBot="1">
      <c r="A32" s="77" t="s">
        <v>184</v>
      </c>
      <c r="B32" s="198">
        <f>B27-B28-B29+B30+B31</f>
        <v>760333</v>
      </c>
      <c r="C32" s="187" t="s">
        <v>102</v>
      </c>
    </row>
  </sheetData>
  <printOptions/>
  <pageMargins left="0.75" right="0.75" top="1" bottom="1" header="0.4921259845" footer="0.4921259845"/>
  <pageSetup orientation="portrait" paperSize="9" r:id="rId1"/>
</worksheet>
</file>

<file path=xl/worksheets/sheet6.xml><?xml version="1.0" encoding="utf-8"?>
<worksheet xmlns="http://schemas.openxmlformats.org/spreadsheetml/2006/main" xmlns:r="http://schemas.openxmlformats.org/officeDocument/2006/relationships">
  <dimension ref="A1:S42"/>
  <sheetViews>
    <sheetView workbookViewId="0" topLeftCell="A1">
      <selection activeCell="I47" sqref="I47"/>
    </sheetView>
  </sheetViews>
  <sheetFormatPr defaultColWidth="11.421875" defaultRowHeight="12.75"/>
  <cols>
    <col min="1" max="1" width="10.28125" style="14" customWidth="1"/>
    <col min="2" max="3" width="8.28125" style="14" customWidth="1"/>
    <col min="4" max="4" width="9.7109375" style="14" customWidth="1"/>
    <col min="5" max="5" width="2.8515625" style="14" customWidth="1"/>
    <col min="6" max="6" width="11.421875" style="14" customWidth="1"/>
    <col min="7" max="8" width="8.28125" style="14" customWidth="1"/>
    <col min="9" max="9" width="9.7109375" style="14" customWidth="1"/>
    <col min="10" max="10" width="2.8515625" style="14" customWidth="1"/>
    <col min="11" max="11" width="11.421875" style="14" customWidth="1"/>
    <col min="12" max="13" width="8.28125" style="14" customWidth="1"/>
    <col min="14" max="14" width="9.7109375" style="14" customWidth="1"/>
    <col min="15" max="15" width="2.8515625" style="14" customWidth="1"/>
    <col min="16" max="16" width="11.421875" style="14" customWidth="1"/>
    <col min="17" max="18" width="8.28125" style="14" customWidth="1"/>
    <col min="19" max="19" width="9.7109375" style="14" customWidth="1"/>
    <col min="20" max="16384" width="11.421875" style="14" customWidth="1"/>
  </cols>
  <sheetData>
    <row r="1" spans="1:16" ht="12.75">
      <c r="A1" s="14" t="s">
        <v>31</v>
      </c>
      <c r="F1" s="14" t="s">
        <v>32</v>
      </c>
      <c r="K1" s="14" t="s">
        <v>33</v>
      </c>
      <c r="P1" s="14" t="s">
        <v>34</v>
      </c>
    </row>
    <row r="3" spans="1:19" ht="12.75">
      <c r="A3" s="15" t="s">
        <v>35</v>
      </c>
      <c r="B3" s="15" t="s">
        <v>55</v>
      </c>
      <c r="C3" s="15" t="s">
        <v>56</v>
      </c>
      <c r="D3" s="15" t="s">
        <v>36</v>
      </c>
      <c r="F3" s="15" t="s">
        <v>35</v>
      </c>
      <c r="G3" s="15" t="s">
        <v>55</v>
      </c>
      <c r="H3" s="15" t="s">
        <v>56</v>
      </c>
      <c r="I3" s="15" t="s">
        <v>36</v>
      </c>
      <c r="K3" s="15" t="s">
        <v>35</v>
      </c>
      <c r="L3" s="15" t="s">
        <v>55</v>
      </c>
      <c r="M3" s="15" t="s">
        <v>56</v>
      </c>
      <c r="N3" s="15" t="s">
        <v>36</v>
      </c>
      <c r="P3" s="15" t="s">
        <v>35</v>
      </c>
      <c r="Q3" s="15" t="s">
        <v>55</v>
      </c>
      <c r="R3" s="15" t="s">
        <v>56</v>
      </c>
      <c r="S3" s="15" t="s">
        <v>36</v>
      </c>
    </row>
    <row r="4" spans="1:19" ht="12.75">
      <c r="A4" s="15" t="s">
        <v>37</v>
      </c>
      <c r="B4" s="15">
        <v>303</v>
      </c>
      <c r="C4" s="15">
        <v>37</v>
      </c>
      <c r="D4" s="15">
        <v>11211</v>
      </c>
      <c r="F4" s="15" t="s">
        <v>37</v>
      </c>
      <c r="G4" s="15">
        <v>0</v>
      </c>
      <c r="H4" s="15">
        <v>0</v>
      </c>
      <c r="I4" s="15">
        <v>0</v>
      </c>
      <c r="K4" s="15" t="s">
        <v>37</v>
      </c>
      <c r="L4" s="15"/>
      <c r="M4" s="15">
        <v>0</v>
      </c>
      <c r="N4" s="15">
        <v>0</v>
      </c>
      <c r="P4" s="15" t="s">
        <v>37</v>
      </c>
      <c r="Q4" s="15">
        <v>459.5</v>
      </c>
      <c r="R4" s="15">
        <v>39</v>
      </c>
      <c r="S4" s="15">
        <v>17920.5</v>
      </c>
    </row>
    <row r="5" spans="1:19" ht="12.75">
      <c r="A5" s="15" t="s">
        <v>38</v>
      </c>
      <c r="B5" s="15">
        <v>363</v>
      </c>
      <c r="C5" s="15">
        <v>37</v>
      </c>
      <c r="D5" s="15">
        <v>13431</v>
      </c>
      <c r="F5" s="15" t="s">
        <v>38</v>
      </c>
      <c r="G5" s="15">
        <v>0</v>
      </c>
      <c r="H5" s="15">
        <v>0</v>
      </c>
      <c r="I5" s="15">
        <v>0</v>
      </c>
      <c r="K5" s="15" t="s">
        <v>38</v>
      </c>
      <c r="L5" s="15">
        <v>39.3</v>
      </c>
      <c r="M5" s="15">
        <v>200</v>
      </c>
      <c r="N5" s="15">
        <v>7860</v>
      </c>
      <c r="P5" s="15" t="s">
        <v>38</v>
      </c>
      <c r="Q5" s="15">
        <v>617.6</v>
      </c>
      <c r="R5" s="15">
        <v>39</v>
      </c>
      <c r="S5" s="15">
        <v>24086.4</v>
      </c>
    </row>
    <row r="6" spans="1:19" ht="12.75">
      <c r="A6" s="15" t="s">
        <v>39</v>
      </c>
      <c r="B6" s="15">
        <v>445</v>
      </c>
      <c r="C6" s="15">
        <v>37</v>
      </c>
      <c r="D6" s="15">
        <v>16465</v>
      </c>
      <c r="F6" s="15" t="s">
        <v>39</v>
      </c>
      <c r="G6" s="15">
        <v>0</v>
      </c>
      <c r="H6" s="15">
        <v>0</v>
      </c>
      <c r="I6" s="15">
        <v>0</v>
      </c>
      <c r="K6" s="15" t="s">
        <v>39</v>
      </c>
      <c r="L6" s="15">
        <v>71.3</v>
      </c>
      <c r="M6" s="15">
        <v>200</v>
      </c>
      <c r="N6" s="15">
        <v>14260</v>
      </c>
      <c r="P6" s="15" t="s">
        <v>39</v>
      </c>
      <c r="Q6" s="15">
        <v>440.6</v>
      </c>
      <c r="R6" s="15">
        <v>39</v>
      </c>
      <c r="S6" s="15">
        <v>17183.4</v>
      </c>
    </row>
    <row r="7" spans="1:19" ht="12.75">
      <c r="A7" s="15" t="s">
        <v>40</v>
      </c>
      <c r="B7" s="15">
        <v>720</v>
      </c>
      <c r="C7" s="15">
        <v>37</v>
      </c>
      <c r="D7" s="15">
        <v>26640</v>
      </c>
      <c r="F7" s="15" t="s">
        <v>40</v>
      </c>
      <c r="G7" s="15">
        <v>0</v>
      </c>
      <c r="H7" s="15">
        <v>0</v>
      </c>
      <c r="I7" s="15">
        <v>0</v>
      </c>
      <c r="K7" s="15" t="s">
        <v>40</v>
      </c>
      <c r="L7" s="15">
        <v>72.1</v>
      </c>
      <c r="M7" s="15">
        <v>200</v>
      </c>
      <c r="N7" s="15">
        <v>14420</v>
      </c>
      <c r="P7" s="15" t="s">
        <v>40</v>
      </c>
      <c r="Q7" s="15">
        <v>36.14</v>
      </c>
      <c r="R7" s="15">
        <v>39</v>
      </c>
      <c r="S7" s="15">
        <v>1409.46</v>
      </c>
    </row>
    <row r="8" spans="1:19" ht="12.75">
      <c r="A8" s="15" t="s">
        <v>41</v>
      </c>
      <c r="B8" s="15">
        <v>601</v>
      </c>
      <c r="C8" s="15">
        <v>37</v>
      </c>
      <c r="D8" s="15">
        <v>22237</v>
      </c>
      <c r="F8" s="15" t="s">
        <v>41</v>
      </c>
      <c r="G8" s="15">
        <v>0</v>
      </c>
      <c r="H8" s="15">
        <v>0</v>
      </c>
      <c r="I8" s="15">
        <v>0</v>
      </c>
      <c r="K8" s="15" t="s">
        <v>41</v>
      </c>
      <c r="L8" s="15">
        <v>48.6</v>
      </c>
      <c r="M8" s="15">
        <v>200</v>
      </c>
      <c r="N8" s="15">
        <v>9720</v>
      </c>
      <c r="P8" s="15" t="s">
        <v>41</v>
      </c>
      <c r="Q8" s="15">
        <v>0</v>
      </c>
      <c r="R8" s="15">
        <v>0</v>
      </c>
      <c r="S8" s="15">
        <v>0</v>
      </c>
    </row>
    <row r="9" spans="1:19" ht="12.75">
      <c r="A9" s="15" t="s">
        <v>42</v>
      </c>
      <c r="B9" s="15">
        <v>295</v>
      </c>
      <c r="C9" s="15">
        <v>37</v>
      </c>
      <c r="D9" s="15">
        <v>10915</v>
      </c>
      <c r="F9" s="15" t="s">
        <v>42</v>
      </c>
      <c r="G9" s="15">
        <v>0</v>
      </c>
      <c r="H9" s="15">
        <v>0</v>
      </c>
      <c r="I9" s="15">
        <v>0</v>
      </c>
      <c r="K9" s="15" t="s">
        <v>42</v>
      </c>
      <c r="L9" s="15">
        <v>0</v>
      </c>
      <c r="M9" s="15">
        <v>0</v>
      </c>
      <c r="N9" s="15">
        <v>0</v>
      </c>
      <c r="P9" s="15" t="s">
        <v>42</v>
      </c>
      <c r="Q9" s="15">
        <v>0</v>
      </c>
      <c r="R9" s="15">
        <v>0</v>
      </c>
      <c r="S9" s="15">
        <v>0</v>
      </c>
    </row>
    <row r="10" spans="1:19" ht="12.75">
      <c r="A10" s="15" t="s">
        <v>43</v>
      </c>
      <c r="B10" s="15">
        <v>417</v>
      </c>
      <c r="C10" s="15">
        <v>37</v>
      </c>
      <c r="D10" s="15">
        <v>15429</v>
      </c>
      <c r="F10" s="15" t="s">
        <v>43</v>
      </c>
      <c r="G10" s="15">
        <v>323</v>
      </c>
      <c r="H10" s="15">
        <v>29.25</v>
      </c>
      <c r="I10" s="15">
        <v>9447.75</v>
      </c>
      <c r="K10" s="15" t="s">
        <v>43</v>
      </c>
      <c r="L10" s="15">
        <v>0</v>
      </c>
      <c r="M10" s="15">
        <v>0</v>
      </c>
      <c r="N10" s="15">
        <v>0</v>
      </c>
      <c r="P10" s="15" t="s">
        <v>43</v>
      </c>
      <c r="Q10" s="15">
        <v>0</v>
      </c>
      <c r="R10" s="15">
        <v>0</v>
      </c>
      <c r="S10" s="15">
        <v>0</v>
      </c>
    </row>
    <row r="11" spans="1:19" ht="12.75">
      <c r="A11" s="15" t="s">
        <v>44</v>
      </c>
      <c r="B11" s="15">
        <v>375</v>
      </c>
      <c r="C11" s="15">
        <v>37</v>
      </c>
      <c r="D11" s="15">
        <v>13875</v>
      </c>
      <c r="F11" s="15" t="s">
        <v>44</v>
      </c>
      <c r="G11" s="15">
        <v>525</v>
      </c>
      <c r="H11" s="15">
        <v>29.25</v>
      </c>
      <c r="I11" s="15">
        <v>15356.25</v>
      </c>
      <c r="K11" s="15" t="s">
        <v>44</v>
      </c>
      <c r="L11" s="15">
        <v>0</v>
      </c>
      <c r="M11" s="15">
        <v>0</v>
      </c>
      <c r="N11" s="15">
        <v>0</v>
      </c>
      <c r="P11" s="15" t="s">
        <v>44</v>
      </c>
      <c r="Q11" s="15">
        <v>0</v>
      </c>
      <c r="R11" s="15">
        <v>0</v>
      </c>
      <c r="S11" s="15">
        <v>0</v>
      </c>
    </row>
    <row r="12" spans="1:19" ht="12.75">
      <c r="A12" s="15" t="s">
        <v>45</v>
      </c>
      <c r="B12" s="15">
        <v>302</v>
      </c>
      <c r="C12" s="15">
        <v>37.4867549668874</v>
      </c>
      <c r="D12" s="15">
        <v>11321</v>
      </c>
      <c r="F12" s="15" t="s">
        <v>45</v>
      </c>
      <c r="G12" s="15">
        <v>560</v>
      </c>
      <c r="H12" s="15">
        <v>29.2352678571429</v>
      </c>
      <c r="I12" s="15">
        <v>16371.75</v>
      </c>
      <c r="K12" s="15" t="s">
        <v>45</v>
      </c>
      <c r="L12" s="15">
        <v>0</v>
      </c>
      <c r="M12" s="15">
        <v>0</v>
      </c>
      <c r="N12" s="15">
        <v>0</v>
      </c>
      <c r="P12" s="15" t="s">
        <v>45</v>
      </c>
      <c r="Q12" s="15">
        <v>0</v>
      </c>
      <c r="R12" s="15">
        <v>0</v>
      </c>
      <c r="S12" s="15">
        <v>0</v>
      </c>
    </row>
    <row r="13" spans="1:19" ht="12.75">
      <c r="A13" s="15" t="s">
        <v>46</v>
      </c>
      <c r="B13" s="15">
        <v>484</v>
      </c>
      <c r="C13" s="15">
        <v>41.8781958677686</v>
      </c>
      <c r="D13" s="15">
        <v>20269.0468</v>
      </c>
      <c r="F13" s="15" t="s">
        <v>46</v>
      </c>
      <c r="G13" s="15">
        <v>424</v>
      </c>
      <c r="H13" s="15">
        <v>29</v>
      </c>
      <c r="I13" s="15">
        <v>12296</v>
      </c>
      <c r="K13" s="15" t="s">
        <v>46</v>
      </c>
      <c r="L13" s="15">
        <v>0</v>
      </c>
      <c r="M13" s="15">
        <v>0</v>
      </c>
      <c r="N13" s="15">
        <v>0</v>
      </c>
      <c r="P13" s="15" t="s">
        <v>46</v>
      </c>
      <c r="Q13" s="15">
        <v>0</v>
      </c>
      <c r="R13" s="15">
        <v>0</v>
      </c>
      <c r="S13" s="15">
        <v>0</v>
      </c>
    </row>
    <row r="14" spans="1:19" ht="12.75">
      <c r="A14" s="15" t="s">
        <v>47</v>
      </c>
      <c r="B14" s="15">
        <v>619</v>
      </c>
      <c r="C14" s="15">
        <v>40.83</v>
      </c>
      <c r="D14" s="15">
        <v>25273.77</v>
      </c>
      <c r="F14" s="15" t="s">
        <v>47</v>
      </c>
      <c r="G14" s="15">
        <v>0</v>
      </c>
      <c r="H14" s="15">
        <v>0</v>
      </c>
      <c r="I14" s="15">
        <v>0</v>
      </c>
      <c r="K14" s="15" t="s">
        <v>47</v>
      </c>
      <c r="L14" s="15">
        <v>0</v>
      </c>
      <c r="M14" s="15">
        <v>0</v>
      </c>
      <c r="N14" s="15">
        <v>0</v>
      </c>
      <c r="P14" s="15" t="s">
        <v>47</v>
      </c>
      <c r="Q14" s="15">
        <v>372.4</v>
      </c>
      <c r="R14" s="15">
        <v>39</v>
      </c>
      <c r="S14" s="15">
        <v>14523.6</v>
      </c>
    </row>
    <row r="15" spans="1:19" ht="12.75">
      <c r="A15" s="15" t="s">
        <v>48</v>
      </c>
      <c r="B15" s="15">
        <v>467</v>
      </c>
      <c r="C15" s="15">
        <v>40.83</v>
      </c>
      <c r="D15" s="15">
        <v>19067.61</v>
      </c>
      <c r="F15" s="15" t="s">
        <v>48</v>
      </c>
      <c r="G15" s="15">
        <v>0</v>
      </c>
      <c r="H15" s="15">
        <v>0</v>
      </c>
      <c r="I15" s="15">
        <v>0</v>
      </c>
      <c r="K15" s="15" t="s">
        <v>48</v>
      </c>
      <c r="L15" s="15">
        <v>0</v>
      </c>
      <c r="M15" s="15">
        <v>0</v>
      </c>
      <c r="N15" s="15">
        <v>0</v>
      </c>
      <c r="P15" s="15" t="s">
        <v>48</v>
      </c>
      <c r="Q15" s="15">
        <v>583.6</v>
      </c>
      <c r="R15" s="15">
        <v>39</v>
      </c>
      <c r="S15" s="15">
        <v>22760.4</v>
      </c>
    </row>
    <row r="16" spans="1:19" ht="12.75">
      <c r="A16" s="15"/>
      <c r="B16" s="15"/>
      <c r="C16" s="15"/>
      <c r="D16" s="15"/>
      <c r="F16" s="15"/>
      <c r="G16" s="15"/>
      <c r="H16" s="15"/>
      <c r="I16" s="15"/>
      <c r="K16" s="15"/>
      <c r="L16" s="15"/>
      <c r="M16" s="15"/>
      <c r="N16" s="15"/>
      <c r="P16" s="15"/>
      <c r="Q16" s="15"/>
      <c r="R16" s="15"/>
      <c r="S16" s="15"/>
    </row>
    <row r="17" spans="1:19" ht="12.75">
      <c r="A17" s="15" t="s">
        <v>0</v>
      </c>
      <c r="B17" s="15">
        <f>SUM(B4:B16)</f>
        <v>5391</v>
      </c>
      <c r="C17" s="15">
        <f>AVERAGE(C4:C15)</f>
        <v>38.08541256955467</v>
      </c>
      <c r="D17" s="15">
        <f>SUM(D4:D16)</f>
        <v>206134.42680000002</v>
      </c>
      <c r="F17" s="15" t="s">
        <v>0</v>
      </c>
      <c r="G17" s="15">
        <f>SUM(G4:G16)</f>
        <v>1832</v>
      </c>
      <c r="H17" s="15">
        <f>AVERAGE(H10:H13)</f>
        <v>29.183816964285725</v>
      </c>
      <c r="I17" s="15">
        <f>SUM(I4:I16)</f>
        <v>53471.75</v>
      </c>
      <c r="K17" s="15" t="s">
        <v>0</v>
      </c>
      <c r="L17" s="15">
        <f>SUM(L4:L16)</f>
        <v>231.29999999999998</v>
      </c>
      <c r="M17" s="15">
        <f>AVERAGE(M5:M8)</f>
        <v>200</v>
      </c>
      <c r="N17" s="15">
        <f>SUM(N4:N16)</f>
        <v>46260</v>
      </c>
      <c r="P17" s="15" t="s">
        <v>0</v>
      </c>
      <c r="Q17" s="15">
        <f>SUM(Q4:Q16)</f>
        <v>2509.8399999999997</v>
      </c>
      <c r="R17" s="15">
        <f>AVERAGE(R4:R7,R14:R15)</f>
        <v>39</v>
      </c>
      <c r="S17" s="15">
        <f>SUM(S4:S16)</f>
        <v>97883.76000000001</v>
      </c>
    </row>
    <row r="19" spans="1:19" ht="12.75">
      <c r="A19" s="14" t="s">
        <v>49</v>
      </c>
      <c r="B19" s="14">
        <v>5599.04</v>
      </c>
      <c r="C19" s="14">
        <v>40.83</v>
      </c>
      <c r="D19" s="14">
        <v>228608.8032</v>
      </c>
      <c r="F19" s="14" t="s">
        <v>49</v>
      </c>
      <c r="G19" s="14">
        <v>121</v>
      </c>
      <c r="H19" s="14">
        <v>29</v>
      </c>
      <c r="I19" s="14">
        <v>3509</v>
      </c>
      <c r="K19" s="14" t="s">
        <v>49</v>
      </c>
      <c r="L19" s="14">
        <v>0.160000000000025</v>
      </c>
      <c r="M19" s="14">
        <v>-199.999999999978</v>
      </c>
      <c r="N19" s="14">
        <v>-32.0000000000014</v>
      </c>
      <c r="P19" s="14" t="s">
        <v>49</v>
      </c>
      <c r="Q19" s="14">
        <v>2298.92</v>
      </c>
      <c r="R19" s="14">
        <v>39</v>
      </c>
      <c r="S19" s="14">
        <v>89657.88</v>
      </c>
    </row>
    <row r="20" spans="1:9" ht="12.75">
      <c r="A20" s="14" t="s">
        <v>50</v>
      </c>
      <c r="B20" s="14">
        <v>0</v>
      </c>
      <c r="C20" s="14">
        <v>40.83</v>
      </c>
      <c r="D20" s="14">
        <v>0</v>
      </c>
      <c r="F20" s="14" t="s">
        <v>50</v>
      </c>
      <c r="G20" s="14">
        <v>0</v>
      </c>
      <c r="H20" s="14">
        <v>29</v>
      </c>
      <c r="I20" s="14">
        <v>0</v>
      </c>
    </row>
    <row r="21" spans="2:4" ht="12.75">
      <c r="B21" s="14">
        <v>0</v>
      </c>
      <c r="C21" s="14">
        <v>0</v>
      </c>
      <c r="D21" s="14">
        <v>0</v>
      </c>
    </row>
    <row r="24" spans="1:16" ht="12.75">
      <c r="A24" s="14" t="s">
        <v>51</v>
      </c>
      <c r="F24" s="14" t="s">
        <v>52</v>
      </c>
      <c r="K24" s="14" t="s">
        <v>53</v>
      </c>
      <c r="P24" s="14" t="s">
        <v>54</v>
      </c>
    </row>
    <row r="26" spans="1:19" ht="12.75">
      <c r="A26" s="15" t="s">
        <v>35</v>
      </c>
      <c r="B26" s="15" t="s">
        <v>55</v>
      </c>
      <c r="C26" s="15" t="s">
        <v>56</v>
      </c>
      <c r="D26" s="15" t="s">
        <v>36</v>
      </c>
      <c r="F26" s="15" t="s">
        <v>35</v>
      </c>
      <c r="G26" s="15" t="s">
        <v>55</v>
      </c>
      <c r="H26" s="15" t="s">
        <v>56</v>
      </c>
      <c r="I26" s="15" t="s">
        <v>36</v>
      </c>
      <c r="K26" s="15" t="s">
        <v>35</v>
      </c>
      <c r="L26" s="15" t="s">
        <v>55</v>
      </c>
      <c r="M26" s="15" t="s">
        <v>56</v>
      </c>
      <c r="N26" s="15" t="s">
        <v>36</v>
      </c>
      <c r="P26" s="15" t="s">
        <v>35</v>
      </c>
      <c r="Q26" s="15" t="s">
        <v>55</v>
      </c>
      <c r="R26" s="15" t="s">
        <v>56</v>
      </c>
      <c r="S26" s="15" t="s">
        <v>36</v>
      </c>
    </row>
    <row r="27" spans="1:19" ht="12.75">
      <c r="A27" s="15" t="s">
        <v>37</v>
      </c>
      <c r="B27" s="15">
        <v>505</v>
      </c>
      <c r="C27" s="15">
        <v>15</v>
      </c>
      <c r="D27" s="15">
        <v>7575</v>
      </c>
      <c r="F27" s="15" t="s">
        <v>37</v>
      </c>
      <c r="G27" s="15">
        <v>0</v>
      </c>
      <c r="H27" s="15">
        <v>0</v>
      </c>
      <c r="I27" s="15">
        <v>0</v>
      </c>
      <c r="K27" s="15" t="s">
        <v>37</v>
      </c>
      <c r="L27" s="15"/>
      <c r="M27" s="15">
        <v>0</v>
      </c>
      <c r="N27" s="15">
        <v>0</v>
      </c>
      <c r="P27" s="15" t="s">
        <v>37</v>
      </c>
      <c r="Q27" s="15"/>
      <c r="R27" s="15">
        <v>0</v>
      </c>
      <c r="S27" s="15">
        <v>0</v>
      </c>
    </row>
    <row r="28" spans="1:19" ht="12.75">
      <c r="A28" s="15" t="s">
        <v>38</v>
      </c>
      <c r="B28" s="15">
        <v>568</v>
      </c>
      <c r="C28" s="15">
        <v>15</v>
      </c>
      <c r="D28" s="15">
        <v>8520</v>
      </c>
      <c r="F28" s="15" t="s">
        <v>38</v>
      </c>
      <c r="G28" s="15">
        <v>0</v>
      </c>
      <c r="H28" s="15">
        <v>0</v>
      </c>
      <c r="I28" s="15">
        <v>0</v>
      </c>
      <c r="K28" s="15" t="s">
        <v>38</v>
      </c>
      <c r="L28" s="15"/>
      <c r="M28" s="15">
        <v>0</v>
      </c>
      <c r="N28" s="15">
        <v>0</v>
      </c>
      <c r="P28" s="15" t="s">
        <v>38</v>
      </c>
      <c r="Q28" s="15"/>
      <c r="R28" s="15">
        <v>0</v>
      </c>
      <c r="S28" s="15">
        <v>0</v>
      </c>
    </row>
    <row r="29" spans="1:19" ht="12.75">
      <c r="A29" s="15" t="s">
        <v>39</v>
      </c>
      <c r="B29" s="15">
        <v>611</v>
      </c>
      <c r="C29" s="15">
        <v>15</v>
      </c>
      <c r="D29" s="15">
        <v>9165</v>
      </c>
      <c r="F29" s="15" t="s">
        <v>39</v>
      </c>
      <c r="G29" s="15">
        <v>0</v>
      </c>
      <c r="H29" s="15">
        <v>0</v>
      </c>
      <c r="I29" s="15">
        <v>0</v>
      </c>
      <c r="K29" s="15" t="s">
        <v>39</v>
      </c>
      <c r="L29" s="15"/>
      <c r="M29" s="15">
        <v>0</v>
      </c>
      <c r="N29" s="15">
        <v>0</v>
      </c>
      <c r="P29" s="15" t="s">
        <v>39</v>
      </c>
      <c r="Q29" s="15"/>
      <c r="R29" s="15">
        <v>0</v>
      </c>
      <c r="S29" s="15">
        <v>0</v>
      </c>
    </row>
    <row r="30" spans="1:19" ht="12.75">
      <c r="A30" s="15" t="s">
        <v>40</v>
      </c>
      <c r="B30" s="15">
        <v>515</v>
      </c>
      <c r="C30" s="15">
        <v>15</v>
      </c>
      <c r="D30" s="15">
        <v>7725</v>
      </c>
      <c r="F30" s="15" t="s">
        <v>40</v>
      </c>
      <c r="G30" s="15">
        <v>0</v>
      </c>
      <c r="H30" s="15">
        <v>0</v>
      </c>
      <c r="I30" s="15">
        <v>0</v>
      </c>
      <c r="K30" s="15" t="s">
        <v>40</v>
      </c>
      <c r="L30" s="15"/>
      <c r="M30" s="15">
        <v>0</v>
      </c>
      <c r="N30" s="15">
        <v>0</v>
      </c>
      <c r="P30" s="15" t="s">
        <v>40</v>
      </c>
      <c r="Q30" s="15"/>
      <c r="R30" s="15">
        <v>0</v>
      </c>
      <c r="S30" s="15">
        <v>0</v>
      </c>
    </row>
    <row r="31" spans="1:19" ht="12.75">
      <c r="A31" s="15" t="s">
        <v>41</v>
      </c>
      <c r="B31" s="15">
        <v>457</v>
      </c>
      <c r="C31" s="15">
        <v>15</v>
      </c>
      <c r="D31" s="15">
        <v>6855</v>
      </c>
      <c r="F31" s="15" t="s">
        <v>41</v>
      </c>
      <c r="G31" s="15">
        <v>0</v>
      </c>
      <c r="H31" s="15">
        <v>0</v>
      </c>
      <c r="I31" s="15">
        <v>0</v>
      </c>
      <c r="K31" s="15" t="s">
        <v>41</v>
      </c>
      <c r="L31" s="15"/>
      <c r="M31" s="15">
        <v>0</v>
      </c>
      <c r="N31" s="15">
        <v>0</v>
      </c>
      <c r="P31" s="15" t="s">
        <v>41</v>
      </c>
      <c r="Q31" s="15"/>
      <c r="R31" s="15">
        <v>0</v>
      </c>
      <c r="S31" s="15">
        <v>0</v>
      </c>
    </row>
    <row r="32" spans="1:19" ht="12.75">
      <c r="A32" s="15" t="s">
        <v>42</v>
      </c>
      <c r="B32" s="15">
        <v>159</v>
      </c>
      <c r="C32" s="15">
        <v>15</v>
      </c>
      <c r="D32" s="15">
        <v>2385</v>
      </c>
      <c r="F32" s="15" t="s">
        <v>42</v>
      </c>
      <c r="G32" s="15">
        <v>0</v>
      </c>
      <c r="H32" s="15">
        <v>0</v>
      </c>
      <c r="I32" s="15">
        <v>0</v>
      </c>
      <c r="K32" s="15" t="s">
        <v>42</v>
      </c>
      <c r="L32" s="15"/>
      <c r="M32" s="15">
        <v>0</v>
      </c>
      <c r="N32" s="15">
        <v>0</v>
      </c>
      <c r="P32" s="15" t="s">
        <v>42</v>
      </c>
      <c r="Q32" s="15"/>
      <c r="R32" s="15">
        <v>0</v>
      </c>
      <c r="S32" s="15">
        <v>0</v>
      </c>
    </row>
    <row r="33" spans="1:19" ht="12.75">
      <c r="A33" s="15" t="s">
        <v>43</v>
      </c>
      <c r="B33" s="15">
        <v>523</v>
      </c>
      <c r="C33" s="15">
        <v>15</v>
      </c>
      <c r="D33" s="15">
        <v>7845</v>
      </c>
      <c r="F33" s="15" t="s">
        <v>43</v>
      </c>
      <c r="G33" s="15">
        <v>0</v>
      </c>
      <c r="H33" s="15">
        <v>0</v>
      </c>
      <c r="I33" s="15">
        <v>0</v>
      </c>
      <c r="K33" s="15" t="s">
        <v>43</v>
      </c>
      <c r="L33" s="15"/>
      <c r="M33" s="15">
        <v>0</v>
      </c>
      <c r="N33" s="15">
        <v>0</v>
      </c>
      <c r="P33" s="15" t="s">
        <v>43</v>
      </c>
      <c r="Q33" s="15"/>
      <c r="R33" s="15">
        <v>0</v>
      </c>
      <c r="S33" s="15">
        <v>0</v>
      </c>
    </row>
    <row r="34" spans="1:19" ht="12.75">
      <c r="A34" s="15" t="s">
        <v>44</v>
      </c>
      <c r="B34" s="15">
        <v>540</v>
      </c>
      <c r="C34" s="15">
        <v>15</v>
      </c>
      <c r="D34" s="15">
        <v>8100</v>
      </c>
      <c r="F34" s="15" t="s">
        <v>44</v>
      </c>
      <c r="G34" s="15">
        <v>0</v>
      </c>
      <c r="H34" s="15">
        <v>0</v>
      </c>
      <c r="I34" s="15">
        <v>0</v>
      </c>
      <c r="K34" s="15" t="s">
        <v>44</v>
      </c>
      <c r="L34" s="15"/>
      <c r="M34" s="15">
        <v>0</v>
      </c>
      <c r="N34" s="15">
        <v>0</v>
      </c>
      <c r="P34" s="15" t="s">
        <v>44</v>
      </c>
      <c r="Q34" s="15"/>
      <c r="R34" s="15">
        <v>0</v>
      </c>
      <c r="S34" s="15">
        <v>0</v>
      </c>
    </row>
    <row r="35" spans="1:19" ht="12.75">
      <c r="A35" s="15" t="s">
        <v>45</v>
      </c>
      <c r="B35" s="15">
        <v>454</v>
      </c>
      <c r="C35" s="15">
        <v>15</v>
      </c>
      <c r="D35" s="15">
        <v>6810</v>
      </c>
      <c r="F35" s="15" t="s">
        <v>45</v>
      </c>
      <c r="G35" s="15">
        <v>14</v>
      </c>
      <c r="H35" s="15">
        <v>187.64</v>
      </c>
      <c r="I35" s="15">
        <v>2626.96</v>
      </c>
      <c r="K35" s="15" t="s">
        <v>45</v>
      </c>
      <c r="L35" s="15"/>
      <c r="M35" s="15">
        <v>0</v>
      </c>
      <c r="N35" s="15">
        <v>0</v>
      </c>
      <c r="P35" s="15" t="s">
        <v>45</v>
      </c>
      <c r="Q35" s="15"/>
      <c r="R35" s="15">
        <v>0</v>
      </c>
      <c r="S35" s="15">
        <v>0</v>
      </c>
    </row>
    <row r="36" spans="1:19" ht="12.75">
      <c r="A36" s="15" t="s">
        <v>46</v>
      </c>
      <c r="B36" s="15">
        <v>475</v>
      </c>
      <c r="C36" s="15">
        <v>15</v>
      </c>
      <c r="D36" s="15">
        <v>7125</v>
      </c>
      <c r="F36" s="15" t="s">
        <v>46</v>
      </c>
      <c r="G36" s="15">
        <v>13.2</v>
      </c>
      <c r="H36" s="15">
        <v>187.64</v>
      </c>
      <c r="I36" s="15">
        <v>2476.848</v>
      </c>
      <c r="K36" s="15" t="s">
        <v>46</v>
      </c>
      <c r="L36" s="15"/>
      <c r="M36" s="15">
        <v>0</v>
      </c>
      <c r="N36" s="15">
        <v>0</v>
      </c>
      <c r="P36" s="15" t="s">
        <v>46</v>
      </c>
      <c r="Q36" s="15"/>
      <c r="R36" s="15">
        <v>0</v>
      </c>
      <c r="S36" s="15">
        <v>0</v>
      </c>
    </row>
    <row r="37" spans="1:19" ht="12.75">
      <c r="A37" s="15" t="s">
        <v>47</v>
      </c>
      <c r="B37" s="15">
        <v>588</v>
      </c>
      <c r="C37" s="15">
        <v>15</v>
      </c>
      <c r="D37" s="15">
        <v>8820</v>
      </c>
      <c r="F37" s="15" t="s">
        <v>47</v>
      </c>
      <c r="G37" s="15">
        <v>9</v>
      </c>
      <c r="H37" s="15">
        <v>187.64</v>
      </c>
      <c r="I37" s="15">
        <v>1688.76</v>
      </c>
      <c r="K37" s="15" t="s">
        <v>47</v>
      </c>
      <c r="L37" s="15"/>
      <c r="M37" s="15">
        <v>0</v>
      </c>
      <c r="N37" s="15">
        <v>0</v>
      </c>
      <c r="P37" s="15" t="s">
        <v>47</v>
      </c>
      <c r="Q37" s="15"/>
      <c r="R37" s="15">
        <v>0</v>
      </c>
      <c r="S37" s="15">
        <v>0</v>
      </c>
    </row>
    <row r="38" spans="1:19" ht="12.75">
      <c r="A38" s="15" t="s">
        <v>48</v>
      </c>
      <c r="B38" s="15">
        <v>718</v>
      </c>
      <c r="C38" s="15">
        <v>15</v>
      </c>
      <c r="D38" s="15">
        <v>10770</v>
      </c>
      <c r="F38" s="15" t="s">
        <v>48</v>
      </c>
      <c r="G38" s="15">
        <v>11</v>
      </c>
      <c r="H38" s="15">
        <v>187.64</v>
      </c>
      <c r="I38" s="15">
        <v>2064.04</v>
      </c>
      <c r="K38" s="15" t="s">
        <v>48</v>
      </c>
      <c r="L38" s="15"/>
      <c r="M38" s="15">
        <v>0</v>
      </c>
      <c r="N38" s="15">
        <v>0</v>
      </c>
      <c r="P38" s="15" t="s">
        <v>48</v>
      </c>
      <c r="Q38" s="15"/>
      <c r="R38" s="15">
        <v>0</v>
      </c>
      <c r="S38" s="15">
        <v>0</v>
      </c>
    </row>
    <row r="39" spans="1:19" ht="12.75">
      <c r="A39" s="15"/>
      <c r="B39" s="15"/>
      <c r="C39" s="15"/>
      <c r="D39" s="15"/>
      <c r="F39" s="15"/>
      <c r="G39" s="15"/>
      <c r="H39" s="15"/>
      <c r="I39" s="15"/>
      <c r="K39" s="15"/>
      <c r="L39" s="15"/>
      <c r="M39" s="15"/>
      <c r="N39" s="15"/>
      <c r="P39" s="15"/>
      <c r="Q39" s="15"/>
      <c r="R39" s="15"/>
      <c r="S39" s="15"/>
    </row>
    <row r="40" spans="1:19" ht="12.75">
      <c r="A40" s="15" t="s">
        <v>0</v>
      </c>
      <c r="B40" s="15">
        <f>SUM(B27:B39)</f>
        <v>6113</v>
      </c>
      <c r="C40" s="15">
        <f>AVERAGE(C27:C38)</f>
        <v>15</v>
      </c>
      <c r="D40" s="15">
        <f>SUM(D27:D39)</f>
        <v>91695</v>
      </c>
      <c r="F40" s="15" t="s">
        <v>0</v>
      </c>
      <c r="G40" s="15">
        <f>SUM(G27:G39)</f>
        <v>47.2</v>
      </c>
      <c r="H40" s="15">
        <f>AVERAGE(H35:H38)</f>
        <v>187.64</v>
      </c>
      <c r="I40" s="15">
        <f>SUM(I27:I39)</f>
        <v>8856.608</v>
      </c>
      <c r="K40" s="15" t="s">
        <v>0</v>
      </c>
      <c r="L40" s="15">
        <f>SUM(L27:L39)</f>
        <v>0</v>
      </c>
      <c r="M40" s="15">
        <f>AVERAGE(M27:M38)</f>
        <v>0</v>
      </c>
      <c r="N40" s="15">
        <f>SUM(N27:N39)</f>
        <v>0</v>
      </c>
      <c r="P40" s="15" t="s">
        <v>0</v>
      </c>
      <c r="Q40" s="15">
        <f>SUM(Q27:Q39)</f>
        <v>0</v>
      </c>
      <c r="R40" s="15">
        <f>AVERAGE(R27:R38)</f>
        <v>0</v>
      </c>
      <c r="S40" s="15">
        <f>SUM(S27:S39)</f>
        <v>0</v>
      </c>
    </row>
    <row r="42" spans="1:19" ht="12.75">
      <c r="A42" s="14" t="s">
        <v>49</v>
      </c>
      <c r="B42" s="14">
        <v>1053</v>
      </c>
      <c r="C42" s="14">
        <v>15</v>
      </c>
      <c r="D42" s="14">
        <v>15795</v>
      </c>
      <c r="F42" s="14" t="s">
        <v>49</v>
      </c>
      <c r="G42" s="14">
        <v>120.04</v>
      </c>
      <c r="H42" s="14">
        <v>174.392374208597</v>
      </c>
      <c r="I42" s="14">
        <v>20934.0606</v>
      </c>
      <c r="K42" s="14" t="s">
        <v>49</v>
      </c>
      <c r="L42" s="14">
        <v>0</v>
      </c>
      <c r="M42" s="14">
        <v>0</v>
      </c>
      <c r="N42" s="14">
        <v>0</v>
      </c>
      <c r="P42" s="14" t="s">
        <v>49</v>
      </c>
      <c r="Q42" s="14">
        <v>0</v>
      </c>
      <c r="R42" s="14">
        <v>0</v>
      </c>
      <c r="S42" s="14">
        <v>0</v>
      </c>
    </row>
  </sheetData>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C19"/>
  <sheetViews>
    <sheetView workbookViewId="0" topLeftCell="A1">
      <selection activeCell="A6" sqref="A6"/>
    </sheetView>
  </sheetViews>
  <sheetFormatPr defaultColWidth="11.421875" defaultRowHeight="12.75"/>
  <cols>
    <col min="1" max="1" width="28.140625" style="0" customWidth="1"/>
    <col min="2" max="2" width="11.421875" style="1" customWidth="1"/>
    <col min="4" max="4" width="12.57421875" style="1" customWidth="1"/>
  </cols>
  <sheetData>
    <row r="1" ht="13.5" thickBot="1">
      <c r="A1" s="2" t="s">
        <v>20</v>
      </c>
    </row>
    <row r="2" spans="1:2" ht="12.75">
      <c r="A2" s="9"/>
      <c r="B2" s="4" t="s">
        <v>10</v>
      </c>
    </row>
    <row r="3" spans="1:2" ht="15.75" thickBot="1">
      <c r="A3" s="10" t="s">
        <v>19</v>
      </c>
      <c r="B3" s="11">
        <v>779742</v>
      </c>
    </row>
    <row r="13" ht="12.75">
      <c r="C13" s="1"/>
    </row>
    <row r="19" ht="12.75">
      <c r="C19" s="1"/>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r:id="rId3"/>
  <legacyDrawing r:id="rId2"/>
  <oleObjects>
    <oleObject progId="Equation.DSMT4" shapeId="56639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dc:creator>
  <cp:keywords/>
  <dc:description/>
  <cp:lastModifiedBy>GC</cp:lastModifiedBy>
  <cp:lastPrinted>2015-08-29T17:06:44Z</cp:lastPrinted>
  <dcterms:created xsi:type="dcterms:W3CDTF">2015-08-13T19:36:29Z</dcterms:created>
  <dcterms:modified xsi:type="dcterms:W3CDTF">2015-09-02T08:13:02Z</dcterms:modified>
  <cp:category/>
  <cp:version/>
  <cp:contentType/>
  <cp:contentStatus/>
</cp:coreProperties>
</file>